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_111\中興大學\111中興大學-全方位\全方位大數據智能實務應用班-P1P2\Samples\"/>
    </mc:Choice>
  </mc:AlternateContent>
  <xr:revisionPtr revIDLastSave="0" documentId="13_ncr:1_{A15A89E9-8D73-4584-9C9D-11465C51AA9A}" xr6:coauthVersionLast="47" xr6:coauthVersionMax="47" xr10:uidLastSave="{00000000-0000-0000-0000-000000000000}"/>
  <bookViews>
    <workbookView xWindow="1950" yWindow="1950" windowWidth="16200" windowHeight="9480" tabRatio="736" xr2:uid="{00000000-000D-0000-FFFF-FFFF00000000}"/>
  </bookViews>
  <sheets>
    <sheet name="資料清單" sheetId="1" r:id="rId1"/>
    <sheet name="查詢應用" sheetId="2" r:id="rId2"/>
  </sheets>
  <definedNames>
    <definedName name="_xlnm._FilterDatabase" localSheetId="0" hidden="1">資料清單!$C$3:$K$117</definedName>
    <definedName name="DATA123">資料清單!$C$3:$L$117</definedName>
    <definedName name="姓名">資料清單!$D$4:$D$117</definedName>
    <definedName name="員工代號">資料清單!$C$4:$C$117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J114" i="1" l="1"/>
  <c r="J113" i="1"/>
  <c r="J22" i="1"/>
  <c r="J21" i="1"/>
  <c r="J20" i="1"/>
  <c r="J77" i="1"/>
  <c r="J76" i="1"/>
  <c r="J74" i="1"/>
  <c r="J92" i="1"/>
  <c r="J12" i="1"/>
  <c r="J90" i="1"/>
  <c r="J98" i="1"/>
  <c r="J110" i="1"/>
  <c r="J109" i="1"/>
  <c r="J107" i="1"/>
  <c r="J89" i="1"/>
  <c r="J88" i="1"/>
  <c r="J87" i="1"/>
  <c r="J52" i="1"/>
  <c r="J117" i="1"/>
  <c r="J116" i="1"/>
  <c r="J8" i="1"/>
  <c r="J7" i="1"/>
  <c r="J61" i="1"/>
  <c r="J60" i="1"/>
  <c r="J59" i="1"/>
  <c r="J25" i="1"/>
  <c r="J18" i="1"/>
  <c r="J17" i="1"/>
  <c r="J42" i="1"/>
  <c r="J41" i="1"/>
  <c r="J64" i="1"/>
  <c r="J31" i="1"/>
  <c r="J63" i="1"/>
  <c r="J30" i="1"/>
  <c r="J62" i="1"/>
  <c r="J33" i="1"/>
  <c r="J81" i="1"/>
  <c r="J80" i="1"/>
  <c r="J105" i="1"/>
  <c r="J104" i="1"/>
  <c r="J6" i="1"/>
  <c r="J5" i="1"/>
  <c r="J4" i="1"/>
  <c r="J37" i="1"/>
  <c r="J36" i="1"/>
  <c r="J40" i="1"/>
  <c r="J39" i="1"/>
  <c r="J38" i="1"/>
  <c r="J75" i="1"/>
  <c r="J73" i="1"/>
  <c r="J70" i="1"/>
  <c r="J69" i="1"/>
  <c r="J68" i="1"/>
  <c r="J58" i="1"/>
  <c r="J57" i="1"/>
  <c r="J56" i="1"/>
  <c r="J24" i="1"/>
  <c r="J23" i="1"/>
  <c r="J15" i="1"/>
  <c r="J14" i="1"/>
  <c r="J55" i="1"/>
  <c r="J86" i="1"/>
  <c r="J54" i="1"/>
  <c r="J85" i="1"/>
  <c r="J72" i="1"/>
  <c r="J71" i="1"/>
  <c r="J11" i="1"/>
  <c r="J10" i="1"/>
  <c r="J97" i="1"/>
  <c r="J96" i="1"/>
  <c r="J115" i="1"/>
  <c r="J94" i="1"/>
  <c r="J93" i="1"/>
  <c r="J48" i="1"/>
  <c r="J47" i="1"/>
  <c r="J46" i="1"/>
  <c r="J67" i="1"/>
  <c r="J66" i="1"/>
  <c r="J65" i="1"/>
  <c r="J78" i="1"/>
  <c r="J91" i="1"/>
  <c r="J51" i="1"/>
  <c r="J50" i="1"/>
  <c r="J49" i="1"/>
  <c r="J95" i="1"/>
  <c r="J44" i="1"/>
  <c r="J43" i="1"/>
  <c r="J53" i="1"/>
  <c r="J102" i="1"/>
  <c r="J27" i="1"/>
  <c r="J26" i="1"/>
  <c r="J19" i="1"/>
  <c r="J32" i="1"/>
  <c r="J35" i="1"/>
  <c r="J34" i="1"/>
  <c r="J84" i="1"/>
  <c r="J29" i="1"/>
  <c r="J28" i="1"/>
  <c r="J83" i="1"/>
  <c r="J82" i="1"/>
  <c r="J16" i="1"/>
  <c r="J112" i="1"/>
  <c r="J111" i="1"/>
  <c r="J108" i="1"/>
  <c r="J103" i="1"/>
  <c r="J101" i="1"/>
  <c r="J100" i="1"/>
  <c r="J99" i="1"/>
  <c r="J45" i="1"/>
  <c r="J106" i="1"/>
  <c r="J13" i="1"/>
  <c r="J79" i="1"/>
  <c r="J9" i="1"/>
</calcChain>
</file>

<file path=xl/sharedStrings.xml><?xml version="1.0" encoding="utf-8"?>
<sst xmlns="http://schemas.openxmlformats.org/spreadsheetml/2006/main" count="697" uniqueCount="176">
  <si>
    <t>員工代號</t>
  </si>
  <si>
    <t>姓名</t>
  </si>
  <si>
    <t>職稱</t>
  </si>
  <si>
    <t>部門</t>
  </si>
  <si>
    <t>事業部</t>
  </si>
  <si>
    <t>月薪</t>
  </si>
  <si>
    <t>到職日</t>
  </si>
  <si>
    <t>生日</t>
  </si>
  <si>
    <t>鄭文瑩</t>
  </si>
  <si>
    <t>行政助理</t>
  </si>
  <si>
    <t>工程部</t>
  </si>
  <si>
    <t>印表機</t>
  </si>
  <si>
    <t>陳崇銘</t>
  </si>
  <si>
    <t>傳真機</t>
  </si>
  <si>
    <t>陳宏輝</t>
  </si>
  <si>
    <t>軟體工程師</t>
  </si>
  <si>
    <t>影印機</t>
  </si>
  <si>
    <t>康書澤</t>
  </si>
  <si>
    <t>蔡韻華</t>
  </si>
  <si>
    <t>助理工程師</t>
  </si>
  <si>
    <t>陳麗琴</t>
  </si>
  <si>
    <t>管理助理</t>
  </si>
  <si>
    <t>黃瑞元</t>
  </si>
  <si>
    <t>總工程師</t>
  </si>
  <si>
    <t>王重昌</t>
  </si>
  <si>
    <t>技術員</t>
  </si>
  <si>
    <t>林玲芬</t>
  </si>
  <si>
    <t>方敏玉</t>
  </si>
  <si>
    <t>呂時哲</t>
  </si>
  <si>
    <t>吳浩忠</t>
  </si>
  <si>
    <t>機械工程師</t>
  </si>
  <si>
    <t>徐文彥</t>
  </si>
  <si>
    <t>林俊偉</t>
  </si>
  <si>
    <t>王朝悟</t>
  </si>
  <si>
    <t>何惠玲</t>
  </si>
  <si>
    <t>工程部經理</t>
  </si>
  <si>
    <t>石麗琪</t>
  </si>
  <si>
    <t>陳武雄</t>
  </si>
  <si>
    <t>胡義偉</t>
  </si>
  <si>
    <t>李偉德</t>
  </si>
  <si>
    <t>蔡宏欣</t>
  </si>
  <si>
    <t>何秀雯</t>
  </si>
  <si>
    <t>楊志輝</t>
  </si>
  <si>
    <t>李安邦</t>
  </si>
  <si>
    <t>陳燕如</t>
  </si>
  <si>
    <t>梁明哲</t>
  </si>
  <si>
    <t>資深工程師</t>
  </si>
  <si>
    <t>江俊英</t>
  </si>
  <si>
    <t>劉文龍</t>
  </si>
  <si>
    <t>陳健志</t>
  </si>
  <si>
    <t>楊順德</t>
  </si>
  <si>
    <t>葉威漢</t>
  </si>
  <si>
    <t>蔡宜賢</t>
  </si>
  <si>
    <t>白鴻達</t>
  </si>
  <si>
    <t>楊宗芬</t>
  </si>
  <si>
    <t>洪婷婷</t>
  </si>
  <si>
    <t>林進財</t>
  </si>
  <si>
    <t>周志文</t>
  </si>
  <si>
    <t>康再添</t>
  </si>
  <si>
    <t>方勝安</t>
  </si>
  <si>
    <t>李建志</t>
  </si>
  <si>
    <t>張德鑫</t>
  </si>
  <si>
    <t>黃東慶</t>
  </si>
  <si>
    <t>設計助理</t>
  </si>
  <si>
    <t>企劃部</t>
  </si>
  <si>
    <t>林俊勇</t>
  </si>
  <si>
    <t>沈欣慧</t>
  </si>
  <si>
    <t>企劃專員</t>
  </si>
  <si>
    <t>莊惠伶</t>
  </si>
  <si>
    <t>陳國賢</t>
  </si>
  <si>
    <t>范淑君</t>
  </si>
  <si>
    <t>林芳如</t>
  </si>
  <si>
    <t>謝碧玉</t>
  </si>
  <si>
    <t>江學成</t>
  </si>
  <si>
    <t>產品業務專員</t>
  </si>
  <si>
    <t>行銷部</t>
  </si>
  <si>
    <t>楊靜娟</t>
  </si>
  <si>
    <t>產品經理</t>
  </si>
  <si>
    <t>高志霖</t>
  </si>
  <si>
    <t>彭家達</t>
  </si>
  <si>
    <t>張德良</t>
  </si>
  <si>
    <t>李慧宜</t>
  </si>
  <si>
    <t>鍾振榮</t>
  </si>
  <si>
    <t>李貞媛</t>
  </si>
  <si>
    <t>李克宏</t>
  </si>
  <si>
    <t>李建松</t>
  </si>
  <si>
    <t>林永強</t>
  </si>
  <si>
    <t>蘇啟民</t>
  </si>
  <si>
    <t>郭永隆</t>
  </si>
  <si>
    <t>行銷經理</t>
  </si>
  <si>
    <t>吳東輝</t>
  </si>
  <si>
    <t>曾文良</t>
  </si>
  <si>
    <t>張秀卿</t>
  </si>
  <si>
    <t>傅莉雅</t>
  </si>
  <si>
    <t>李嘉榮</t>
  </si>
  <si>
    <t>洪錦義</t>
  </si>
  <si>
    <t>賴誠和</t>
  </si>
  <si>
    <t>徐利拓</t>
  </si>
  <si>
    <t>張英明</t>
  </si>
  <si>
    <t>何信章</t>
  </si>
  <si>
    <t>陳俐蓉</t>
  </si>
  <si>
    <t>張韻貞</t>
  </si>
  <si>
    <t>廖祟倫</t>
  </si>
  <si>
    <t>黃文儒</t>
  </si>
  <si>
    <t>研究員</t>
  </si>
  <si>
    <t>研發部</t>
  </si>
  <si>
    <t>鍾堯暉</t>
  </si>
  <si>
    <t>楊淑娟</t>
  </si>
  <si>
    <t>蔡啟輝</t>
  </si>
  <si>
    <t>張桂香</t>
  </si>
  <si>
    <t>莊國祥</t>
  </si>
  <si>
    <t>呂澤仁</t>
  </si>
  <si>
    <t>首席研究員</t>
  </si>
  <si>
    <t>侯怡安</t>
  </si>
  <si>
    <t>黃信翔</t>
  </si>
  <si>
    <t>資深研究員</t>
  </si>
  <si>
    <t>林佑吉</t>
  </si>
  <si>
    <t>廖國仁</t>
  </si>
  <si>
    <t>李郁雪</t>
  </si>
  <si>
    <t>會計助理</t>
  </si>
  <si>
    <t>會計處</t>
  </si>
  <si>
    <t>林玉雯</t>
  </si>
  <si>
    <t>會計員</t>
  </si>
  <si>
    <t>朱心梅</t>
  </si>
  <si>
    <t>范士亞</t>
  </si>
  <si>
    <t>于昱緯</t>
  </si>
  <si>
    <t>許啟超</t>
  </si>
  <si>
    <t>陳永逸</t>
  </si>
  <si>
    <t>曾苑婷</t>
  </si>
  <si>
    <t>黃宗鑫</t>
  </si>
  <si>
    <t>葉永明</t>
  </si>
  <si>
    <t>陳昭蓉</t>
  </si>
  <si>
    <t>張如秀</t>
  </si>
  <si>
    <t>黃郁華</t>
  </si>
  <si>
    <t>王筱萍</t>
  </si>
  <si>
    <t>會計經理</t>
  </si>
  <si>
    <t>周國榮</t>
  </si>
  <si>
    <t>管理部</t>
  </si>
  <si>
    <t>吳妍琪</t>
  </si>
  <si>
    <t>柯緒德</t>
  </si>
  <si>
    <t>周芳瑤</t>
  </si>
  <si>
    <t>王應邦</t>
  </si>
  <si>
    <t>陳美欣</t>
  </si>
  <si>
    <t>宋志強</t>
  </si>
  <si>
    <t>李芷雲</t>
  </si>
  <si>
    <t>謝雅君</t>
  </si>
  <si>
    <t>黃松鈞</t>
  </si>
  <si>
    <t>管理部經理</t>
  </si>
  <si>
    <t>江麗美</t>
  </si>
  <si>
    <t>蕭文豐</t>
  </si>
  <si>
    <t>郭瑞勛</t>
  </si>
  <si>
    <t>總務經理</t>
  </si>
  <si>
    <t>林世彪</t>
  </si>
  <si>
    <t>大學</t>
    <phoneticPr fontId="10" type="noConversion"/>
  </si>
  <si>
    <t>專科</t>
  </si>
  <si>
    <t>碩士</t>
    <phoneticPr fontId="10" type="noConversion"/>
  </si>
  <si>
    <t>博士</t>
    <phoneticPr fontId="10" type="noConversion"/>
  </si>
  <si>
    <t>專科</t>
    <phoneticPr fontId="10" type="noConversion"/>
  </si>
  <si>
    <t>學歷</t>
    <phoneticPr fontId="10" type="noConversion"/>
  </si>
  <si>
    <t>苗栗縣</t>
    <phoneticPr fontId="10" type="noConversion"/>
  </si>
  <si>
    <t>桃園縣</t>
    <phoneticPr fontId="10" type="noConversion"/>
  </si>
  <si>
    <t>戶籍地</t>
    <phoneticPr fontId="10" type="noConversion"/>
  </si>
  <si>
    <t>苗栗縣</t>
    <phoneticPr fontId="10" type="noConversion"/>
  </si>
  <si>
    <t>台北縣</t>
    <phoneticPr fontId="10" type="noConversion"/>
  </si>
  <si>
    <t>嘉義縣</t>
    <phoneticPr fontId="10" type="noConversion"/>
  </si>
  <si>
    <t>台南縣</t>
    <phoneticPr fontId="10" type="noConversion"/>
  </si>
  <si>
    <t>台南市</t>
    <phoneticPr fontId="10" type="noConversion"/>
  </si>
  <si>
    <t>台北市</t>
    <phoneticPr fontId="10" type="noConversion"/>
  </si>
  <si>
    <t>新竹市</t>
    <phoneticPr fontId="10" type="noConversion"/>
  </si>
  <si>
    <t>桃園縣</t>
    <phoneticPr fontId="10" type="noConversion"/>
  </si>
  <si>
    <t>台北市</t>
    <phoneticPr fontId="10" type="noConversion"/>
  </si>
  <si>
    <t>桃園縣</t>
    <phoneticPr fontId="10" type="noConversion"/>
  </si>
  <si>
    <t>苗栗縣</t>
    <phoneticPr fontId="10" type="noConversion"/>
  </si>
  <si>
    <t>台北縣</t>
    <phoneticPr fontId="10" type="noConversion"/>
  </si>
  <si>
    <t>嘉義縣</t>
    <phoneticPr fontId="10" type="noConversion"/>
  </si>
  <si>
    <t>年資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</si>
</sst>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$&quot;#,##0_);[Red]\(&quot;$&quot;#,##0\)"/>
    <numFmt numFmtId="177" formatCode="&quot;$&quot;#,##0.00_);[Red]\(&quot;$&quot;#,##0.00\)"/>
    <numFmt numFmtId="178" formatCode="[$-404]e/mm/dd"/>
    <numFmt numFmtId="179" formatCode="[$-404]e/m/d;@"/>
  </numFmts>
  <fonts count="11">
    <font>
      <sz val="10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sz val="10"/>
      <name val="細明體"/>
      <family val="3"/>
      <charset val="136"/>
    </font>
    <font>
      <b/>
      <sz val="12"/>
      <name val="細明體"/>
      <family val="3"/>
      <charset val="136"/>
    </font>
    <font>
      <sz val="12"/>
      <name val="細明體"/>
      <family val="3"/>
      <charset val="136"/>
    </font>
    <font>
      <b/>
      <sz val="12"/>
      <color indexed="9"/>
      <name val="細明體"/>
      <family val="3"/>
      <charset val="136"/>
    </font>
    <font>
      <b/>
      <sz val="12"/>
      <name val="CFShouSung"/>
      <family val="1"/>
    </font>
    <font>
      <b/>
      <sz val="14"/>
      <color indexed="10"/>
      <name val="細明體"/>
      <family val="3"/>
      <charset val="136"/>
    </font>
    <font>
      <b/>
      <sz val="12"/>
      <name val="Arial"/>
      <family val="2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" fillId="0" borderId="0" applyNumberFormat="0" applyFill="0" applyBorder="0" applyAlignment="0" applyProtection="0"/>
    <xf numFmtId="177" fontId="2" fillId="0" borderId="0" applyFont="0" applyFill="0" applyBorder="0" applyAlignment="0" applyProtection="0"/>
    <xf numFmtId="0" fontId="7" fillId="0" borderId="0" applyBorder="0">
      <alignment horizontal="center"/>
    </xf>
  </cellStyleXfs>
  <cellXfs count="2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176" fontId="5" fillId="0" borderId="0" xfId="6" applyNumberFormat="1" applyFont="1"/>
    <xf numFmtId="30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6" applyNumberFormat="1" applyFont="1"/>
    <xf numFmtId="0" fontId="8" fillId="0" borderId="0" xfId="7" applyFont="1" applyAlignment="1">
      <alignment horizontal="center" vertical="top" wrapText="1"/>
    </xf>
    <xf numFmtId="0" fontId="5" fillId="0" borderId="0" xfId="0" applyFont="1" applyAlignment="1">
      <alignment horizontal="right"/>
    </xf>
    <xf numFmtId="0" fontId="6" fillId="2" borderId="0" xfId="5" applyFont="1" applyFill="1" applyBorder="1" applyAlignment="1">
      <alignment horizontal="center" vertical="center" wrapText="1"/>
    </xf>
    <xf numFmtId="0" fontId="6" fillId="2" borderId="0" xfId="5" applyFont="1" applyFill="1" applyBorder="1" applyAlignment="1">
      <alignment horizontal="center" vertical="center"/>
    </xf>
    <xf numFmtId="0" fontId="6" fillId="2" borderId="0" xfId="5" quotePrefix="1" applyFont="1" applyFill="1" applyBorder="1" applyAlignment="1">
      <alignment horizontal="center" vertical="center"/>
    </xf>
    <xf numFmtId="30" fontId="6" fillId="2" borderId="0" xfId="5" applyNumberFormat="1" applyFont="1" applyFill="1" applyBorder="1" applyAlignment="1">
      <alignment horizontal="center" vertical="center"/>
    </xf>
    <xf numFmtId="0" fontId="5" fillId="0" borderId="0" xfId="0" quotePrefix="1" applyFont="1"/>
    <xf numFmtId="176" fontId="5" fillId="0" borderId="0" xfId="6" applyNumberFormat="1" applyFont="1" applyBorder="1"/>
    <xf numFmtId="179" fontId="5" fillId="0" borderId="0" xfId="0" applyNumberFormat="1" applyFont="1"/>
    <xf numFmtId="176" fontId="5" fillId="0" borderId="0" xfId="0" quotePrefix="1" applyNumberFormat="1" applyFont="1" applyAlignment="1">
      <alignment horizontal="center"/>
    </xf>
    <xf numFmtId="179" fontId="5" fillId="0" borderId="0" xfId="6" applyNumberFormat="1" applyFont="1" applyBorder="1"/>
    <xf numFmtId="178" fontId="5" fillId="0" borderId="0" xfId="0" applyNumberFormat="1" applyFont="1" applyAlignment="1">
      <alignment horizontal="center"/>
    </xf>
    <xf numFmtId="176" fontId="5" fillId="0" borderId="0" xfId="0" quotePrefix="1" applyNumberFormat="1" applyFont="1"/>
    <xf numFmtId="0" fontId="5" fillId="0" borderId="0" xfId="0" applyFont="1" applyProtection="1">
      <protection locked="0"/>
    </xf>
    <xf numFmtId="0" fontId="0" fillId="0" borderId="0" xfId="0" applyAlignment="1">
      <alignment horizontal="center"/>
    </xf>
    <xf numFmtId="0" fontId="6" fillId="2" borderId="0" xfId="5" applyFont="1" applyFill="1" applyAlignment="1">
      <alignment horizontal="center" vertical="center"/>
    </xf>
  </cellXfs>
  <cellStyles count="8">
    <cellStyle name="Comma [0]" xfId="1" xr:uid="{00000000-0005-0000-0000-000000000000}"/>
    <cellStyle name="Currency [0]" xfId="2" xr:uid="{00000000-0005-0000-0000-000001000000}"/>
    <cellStyle name="Header1" xfId="3" xr:uid="{00000000-0005-0000-0000-000002000000}"/>
    <cellStyle name="Header2" xfId="4" xr:uid="{00000000-0005-0000-0000-000003000000}"/>
    <cellStyle name="Heading" xfId="5" xr:uid="{00000000-0005-0000-0000-000004000000}"/>
    <cellStyle name="一般" xfId="0" builtinId="0"/>
    <cellStyle name="貨幣" xfId="6" builtinId="4"/>
    <cellStyle name="標題文字" xfId="7" xr:uid="{00000000-0005-0000-0000-000007000000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family val="3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numFmt numFmtId="179" formatCode="[$-404]e/m/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numFmt numFmtId="179" formatCode="[$-404]e/m/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numFmt numFmtId="176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細明體"/>
        <scheme val="none"/>
      </font>
      <fill>
        <patternFill patternType="solid">
          <fgColor indexed="24"/>
          <bgColor indexed="18"/>
        </patternFill>
      </fill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p_lst" displayName="emp_lst" ref="C3:M117" totalsRowShown="0" headerRowDxfId="11" headerRowCellStyle="Heading">
  <autoFilter ref="C3:M117" xr:uid="{00000000-0009-0000-0100-000001000000}"/>
  <sortState xmlns:xlrd2="http://schemas.microsoft.com/office/spreadsheetml/2017/richdata2" ref="C4:L117">
    <sortCondition ref="C3:C117"/>
  </sortState>
  <tableColumns count="11">
    <tableColumn id="1" xr3:uid="{00000000-0010-0000-0000-000001000000}" name="員工代號" dataDxfId="10"/>
    <tableColumn id="2" xr3:uid="{00000000-0010-0000-0000-000002000000}" name="姓名" dataDxfId="9"/>
    <tableColumn id="3" xr3:uid="{00000000-0010-0000-0000-000003000000}" name="職稱" dataDxfId="8"/>
    <tableColumn id="4" xr3:uid="{00000000-0010-0000-0000-000004000000}" name="部門" dataDxfId="7"/>
    <tableColumn id="5" xr3:uid="{00000000-0010-0000-0000-000005000000}" name="事業部" dataDxfId="6"/>
    <tableColumn id="6" xr3:uid="{00000000-0010-0000-0000-000006000000}" name="月薪" dataDxfId="5" dataCellStyle="貨幣"/>
    <tableColumn id="7" xr3:uid="{00000000-0010-0000-0000-000007000000}" name="到職日" dataDxfId="4"/>
    <tableColumn id="8" xr3:uid="{00000000-0010-0000-0000-000008000000}" name="生日" dataDxfId="3"/>
    <tableColumn id="9" xr3:uid="{00000000-0010-0000-0000-000009000000}" name="學歷" dataDxfId="2"/>
    <tableColumn id="10" xr3:uid="{00000000-0010-0000-0000-00000A000000}" name="戶籍地" dataDxfId="1"/>
    <tableColumn id="11" xr3:uid="{EA65B5C7-ADDB-4016-9AB1-DC161C76A7D8}" name="年資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7"/>
  <sheetViews>
    <sheetView tabSelected="1" zoomScaleNormal="100" workbookViewId="0">
      <selection activeCell="M5" sqref="M5"/>
    </sheetView>
  </sheetViews>
  <sheetFormatPr defaultRowHeight="16.5"/>
  <cols>
    <col min="1" max="1" width="5.5703125" style="2" customWidth="1"/>
    <col min="2" max="2" width="5.5703125" style="3" customWidth="1"/>
    <col min="3" max="3" width="12.85546875" style="6" customWidth="1"/>
    <col min="4" max="4" width="9.42578125" style="6" customWidth="1"/>
    <col min="5" max="5" width="15.28515625" style="3" customWidth="1"/>
    <col min="6" max="6" width="13.42578125" style="3" customWidth="1"/>
    <col min="7" max="7" width="13.42578125" style="6" customWidth="1"/>
    <col min="8" max="8" width="11.28515625" style="4" customWidth="1"/>
    <col min="9" max="9" width="11" style="5" bestFit="1" customWidth="1"/>
    <col min="10" max="10" width="11" style="3" bestFit="1" customWidth="1"/>
    <col min="11" max="11" width="9.140625" style="3"/>
    <col min="12" max="12" width="10.42578125" style="3" customWidth="1"/>
    <col min="13" max="16384" width="9.140625" style="3"/>
  </cols>
  <sheetData>
    <row r="1" spans="1:13" ht="17.25" customHeight="1">
      <c r="A1" s="3"/>
      <c r="C1" s="7"/>
      <c r="H1" s="8"/>
      <c r="I1" s="3"/>
      <c r="J1" s="7"/>
    </row>
    <row r="2" spans="1:13" ht="17.25" customHeight="1">
      <c r="A2" s="9"/>
      <c r="C2" s="7"/>
      <c r="H2" s="8"/>
      <c r="I2" s="3"/>
      <c r="L2" s="10"/>
    </row>
    <row r="3" spans="1:13" s="6" customFormat="1" ht="17.25" customHeight="1">
      <c r="A3" s="10"/>
      <c r="C3" s="11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4" t="s">
        <v>6</v>
      </c>
      <c r="J3" s="12" t="s">
        <v>7</v>
      </c>
      <c r="K3" s="12" t="s">
        <v>158</v>
      </c>
      <c r="L3" s="12" t="s">
        <v>161</v>
      </c>
      <c r="M3" s="24" t="s">
        <v>175</v>
      </c>
    </row>
    <row r="4" spans="1:13" ht="17.25" customHeight="1">
      <c r="C4" s="6">
        <v>1011</v>
      </c>
      <c r="D4" s="22" t="s">
        <v>129</v>
      </c>
      <c r="E4" s="15" t="s">
        <v>119</v>
      </c>
      <c r="F4" s="15" t="s">
        <v>120</v>
      </c>
      <c r="G4" s="15" t="s">
        <v>16</v>
      </c>
      <c r="H4" s="16">
        <v>27597.85</v>
      </c>
      <c r="I4" s="17">
        <v>31811</v>
      </c>
      <c r="J4" s="17">
        <f>24067+(365*15)</f>
        <v>29542</v>
      </c>
      <c r="K4" s="6" t="s">
        <v>153</v>
      </c>
      <c r="L4" s="6" t="s">
        <v>167</v>
      </c>
    </row>
    <row r="5" spans="1:13">
      <c r="A5" s="1"/>
      <c r="C5" s="6">
        <v>1012</v>
      </c>
      <c r="D5" s="22" t="s">
        <v>29</v>
      </c>
      <c r="E5" s="15" t="s">
        <v>30</v>
      </c>
      <c r="F5" s="15" t="s">
        <v>10</v>
      </c>
      <c r="G5" s="21" t="s">
        <v>11</v>
      </c>
      <c r="H5" s="16">
        <v>43394.15</v>
      </c>
      <c r="I5" s="17">
        <v>31803</v>
      </c>
      <c r="J5" s="17">
        <f>24078+(365*15)</f>
        <v>29553</v>
      </c>
      <c r="K5" s="6" t="s">
        <v>157</v>
      </c>
      <c r="L5" s="6" t="s">
        <v>159</v>
      </c>
    </row>
    <row r="6" spans="1:13">
      <c r="C6" s="6">
        <v>1013</v>
      </c>
      <c r="D6" s="3" t="s">
        <v>107</v>
      </c>
      <c r="E6" s="3" t="s">
        <v>9</v>
      </c>
      <c r="F6" s="15" t="s">
        <v>105</v>
      </c>
      <c r="G6" s="21" t="s">
        <v>11</v>
      </c>
      <c r="H6" s="16">
        <v>28043.68</v>
      </c>
      <c r="I6" s="17">
        <v>34075</v>
      </c>
      <c r="J6" s="17">
        <f>24132+(365*15)</f>
        <v>29607</v>
      </c>
      <c r="K6" s="6" t="s">
        <v>155</v>
      </c>
      <c r="L6" s="6" t="s">
        <v>159</v>
      </c>
    </row>
    <row r="7" spans="1:13">
      <c r="C7" s="6">
        <v>1014</v>
      </c>
      <c r="D7" s="3" t="s">
        <v>68</v>
      </c>
      <c r="E7" s="15" t="s">
        <v>63</v>
      </c>
      <c r="F7" s="15" t="s">
        <v>64</v>
      </c>
      <c r="G7" s="15" t="s">
        <v>16</v>
      </c>
      <c r="H7" s="16">
        <v>25176.06</v>
      </c>
      <c r="I7" s="17">
        <v>33709</v>
      </c>
      <c r="J7" s="17">
        <f>25058+(365*15)</f>
        <v>30533</v>
      </c>
      <c r="K7" s="6" t="s">
        <v>156</v>
      </c>
      <c r="L7" s="6" t="s">
        <v>167</v>
      </c>
    </row>
    <row r="8" spans="1:13">
      <c r="C8" s="6">
        <v>1015</v>
      </c>
      <c r="D8" s="22" t="s">
        <v>81</v>
      </c>
      <c r="E8" s="3" t="s">
        <v>9</v>
      </c>
      <c r="F8" s="15" t="s">
        <v>75</v>
      </c>
      <c r="G8" s="15" t="s">
        <v>16</v>
      </c>
      <c r="H8" s="16">
        <v>26040.560000000001</v>
      </c>
      <c r="I8" s="17">
        <v>33701</v>
      </c>
      <c r="J8" s="17">
        <f>25069+(365*15)</f>
        <v>30544</v>
      </c>
      <c r="K8" s="6" t="s">
        <v>153</v>
      </c>
      <c r="L8" s="6" t="s">
        <v>169</v>
      </c>
    </row>
    <row r="9" spans="1:13">
      <c r="A9" s="1"/>
      <c r="C9" s="6">
        <v>1016</v>
      </c>
      <c r="D9" s="3" t="s">
        <v>152</v>
      </c>
      <c r="E9" s="15" t="s">
        <v>147</v>
      </c>
      <c r="F9" s="15" t="s">
        <v>137</v>
      </c>
      <c r="G9" s="15" t="s">
        <v>16</v>
      </c>
      <c r="H9" s="18">
        <v>116511.36</v>
      </c>
      <c r="I9" s="19">
        <v>29518</v>
      </c>
      <c r="J9" s="17">
        <f>14116+(365*15)</f>
        <v>19591</v>
      </c>
      <c r="K9" s="20" t="s">
        <v>154</v>
      </c>
      <c r="L9" s="6" t="s">
        <v>170</v>
      </c>
    </row>
    <row r="10" spans="1:13">
      <c r="C10" s="6">
        <v>1017</v>
      </c>
      <c r="D10" s="3" t="s">
        <v>71</v>
      </c>
      <c r="E10" s="15" t="s">
        <v>67</v>
      </c>
      <c r="F10" s="15" t="s">
        <v>64</v>
      </c>
      <c r="G10" s="21" t="s">
        <v>13</v>
      </c>
      <c r="H10" s="16">
        <v>36939.839999999997</v>
      </c>
      <c r="I10" s="17">
        <v>32405</v>
      </c>
      <c r="J10" s="17">
        <f>22919+(365*15)</f>
        <v>28394</v>
      </c>
      <c r="K10" s="6" t="s">
        <v>153</v>
      </c>
      <c r="L10" s="6" t="s">
        <v>168</v>
      </c>
    </row>
    <row r="11" spans="1:13">
      <c r="C11" s="6">
        <v>1018</v>
      </c>
      <c r="D11" s="3" t="s">
        <v>42</v>
      </c>
      <c r="E11" s="15" t="s">
        <v>30</v>
      </c>
      <c r="F11" s="15" t="s">
        <v>10</v>
      </c>
      <c r="G11" s="21" t="s">
        <v>11</v>
      </c>
      <c r="H11" s="16">
        <v>47883.199999999997</v>
      </c>
      <c r="I11" s="17">
        <v>32397</v>
      </c>
      <c r="J11" s="17">
        <f>22930+(365*15)</f>
        <v>28405</v>
      </c>
      <c r="K11" s="6" t="s">
        <v>153</v>
      </c>
      <c r="L11" s="6" t="s">
        <v>167</v>
      </c>
    </row>
    <row r="12" spans="1:13">
      <c r="C12" s="6">
        <v>1019</v>
      </c>
      <c r="D12" s="3" t="s">
        <v>62</v>
      </c>
      <c r="E12" s="15" t="s">
        <v>63</v>
      </c>
      <c r="F12" s="15" t="s">
        <v>64</v>
      </c>
      <c r="G12" s="15" t="s">
        <v>11</v>
      </c>
      <c r="H12" s="16">
        <v>23239.439999999999</v>
      </c>
      <c r="I12" s="17">
        <v>34188</v>
      </c>
      <c r="J12" s="17">
        <f>25808+(365*15)</f>
        <v>31283</v>
      </c>
      <c r="K12" s="6" t="s">
        <v>157</v>
      </c>
      <c r="L12" s="6" t="s">
        <v>162</v>
      </c>
    </row>
    <row r="13" spans="1:13">
      <c r="C13" s="6">
        <v>1020</v>
      </c>
      <c r="D13" s="3" t="s">
        <v>60</v>
      </c>
      <c r="E13" s="15" t="s">
        <v>23</v>
      </c>
      <c r="F13" s="15" t="s">
        <v>10</v>
      </c>
      <c r="G13" s="15" t="s">
        <v>16</v>
      </c>
      <c r="H13" s="18">
        <v>105753.02</v>
      </c>
      <c r="I13" s="19">
        <v>29431</v>
      </c>
      <c r="J13" s="17">
        <f>15227+(365*15)</f>
        <v>20702</v>
      </c>
      <c r="K13" s="20" t="s">
        <v>155</v>
      </c>
      <c r="L13" s="6" t="s">
        <v>171</v>
      </c>
    </row>
    <row r="14" spans="1:13">
      <c r="C14" s="6">
        <v>1021</v>
      </c>
      <c r="D14" s="3" t="s">
        <v>87</v>
      </c>
      <c r="E14" s="15" t="s">
        <v>21</v>
      </c>
      <c r="F14" s="15" t="s">
        <v>75</v>
      </c>
      <c r="G14" s="21" t="s">
        <v>11</v>
      </c>
      <c r="H14" s="16">
        <v>29982.58</v>
      </c>
      <c r="I14" s="17">
        <v>31868</v>
      </c>
      <c r="J14" s="17">
        <f>23336+(365*15)</f>
        <v>28811</v>
      </c>
      <c r="K14" s="6" t="s">
        <v>157</v>
      </c>
      <c r="L14" s="6" t="s">
        <v>167</v>
      </c>
    </row>
    <row r="15" spans="1:13">
      <c r="C15" s="6">
        <v>1022</v>
      </c>
      <c r="D15" s="3" t="s">
        <v>144</v>
      </c>
      <c r="E15" s="15" t="s">
        <v>21</v>
      </c>
      <c r="F15" s="15" t="s">
        <v>137</v>
      </c>
      <c r="G15" s="21" t="s">
        <v>11</v>
      </c>
      <c r="H15" s="16">
        <v>29982.58</v>
      </c>
      <c r="I15" s="17">
        <v>31860</v>
      </c>
      <c r="J15" s="17">
        <f>23347+(365*15)</f>
        <v>28822</v>
      </c>
      <c r="K15" s="6" t="s">
        <v>153</v>
      </c>
      <c r="L15" s="6" t="s">
        <v>163</v>
      </c>
    </row>
    <row r="16" spans="1:13">
      <c r="C16" s="6">
        <v>1023</v>
      </c>
      <c r="D16" s="3" t="s">
        <v>117</v>
      </c>
      <c r="E16" s="15" t="s">
        <v>115</v>
      </c>
      <c r="F16" s="15" t="s">
        <v>105</v>
      </c>
      <c r="G16" s="21" t="s">
        <v>11</v>
      </c>
      <c r="H16" s="16">
        <v>64738.18</v>
      </c>
      <c r="I16" s="17">
        <v>32810</v>
      </c>
      <c r="J16" s="17">
        <f>19699+(365*15)</f>
        <v>25174</v>
      </c>
      <c r="K16" s="6" t="s">
        <v>153</v>
      </c>
      <c r="L16" s="6" t="s">
        <v>167</v>
      </c>
    </row>
    <row r="17" spans="1:12">
      <c r="C17" s="6">
        <v>1024</v>
      </c>
      <c r="D17" s="3" t="s">
        <v>124</v>
      </c>
      <c r="E17" s="3" t="s">
        <v>119</v>
      </c>
      <c r="F17" s="15" t="s">
        <v>120</v>
      </c>
      <c r="G17" s="21" t="s">
        <v>11</v>
      </c>
      <c r="H17" s="16">
        <v>26646.2</v>
      </c>
      <c r="I17" s="17">
        <v>33259</v>
      </c>
      <c r="J17" s="17">
        <f>24403+(365*15)</f>
        <v>29878</v>
      </c>
      <c r="K17" s="6" t="s">
        <v>153</v>
      </c>
      <c r="L17" s="6" t="s">
        <v>167</v>
      </c>
    </row>
    <row r="18" spans="1:12">
      <c r="C18" s="6">
        <v>1025</v>
      </c>
      <c r="D18" s="22" t="s">
        <v>126</v>
      </c>
      <c r="E18" s="3" t="s">
        <v>9</v>
      </c>
      <c r="F18" s="15" t="s">
        <v>120</v>
      </c>
      <c r="G18" s="21" t="s">
        <v>11</v>
      </c>
      <c r="H18" s="16">
        <v>28043.68</v>
      </c>
      <c r="I18" s="17">
        <v>33251</v>
      </c>
      <c r="J18" s="17">
        <f>24414+(365*15)</f>
        <v>29889</v>
      </c>
      <c r="K18" s="6" t="s">
        <v>153</v>
      </c>
      <c r="L18" s="6" t="s">
        <v>165</v>
      </c>
    </row>
    <row r="19" spans="1:12">
      <c r="C19" s="6">
        <v>1026</v>
      </c>
      <c r="D19" s="3" t="s">
        <v>54</v>
      </c>
      <c r="E19" s="15" t="s">
        <v>15</v>
      </c>
      <c r="F19" s="15" t="s">
        <v>10</v>
      </c>
      <c r="G19" s="15" t="s">
        <v>16</v>
      </c>
      <c r="H19" s="16">
        <v>56177.3</v>
      </c>
      <c r="I19" s="17">
        <v>32330</v>
      </c>
      <c r="J19" s="17">
        <f>20765+(365*15)</f>
        <v>26240</v>
      </c>
      <c r="K19" s="6" t="s">
        <v>153</v>
      </c>
      <c r="L19" s="6" t="s">
        <v>162</v>
      </c>
    </row>
    <row r="20" spans="1:12">
      <c r="C20" s="6">
        <v>1027</v>
      </c>
      <c r="D20" s="3" t="s">
        <v>73</v>
      </c>
      <c r="E20" s="15" t="s">
        <v>74</v>
      </c>
      <c r="F20" s="15" t="s">
        <v>75</v>
      </c>
      <c r="G20" s="15" t="s">
        <v>16</v>
      </c>
      <c r="H20" s="16">
        <v>31913.88</v>
      </c>
      <c r="I20" s="17">
        <v>33711</v>
      </c>
      <c r="J20" s="17">
        <f>26111+(365*15)</f>
        <v>31586</v>
      </c>
      <c r="K20" s="6" t="s">
        <v>153</v>
      </c>
      <c r="L20" s="6" t="s">
        <v>162</v>
      </c>
    </row>
    <row r="21" spans="1:12">
      <c r="C21" s="6">
        <v>1028</v>
      </c>
      <c r="D21" s="22" t="s">
        <v>12</v>
      </c>
      <c r="E21" s="3" t="s">
        <v>9</v>
      </c>
      <c r="F21" s="15" t="s">
        <v>10</v>
      </c>
      <c r="G21" s="21" t="s">
        <v>13</v>
      </c>
      <c r="H21" s="16">
        <v>23035.88</v>
      </c>
      <c r="I21" s="17">
        <v>33703</v>
      </c>
      <c r="J21" s="17">
        <f>26122+(365*15)</f>
        <v>31597</v>
      </c>
      <c r="K21" s="6" t="s">
        <v>153</v>
      </c>
      <c r="L21" s="6" t="s">
        <v>165</v>
      </c>
    </row>
    <row r="22" spans="1:12">
      <c r="C22" s="6">
        <v>1029</v>
      </c>
      <c r="D22" s="3" t="s">
        <v>14</v>
      </c>
      <c r="E22" s="15" t="s">
        <v>15</v>
      </c>
      <c r="F22" s="15" t="s">
        <v>10</v>
      </c>
      <c r="G22" s="21" t="s">
        <v>16</v>
      </c>
      <c r="H22" s="16">
        <v>34002.050000000003</v>
      </c>
      <c r="I22" s="17">
        <v>34255</v>
      </c>
      <c r="J22" s="17">
        <f>26126+(365*15)</f>
        <v>31601</v>
      </c>
      <c r="K22" s="6" t="s">
        <v>153</v>
      </c>
      <c r="L22" s="6" t="s">
        <v>167</v>
      </c>
    </row>
    <row r="23" spans="1:12">
      <c r="C23" s="6">
        <v>1030</v>
      </c>
      <c r="D23" s="3" t="s">
        <v>90</v>
      </c>
      <c r="E23" s="3" t="s">
        <v>77</v>
      </c>
      <c r="F23" s="15" t="s">
        <v>75</v>
      </c>
      <c r="G23" s="21" t="s">
        <v>13</v>
      </c>
      <c r="H23" s="16">
        <v>46486.05</v>
      </c>
      <c r="I23" s="17">
        <v>31416</v>
      </c>
      <c r="J23" s="17">
        <f>23356+(365*15)</f>
        <v>28831</v>
      </c>
      <c r="K23" s="6" t="s">
        <v>153</v>
      </c>
      <c r="L23" s="6" t="s">
        <v>167</v>
      </c>
    </row>
    <row r="24" spans="1:12">
      <c r="C24" s="6">
        <v>1031</v>
      </c>
      <c r="D24" s="3" t="s">
        <v>88</v>
      </c>
      <c r="E24" s="15" t="s">
        <v>89</v>
      </c>
      <c r="F24" s="15" t="s">
        <v>75</v>
      </c>
      <c r="G24" s="21" t="s">
        <v>11</v>
      </c>
      <c r="H24" s="16">
        <v>77179.149999999994</v>
      </c>
      <c r="I24" s="17">
        <v>31408</v>
      </c>
      <c r="J24" s="17">
        <f>23367+(365*15)</f>
        <v>28842</v>
      </c>
      <c r="K24" s="6" t="s">
        <v>155</v>
      </c>
      <c r="L24" s="6" t="s">
        <v>162</v>
      </c>
    </row>
    <row r="25" spans="1:12">
      <c r="C25" s="6">
        <v>1032</v>
      </c>
      <c r="D25" s="3" t="s">
        <v>141</v>
      </c>
      <c r="E25" s="15" t="s">
        <v>21</v>
      </c>
      <c r="F25" s="15" t="s">
        <v>137</v>
      </c>
      <c r="G25" s="15" t="s">
        <v>13</v>
      </c>
      <c r="H25" s="16">
        <v>26113.86</v>
      </c>
      <c r="I25" s="17">
        <v>31415</v>
      </c>
      <c r="J25" s="17">
        <f>24565+(365*15)</f>
        <v>30040</v>
      </c>
      <c r="K25" s="6" t="s">
        <v>153</v>
      </c>
      <c r="L25" s="6" t="s">
        <v>163</v>
      </c>
    </row>
    <row r="26" spans="1:12">
      <c r="C26" s="6">
        <v>1033</v>
      </c>
      <c r="D26" s="3" t="s">
        <v>148</v>
      </c>
      <c r="E26" s="15" t="s">
        <v>21</v>
      </c>
      <c r="F26" s="15" t="s">
        <v>137</v>
      </c>
      <c r="G26" s="21" t="s">
        <v>11</v>
      </c>
      <c r="H26" s="16">
        <v>35785.660000000003</v>
      </c>
      <c r="I26" s="17">
        <v>31407</v>
      </c>
      <c r="J26" s="17">
        <f>20924+(365*15)</f>
        <v>26399</v>
      </c>
      <c r="K26" s="6" t="s">
        <v>153</v>
      </c>
      <c r="L26" s="6" t="s">
        <v>163</v>
      </c>
    </row>
    <row r="27" spans="1:12">
      <c r="C27" s="6">
        <v>1034</v>
      </c>
      <c r="D27" s="3" t="s">
        <v>95</v>
      </c>
      <c r="E27" s="15" t="s">
        <v>74</v>
      </c>
      <c r="F27" s="15" t="s">
        <v>75</v>
      </c>
      <c r="G27" s="21" t="s">
        <v>11</v>
      </c>
      <c r="H27" s="16">
        <v>51339.72</v>
      </c>
      <c r="I27" s="17">
        <v>32466</v>
      </c>
      <c r="J27" s="17">
        <f>20928+(365*15)</f>
        <v>26403</v>
      </c>
      <c r="K27" s="6" t="s">
        <v>153</v>
      </c>
      <c r="L27" s="6" t="s">
        <v>167</v>
      </c>
    </row>
    <row r="28" spans="1:12">
      <c r="C28" s="6">
        <v>1035</v>
      </c>
      <c r="D28" s="3" t="s">
        <v>57</v>
      </c>
      <c r="E28" s="15" t="s">
        <v>25</v>
      </c>
      <c r="F28" s="15" t="s">
        <v>10</v>
      </c>
      <c r="G28" s="21" t="s">
        <v>11</v>
      </c>
      <c r="H28" s="16">
        <v>40897.35</v>
      </c>
      <c r="I28" s="17">
        <v>31304</v>
      </c>
      <c r="J28" s="17">
        <f>20326+(365*15)</f>
        <v>25801</v>
      </c>
      <c r="K28" s="6" t="s">
        <v>153</v>
      </c>
      <c r="L28" s="6" t="s">
        <v>167</v>
      </c>
    </row>
    <row r="29" spans="1:12">
      <c r="C29" s="6">
        <v>1036</v>
      </c>
      <c r="D29" s="3" t="s">
        <v>56</v>
      </c>
      <c r="E29" s="15" t="s">
        <v>30</v>
      </c>
      <c r="F29" s="15" t="s">
        <v>10</v>
      </c>
      <c r="G29" s="21" t="s">
        <v>13</v>
      </c>
      <c r="H29" s="16">
        <v>58357.65</v>
      </c>
      <c r="I29" s="17">
        <v>31296</v>
      </c>
      <c r="J29" s="17">
        <f>20337+(365*15)</f>
        <v>25812</v>
      </c>
      <c r="K29" s="6" t="s">
        <v>153</v>
      </c>
      <c r="L29" s="6" t="s">
        <v>162</v>
      </c>
    </row>
    <row r="30" spans="1:12">
      <c r="A30" s="1"/>
      <c r="C30" s="6">
        <v>1037</v>
      </c>
      <c r="D30" s="22" t="s">
        <v>28</v>
      </c>
      <c r="E30" s="15" t="s">
        <v>19</v>
      </c>
      <c r="F30" s="15" t="s">
        <v>10</v>
      </c>
      <c r="G30" s="15" t="s">
        <v>16</v>
      </c>
      <c r="H30" s="16">
        <v>24854.2</v>
      </c>
      <c r="I30" s="17">
        <v>33228</v>
      </c>
      <c r="J30" s="17">
        <f>24363+(365*15)</f>
        <v>29838</v>
      </c>
      <c r="K30" s="6" t="s">
        <v>157</v>
      </c>
      <c r="L30" s="6" t="s">
        <v>167</v>
      </c>
    </row>
    <row r="31" spans="1:12">
      <c r="C31" s="6">
        <v>1038</v>
      </c>
      <c r="D31" s="3" t="s">
        <v>123</v>
      </c>
      <c r="E31" s="15" t="s">
        <v>122</v>
      </c>
      <c r="F31" s="15" t="s">
        <v>120</v>
      </c>
      <c r="G31" s="15" t="s">
        <v>11</v>
      </c>
      <c r="H31" s="16">
        <v>30451.68</v>
      </c>
      <c r="I31" s="17">
        <v>33220</v>
      </c>
      <c r="J31" s="17">
        <f>24374+(365*15)</f>
        <v>29849</v>
      </c>
      <c r="K31" s="6" t="s">
        <v>153</v>
      </c>
      <c r="L31" s="6" t="s">
        <v>167</v>
      </c>
    </row>
    <row r="32" spans="1:12">
      <c r="C32" s="6">
        <v>1039</v>
      </c>
      <c r="D32" s="3" t="s">
        <v>53</v>
      </c>
      <c r="E32" s="15" t="s">
        <v>46</v>
      </c>
      <c r="F32" s="15" t="s">
        <v>10</v>
      </c>
      <c r="G32" s="21" t="s">
        <v>11</v>
      </c>
      <c r="H32" s="16">
        <v>58325.82</v>
      </c>
      <c r="I32" s="17">
        <v>31786</v>
      </c>
      <c r="J32" s="17">
        <f>20725+(365*15)</f>
        <v>26200</v>
      </c>
      <c r="K32" s="6" t="s">
        <v>155</v>
      </c>
      <c r="L32" s="6" t="s">
        <v>163</v>
      </c>
    </row>
    <row r="33" spans="3:12">
      <c r="C33" s="6">
        <v>1040</v>
      </c>
      <c r="D33" s="3" t="s">
        <v>82</v>
      </c>
      <c r="E33" s="15" t="s">
        <v>21</v>
      </c>
      <c r="F33" s="15" t="s">
        <v>75</v>
      </c>
      <c r="G33" s="21" t="s">
        <v>13</v>
      </c>
      <c r="H33" s="16">
        <v>27081.040000000001</v>
      </c>
      <c r="I33" s="17">
        <v>31265</v>
      </c>
      <c r="J33" s="17">
        <f>24283+(365*15)</f>
        <v>29758</v>
      </c>
      <c r="K33" s="6" t="s">
        <v>153</v>
      </c>
      <c r="L33" s="6" t="s">
        <v>167</v>
      </c>
    </row>
    <row r="34" spans="3:12">
      <c r="C34" s="6">
        <v>1041</v>
      </c>
      <c r="D34" s="3" t="s">
        <v>52</v>
      </c>
      <c r="E34" s="15" t="s">
        <v>35</v>
      </c>
      <c r="F34" s="15" t="s">
        <v>10</v>
      </c>
      <c r="G34" s="21" t="s">
        <v>13</v>
      </c>
      <c r="H34" s="16">
        <v>79280.160000000003</v>
      </c>
      <c r="I34" s="17">
        <v>31257</v>
      </c>
      <c r="J34" s="17">
        <f>20641+(365*15)</f>
        <v>26116</v>
      </c>
      <c r="K34" s="6" t="s">
        <v>156</v>
      </c>
      <c r="L34" s="6" t="s">
        <v>159</v>
      </c>
    </row>
    <row r="35" spans="3:12">
      <c r="C35" s="6">
        <v>1042</v>
      </c>
      <c r="D35" s="3" t="s">
        <v>55</v>
      </c>
      <c r="E35" s="15" t="s">
        <v>15</v>
      </c>
      <c r="F35" s="15" t="s">
        <v>10</v>
      </c>
      <c r="G35" s="21" t="s">
        <v>11</v>
      </c>
      <c r="H35" s="16">
        <v>56177.3</v>
      </c>
      <c r="I35" s="17">
        <v>32570</v>
      </c>
      <c r="J35" s="17">
        <f>20645+(365*15)</f>
        <v>26120</v>
      </c>
      <c r="K35" s="6" t="s">
        <v>153</v>
      </c>
      <c r="L35" s="6" t="s">
        <v>166</v>
      </c>
    </row>
    <row r="36" spans="3:12">
      <c r="C36" s="6">
        <v>1043</v>
      </c>
      <c r="D36" s="3" t="s">
        <v>32</v>
      </c>
      <c r="E36" s="15" t="s">
        <v>25</v>
      </c>
      <c r="F36" s="15" t="s">
        <v>10</v>
      </c>
      <c r="G36" s="15" t="s">
        <v>13</v>
      </c>
      <c r="H36" s="16">
        <v>30410.85</v>
      </c>
      <c r="I36" s="17">
        <v>32054</v>
      </c>
      <c r="J36" s="17">
        <f>24048+(365*15)</f>
        <v>29523</v>
      </c>
      <c r="K36" s="6" t="s">
        <v>153</v>
      </c>
      <c r="L36" s="6" t="s">
        <v>167</v>
      </c>
    </row>
    <row r="37" spans="3:12">
      <c r="C37" s="6">
        <v>1044</v>
      </c>
      <c r="D37" s="22" t="s">
        <v>85</v>
      </c>
      <c r="E37" s="3" t="s">
        <v>77</v>
      </c>
      <c r="F37" s="15" t="s">
        <v>75</v>
      </c>
      <c r="G37" s="21" t="s">
        <v>11</v>
      </c>
      <c r="H37" s="16">
        <v>43486.95</v>
      </c>
      <c r="I37" s="17">
        <v>32046</v>
      </c>
      <c r="J37" s="17">
        <f>24059+(365*15)</f>
        <v>29534</v>
      </c>
      <c r="K37" s="6" t="s">
        <v>153</v>
      </c>
      <c r="L37" s="6" t="s">
        <v>164</v>
      </c>
    </row>
    <row r="38" spans="3:12">
      <c r="C38" s="6">
        <v>1045</v>
      </c>
      <c r="D38" s="22" t="s">
        <v>33</v>
      </c>
      <c r="E38" s="15" t="s">
        <v>25</v>
      </c>
      <c r="F38" s="15" t="s">
        <v>10</v>
      </c>
      <c r="G38" s="21" t="s">
        <v>11</v>
      </c>
      <c r="H38" s="16">
        <v>30410.85</v>
      </c>
      <c r="I38" s="17">
        <v>32926</v>
      </c>
      <c r="J38" s="17">
        <f>23868+(365*15)</f>
        <v>29343</v>
      </c>
      <c r="K38" s="6" t="s">
        <v>153</v>
      </c>
      <c r="L38" s="6" t="s">
        <v>168</v>
      </c>
    </row>
    <row r="39" spans="3:12">
      <c r="C39" s="6">
        <v>1046</v>
      </c>
      <c r="D39" s="3" t="s">
        <v>127</v>
      </c>
      <c r="E39" s="15" t="s">
        <v>122</v>
      </c>
      <c r="F39" s="15" t="s">
        <v>120</v>
      </c>
      <c r="G39" s="15" t="s">
        <v>16</v>
      </c>
      <c r="H39" s="16">
        <v>31539.24</v>
      </c>
      <c r="I39" s="17">
        <v>32918</v>
      </c>
      <c r="J39" s="17">
        <f>23879+(365*15)</f>
        <v>29354</v>
      </c>
      <c r="K39" s="6" t="s">
        <v>153</v>
      </c>
      <c r="L39" s="6" t="s">
        <v>166</v>
      </c>
    </row>
    <row r="40" spans="3:12">
      <c r="C40" s="6">
        <v>1047</v>
      </c>
      <c r="D40" s="22" t="s">
        <v>31</v>
      </c>
      <c r="E40" s="15" t="s">
        <v>15</v>
      </c>
      <c r="F40" s="15" t="s">
        <v>10</v>
      </c>
      <c r="G40" s="21" t="s">
        <v>11</v>
      </c>
      <c r="H40" s="16">
        <v>42872.15</v>
      </c>
      <c r="I40" s="17">
        <v>33004</v>
      </c>
      <c r="J40" s="17">
        <f>23883+(365*15)</f>
        <v>29358</v>
      </c>
      <c r="K40" s="6" t="s">
        <v>153</v>
      </c>
      <c r="L40" s="6" t="s">
        <v>165</v>
      </c>
    </row>
    <row r="41" spans="3:12">
      <c r="C41" s="6">
        <v>1048</v>
      </c>
      <c r="D41" s="22" t="s">
        <v>27</v>
      </c>
      <c r="E41" s="15" t="s">
        <v>25</v>
      </c>
      <c r="F41" s="15" t="s">
        <v>10</v>
      </c>
      <c r="G41" s="15" t="s">
        <v>16</v>
      </c>
      <c r="H41" s="16">
        <v>29362.2</v>
      </c>
      <c r="I41" s="17">
        <v>33344</v>
      </c>
      <c r="J41" s="17">
        <f>24387+(365*15)</f>
        <v>29862</v>
      </c>
      <c r="K41" s="6" t="s">
        <v>153</v>
      </c>
      <c r="L41" s="6" t="s">
        <v>167</v>
      </c>
    </row>
    <row r="42" spans="3:12">
      <c r="C42" s="6">
        <v>1049</v>
      </c>
      <c r="D42" s="3" t="s">
        <v>108</v>
      </c>
      <c r="E42" s="3" t="s">
        <v>9</v>
      </c>
      <c r="F42" s="15" t="s">
        <v>105</v>
      </c>
      <c r="G42" s="15" t="s">
        <v>13</v>
      </c>
      <c r="H42" s="16">
        <v>28043.68</v>
      </c>
      <c r="I42" s="17">
        <v>33336</v>
      </c>
      <c r="J42" s="17">
        <f>24398+(365*15)</f>
        <v>29873</v>
      </c>
      <c r="K42" s="6" t="s">
        <v>153</v>
      </c>
      <c r="L42" s="6" t="s">
        <v>162</v>
      </c>
    </row>
    <row r="43" spans="3:12">
      <c r="C43" s="6">
        <v>1050</v>
      </c>
      <c r="D43" s="15" t="s">
        <v>51</v>
      </c>
      <c r="E43" s="15" t="s">
        <v>19</v>
      </c>
      <c r="F43" s="15" t="s">
        <v>10</v>
      </c>
      <c r="G43" s="21" t="s">
        <v>11</v>
      </c>
      <c r="H43" s="16">
        <v>31067.75</v>
      </c>
      <c r="I43" s="17">
        <v>30577</v>
      </c>
      <c r="J43" s="17">
        <f>21753+(365*15)</f>
        <v>27228</v>
      </c>
      <c r="K43" s="6" t="s">
        <v>157</v>
      </c>
      <c r="L43" s="6" t="s">
        <v>167</v>
      </c>
    </row>
    <row r="44" spans="3:12">
      <c r="C44" s="6">
        <v>1051</v>
      </c>
      <c r="D44" s="3" t="s">
        <v>114</v>
      </c>
      <c r="E44" s="3" t="s">
        <v>115</v>
      </c>
      <c r="F44" s="15" t="s">
        <v>105</v>
      </c>
      <c r="G44" s="21" t="s">
        <v>11</v>
      </c>
      <c r="H44" s="16">
        <v>59455.199999999997</v>
      </c>
      <c r="I44" s="17">
        <v>30569</v>
      </c>
      <c r="J44" s="17">
        <f>21764+(365*15)</f>
        <v>27239</v>
      </c>
      <c r="K44" s="6" t="s">
        <v>153</v>
      </c>
      <c r="L44" s="6" t="s">
        <v>169</v>
      </c>
    </row>
    <row r="45" spans="3:12">
      <c r="C45" s="6">
        <v>1052</v>
      </c>
      <c r="D45" s="15" t="s">
        <v>59</v>
      </c>
      <c r="E45" s="15" t="s">
        <v>46</v>
      </c>
      <c r="F45" s="15" t="s">
        <v>10</v>
      </c>
      <c r="G45" s="15" t="s">
        <v>16</v>
      </c>
      <c r="H45" s="16">
        <v>69070.05</v>
      </c>
      <c r="I45" s="17">
        <v>31903</v>
      </c>
      <c r="J45" s="17">
        <f>18116+(365*15)</f>
        <v>23591</v>
      </c>
      <c r="K45" s="6" t="s">
        <v>156</v>
      </c>
      <c r="L45" s="6" t="s">
        <v>167</v>
      </c>
    </row>
    <row r="46" spans="3:12">
      <c r="C46" s="6">
        <v>1053</v>
      </c>
      <c r="D46" s="3" t="s">
        <v>94</v>
      </c>
      <c r="E46" s="3" t="s">
        <v>77</v>
      </c>
      <c r="F46" s="15" t="s">
        <v>75</v>
      </c>
      <c r="G46" s="21" t="s">
        <v>11</v>
      </c>
      <c r="H46" s="16">
        <v>49485.15</v>
      </c>
      <c r="I46" s="17">
        <v>33459</v>
      </c>
      <c r="J46" s="17">
        <f>22439+(365*15)</f>
        <v>27914</v>
      </c>
      <c r="K46" s="6" t="s">
        <v>153</v>
      </c>
      <c r="L46" s="6" t="s">
        <v>167</v>
      </c>
    </row>
    <row r="47" spans="3:12">
      <c r="C47" s="6">
        <v>1054</v>
      </c>
      <c r="D47" s="3" t="s">
        <v>44</v>
      </c>
      <c r="E47" s="3" t="s">
        <v>9</v>
      </c>
      <c r="F47" s="15" t="s">
        <v>10</v>
      </c>
      <c r="G47" s="15" t="s">
        <v>16</v>
      </c>
      <c r="H47" s="16">
        <v>33051.480000000003</v>
      </c>
      <c r="I47" s="17">
        <v>32721</v>
      </c>
      <c r="J47" s="17">
        <f>22450+(365*15)</f>
        <v>27925</v>
      </c>
      <c r="K47" s="6" t="s">
        <v>153</v>
      </c>
      <c r="L47" s="6" t="s">
        <v>162</v>
      </c>
    </row>
    <row r="48" spans="3:12">
      <c r="C48" s="6">
        <v>1055</v>
      </c>
      <c r="D48" s="3" t="s">
        <v>110</v>
      </c>
      <c r="E48" s="15" t="s">
        <v>25</v>
      </c>
      <c r="F48" s="15" t="s">
        <v>105</v>
      </c>
      <c r="G48" s="21" t="s">
        <v>11</v>
      </c>
      <c r="H48" s="16">
        <v>34605.449999999997</v>
      </c>
      <c r="I48" s="17">
        <v>32711</v>
      </c>
      <c r="J48" s="17">
        <f>22454+(365*15)</f>
        <v>27929</v>
      </c>
      <c r="K48" s="6" t="s">
        <v>153</v>
      </c>
      <c r="L48" s="6" t="s">
        <v>160</v>
      </c>
    </row>
    <row r="49" spans="1:12">
      <c r="C49" s="6">
        <v>1056</v>
      </c>
      <c r="D49" s="3" t="s">
        <v>145</v>
      </c>
      <c r="E49" s="15" t="s">
        <v>21</v>
      </c>
      <c r="F49" s="15" t="s">
        <v>137</v>
      </c>
      <c r="G49" s="21" t="s">
        <v>13</v>
      </c>
      <c r="H49" s="16">
        <v>32884.120000000003</v>
      </c>
      <c r="I49" s="17">
        <v>30751</v>
      </c>
      <c r="J49" s="17">
        <f>22043+(365*15)</f>
        <v>27518</v>
      </c>
      <c r="K49" s="6" t="s">
        <v>153</v>
      </c>
      <c r="L49" s="6" t="s">
        <v>164</v>
      </c>
    </row>
    <row r="50" spans="1:12">
      <c r="C50" s="6">
        <v>1057</v>
      </c>
      <c r="D50" s="3" t="s">
        <v>111</v>
      </c>
      <c r="E50" s="3" t="s">
        <v>112</v>
      </c>
      <c r="F50" s="15" t="s">
        <v>105</v>
      </c>
      <c r="G50" s="21" t="s">
        <v>13</v>
      </c>
      <c r="H50" s="16">
        <v>57756.480000000003</v>
      </c>
      <c r="I50" s="17">
        <v>30743</v>
      </c>
      <c r="J50" s="17">
        <f>22054+(365*15)</f>
        <v>27529</v>
      </c>
      <c r="K50" s="6" t="s">
        <v>153</v>
      </c>
      <c r="L50" s="6" t="s">
        <v>165</v>
      </c>
    </row>
    <row r="51" spans="1:12">
      <c r="C51" s="6">
        <v>1058</v>
      </c>
      <c r="D51" s="3" t="s">
        <v>113</v>
      </c>
      <c r="E51" s="15" t="s">
        <v>104</v>
      </c>
      <c r="F51" s="15" t="s">
        <v>105</v>
      </c>
      <c r="G51" s="21" t="s">
        <v>11</v>
      </c>
      <c r="H51" s="16">
        <v>53685.32</v>
      </c>
      <c r="I51" s="17">
        <v>32473</v>
      </c>
      <c r="J51" s="17">
        <f>22058+(365*15)</f>
        <v>27533</v>
      </c>
      <c r="K51" s="6" t="s">
        <v>153</v>
      </c>
      <c r="L51" s="6" t="s">
        <v>167</v>
      </c>
    </row>
    <row r="52" spans="1:12">
      <c r="C52" s="6">
        <v>1059</v>
      </c>
      <c r="D52" s="3" t="s">
        <v>80</v>
      </c>
      <c r="E52" s="15" t="s">
        <v>74</v>
      </c>
      <c r="F52" s="15" t="s">
        <v>75</v>
      </c>
      <c r="G52" s="15" t="s">
        <v>13</v>
      </c>
      <c r="H52" s="16">
        <v>34689</v>
      </c>
      <c r="I52" s="17">
        <v>28741</v>
      </c>
      <c r="J52" s="17">
        <f>25271+(365*15)</f>
        <v>30746</v>
      </c>
      <c r="K52" s="6" t="s">
        <v>153</v>
      </c>
      <c r="L52" s="6" t="s">
        <v>167</v>
      </c>
    </row>
    <row r="53" spans="1:12">
      <c r="C53" s="6">
        <v>1061</v>
      </c>
      <c r="D53" s="3" t="s">
        <v>50</v>
      </c>
      <c r="E53" s="15" t="s">
        <v>46</v>
      </c>
      <c r="F53" s="15" t="s">
        <v>10</v>
      </c>
      <c r="G53" s="21" t="s">
        <v>11</v>
      </c>
      <c r="H53" s="16">
        <v>53721.15</v>
      </c>
      <c r="I53" s="17">
        <v>32093</v>
      </c>
      <c r="J53" s="17">
        <f>21632+(365*15)</f>
        <v>27107</v>
      </c>
      <c r="K53" s="6" t="s">
        <v>155</v>
      </c>
      <c r="L53" s="6" t="s">
        <v>167</v>
      </c>
    </row>
    <row r="54" spans="1:12">
      <c r="C54" s="6">
        <v>1062</v>
      </c>
      <c r="D54" s="3" t="s">
        <v>39</v>
      </c>
      <c r="E54" s="15" t="s">
        <v>21</v>
      </c>
      <c r="F54" s="15" t="s">
        <v>10</v>
      </c>
      <c r="G54" s="21" t="s">
        <v>13</v>
      </c>
      <c r="H54" s="16">
        <v>29982.58</v>
      </c>
      <c r="I54" s="17">
        <v>31582</v>
      </c>
      <c r="J54" s="17">
        <f>23308+(365*15)</f>
        <v>28783</v>
      </c>
      <c r="K54" s="6" t="s">
        <v>153</v>
      </c>
      <c r="L54" s="6" t="s">
        <v>167</v>
      </c>
    </row>
    <row r="55" spans="1:12">
      <c r="C55" s="6">
        <v>1063</v>
      </c>
      <c r="D55" s="3" t="s">
        <v>41</v>
      </c>
      <c r="E55" s="15" t="s">
        <v>30</v>
      </c>
      <c r="F55" s="15" t="s">
        <v>10</v>
      </c>
      <c r="G55" s="15" t="s">
        <v>16</v>
      </c>
      <c r="H55" s="16">
        <v>46386.85</v>
      </c>
      <c r="I55" s="17">
        <v>31574</v>
      </c>
      <c r="J55" s="17">
        <f>23319+(365*15)</f>
        <v>28794</v>
      </c>
      <c r="K55" s="6" t="s">
        <v>157</v>
      </c>
      <c r="L55" s="6" t="s">
        <v>160</v>
      </c>
    </row>
    <row r="56" spans="1:12">
      <c r="A56" s="1"/>
      <c r="C56" s="6">
        <v>1064</v>
      </c>
      <c r="D56" s="22" t="s">
        <v>132</v>
      </c>
      <c r="E56" s="15" t="s">
        <v>119</v>
      </c>
      <c r="F56" s="15" t="s">
        <v>120</v>
      </c>
      <c r="G56" s="15" t="s">
        <v>11</v>
      </c>
      <c r="H56" s="16">
        <v>28549.5</v>
      </c>
      <c r="I56" s="17">
        <v>31477</v>
      </c>
      <c r="J56" s="17">
        <f>23553+(365*15)</f>
        <v>29028</v>
      </c>
      <c r="K56" s="6" t="s">
        <v>153</v>
      </c>
      <c r="L56" s="6" t="s">
        <v>163</v>
      </c>
    </row>
    <row r="57" spans="1:12">
      <c r="C57" s="6">
        <v>1065</v>
      </c>
      <c r="D57" s="3" t="s">
        <v>34</v>
      </c>
      <c r="E57" s="15" t="s">
        <v>35</v>
      </c>
      <c r="F57" s="15" t="s">
        <v>10</v>
      </c>
      <c r="G57" s="21" t="s">
        <v>11</v>
      </c>
      <c r="H57" s="16">
        <v>62589.599999999999</v>
      </c>
      <c r="I57" s="17">
        <v>31469</v>
      </c>
      <c r="J57" s="17">
        <f>23564+(365*15)</f>
        <v>29039</v>
      </c>
      <c r="K57" s="6" t="s">
        <v>153</v>
      </c>
      <c r="L57" s="6" t="s">
        <v>163</v>
      </c>
    </row>
    <row r="58" spans="1:12">
      <c r="C58" s="6">
        <v>1066</v>
      </c>
      <c r="D58" s="22" t="s">
        <v>37</v>
      </c>
      <c r="E58" s="15" t="s">
        <v>15</v>
      </c>
      <c r="F58" s="15" t="s">
        <v>10</v>
      </c>
      <c r="G58" s="21" t="s">
        <v>11</v>
      </c>
      <c r="H58" s="16">
        <v>44350.5</v>
      </c>
      <c r="I58" s="17">
        <v>33407</v>
      </c>
      <c r="J58" s="17">
        <f>23568+(365*15)</f>
        <v>29043</v>
      </c>
      <c r="K58" s="6" t="s">
        <v>153</v>
      </c>
      <c r="L58" s="6" t="s">
        <v>162</v>
      </c>
    </row>
    <row r="59" spans="1:12">
      <c r="C59" s="6">
        <v>1067</v>
      </c>
      <c r="D59" s="22" t="s">
        <v>20</v>
      </c>
      <c r="E59" s="15" t="s">
        <v>21</v>
      </c>
      <c r="F59" s="15" t="s">
        <v>10</v>
      </c>
      <c r="G59" s="21" t="s">
        <v>11</v>
      </c>
      <c r="H59" s="16">
        <v>25146.68</v>
      </c>
      <c r="I59" s="17">
        <v>32170</v>
      </c>
      <c r="J59" s="17">
        <f>24841+(365*15)</f>
        <v>30316</v>
      </c>
      <c r="K59" s="6" t="s">
        <v>153</v>
      </c>
      <c r="L59" s="6" t="s">
        <v>160</v>
      </c>
    </row>
    <row r="60" spans="1:12">
      <c r="C60" s="6">
        <v>1068</v>
      </c>
      <c r="D60" s="22" t="s">
        <v>140</v>
      </c>
      <c r="E60" s="15" t="s">
        <v>21</v>
      </c>
      <c r="F60" s="15" t="s">
        <v>137</v>
      </c>
      <c r="G60" s="15" t="s">
        <v>11</v>
      </c>
      <c r="H60" s="16">
        <v>25146.68</v>
      </c>
      <c r="I60" s="17">
        <v>33623</v>
      </c>
      <c r="J60" s="17">
        <f>24852+(365*15)</f>
        <v>30327</v>
      </c>
      <c r="K60" s="6" t="s">
        <v>157</v>
      </c>
      <c r="L60" s="6" t="s">
        <v>162</v>
      </c>
    </row>
    <row r="61" spans="1:12">
      <c r="C61" s="6">
        <v>1069</v>
      </c>
      <c r="D61" s="22" t="s">
        <v>106</v>
      </c>
      <c r="E61" s="3" t="s">
        <v>104</v>
      </c>
      <c r="F61" s="15" t="s">
        <v>105</v>
      </c>
      <c r="G61" s="15" t="s">
        <v>16</v>
      </c>
      <c r="H61" s="16">
        <v>41053.480000000003</v>
      </c>
      <c r="I61" s="17">
        <v>31908</v>
      </c>
      <c r="J61" s="17">
        <f>24856+(365*15)</f>
        <v>30331</v>
      </c>
      <c r="K61" s="6" t="s">
        <v>153</v>
      </c>
      <c r="L61" s="6" t="s">
        <v>166</v>
      </c>
    </row>
    <row r="62" spans="1:12">
      <c r="C62" s="6">
        <v>1070</v>
      </c>
      <c r="D62" s="22" t="s">
        <v>26</v>
      </c>
      <c r="E62" s="15" t="s">
        <v>25</v>
      </c>
      <c r="F62" s="15" t="s">
        <v>10</v>
      </c>
      <c r="G62" s="21" t="s">
        <v>11</v>
      </c>
      <c r="H62" s="16">
        <v>29362.2</v>
      </c>
      <c r="I62" s="17">
        <v>30281</v>
      </c>
      <c r="J62" s="17">
        <f>24361+(365*15)</f>
        <v>29836</v>
      </c>
      <c r="K62" s="6" t="s">
        <v>153</v>
      </c>
      <c r="L62" s="6" t="s">
        <v>160</v>
      </c>
    </row>
    <row r="63" spans="1:12">
      <c r="C63" s="6">
        <v>1071</v>
      </c>
      <c r="D63" s="22" t="s">
        <v>143</v>
      </c>
      <c r="E63" s="15" t="s">
        <v>21</v>
      </c>
      <c r="F63" s="15" t="s">
        <v>137</v>
      </c>
      <c r="G63" s="15" t="s">
        <v>16</v>
      </c>
      <c r="H63" s="16">
        <v>27081.040000000001</v>
      </c>
      <c r="I63" s="17">
        <v>30273</v>
      </c>
      <c r="J63" s="17">
        <f>24372+(365*15)</f>
        <v>29847</v>
      </c>
      <c r="K63" s="6" t="s">
        <v>157</v>
      </c>
      <c r="L63" s="6" t="s">
        <v>168</v>
      </c>
    </row>
    <row r="64" spans="1:12">
      <c r="C64" s="6">
        <v>1072</v>
      </c>
      <c r="D64" s="22" t="s">
        <v>84</v>
      </c>
      <c r="E64" s="3" t="s">
        <v>77</v>
      </c>
      <c r="F64" s="15" t="s">
        <v>75</v>
      </c>
      <c r="G64" s="15" t="s">
        <v>16</v>
      </c>
      <c r="H64" s="16">
        <v>41987.4</v>
      </c>
      <c r="I64" s="17">
        <v>30605</v>
      </c>
      <c r="J64" s="17">
        <f>24376+(365*15)</f>
        <v>29851</v>
      </c>
      <c r="K64" s="6" t="s">
        <v>153</v>
      </c>
      <c r="L64" s="6" t="s">
        <v>162</v>
      </c>
    </row>
    <row r="65" spans="3:12">
      <c r="C65" s="6">
        <v>1073</v>
      </c>
      <c r="D65" s="3" t="s">
        <v>48</v>
      </c>
      <c r="E65" s="15" t="s">
        <v>25</v>
      </c>
      <c r="F65" s="15" t="s">
        <v>10</v>
      </c>
      <c r="G65" s="21" t="s">
        <v>11</v>
      </c>
      <c r="H65" s="16">
        <v>34605.449999999997</v>
      </c>
      <c r="I65" s="17">
        <v>32704</v>
      </c>
      <c r="J65" s="17">
        <f>22421+(365*15)</f>
        <v>27896</v>
      </c>
      <c r="K65" s="6" t="s">
        <v>153</v>
      </c>
      <c r="L65" s="6" t="s">
        <v>162</v>
      </c>
    </row>
    <row r="66" spans="3:12">
      <c r="C66" s="6">
        <v>1074</v>
      </c>
      <c r="D66" s="3" t="s">
        <v>133</v>
      </c>
      <c r="E66" s="15" t="s">
        <v>122</v>
      </c>
      <c r="F66" s="15" t="s">
        <v>120</v>
      </c>
      <c r="G66" s="15" t="s">
        <v>13</v>
      </c>
      <c r="H66" s="16">
        <v>35889.480000000003</v>
      </c>
      <c r="I66" s="17">
        <v>32696</v>
      </c>
      <c r="J66" s="17">
        <f>22432+(365*15)</f>
        <v>27907</v>
      </c>
      <c r="K66" s="6" t="s">
        <v>153</v>
      </c>
      <c r="L66" s="6" t="s">
        <v>167</v>
      </c>
    </row>
    <row r="67" spans="3:12">
      <c r="C67" s="6">
        <v>1075</v>
      </c>
      <c r="D67" s="3" t="s">
        <v>45</v>
      </c>
      <c r="E67" s="15" t="s">
        <v>46</v>
      </c>
      <c r="F67" s="15" t="s">
        <v>10</v>
      </c>
      <c r="G67" s="21" t="s">
        <v>13</v>
      </c>
      <c r="H67" s="16">
        <v>50651.37</v>
      </c>
      <c r="I67" s="17">
        <v>31817</v>
      </c>
      <c r="J67" s="17">
        <f>22436+(365*15)</f>
        <v>27911</v>
      </c>
      <c r="K67" s="6" t="s">
        <v>155</v>
      </c>
      <c r="L67" s="6" t="s">
        <v>168</v>
      </c>
    </row>
    <row r="68" spans="3:12">
      <c r="C68" s="6">
        <v>1076</v>
      </c>
      <c r="D68" s="3" t="s">
        <v>86</v>
      </c>
      <c r="E68" s="15" t="s">
        <v>21</v>
      </c>
      <c r="F68" s="15" t="s">
        <v>75</v>
      </c>
      <c r="G68" s="15" t="s">
        <v>16</v>
      </c>
      <c r="H68" s="16">
        <v>29015.4</v>
      </c>
      <c r="I68" s="17">
        <v>32490</v>
      </c>
      <c r="J68" s="17">
        <f>23648+(365*15)</f>
        <v>29123</v>
      </c>
      <c r="K68" s="6" t="s">
        <v>153</v>
      </c>
      <c r="L68" s="6" t="s">
        <v>160</v>
      </c>
    </row>
    <row r="69" spans="3:12">
      <c r="C69" s="6">
        <v>1077</v>
      </c>
      <c r="D69" s="22" t="s">
        <v>131</v>
      </c>
      <c r="E69" s="15" t="s">
        <v>122</v>
      </c>
      <c r="F69" s="15" t="s">
        <v>120</v>
      </c>
      <c r="G69" s="21" t="s">
        <v>11</v>
      </c>
      <c r="H69" s="16">
        <v>32626.799999999999</v>
      </c>
      <c r="I69" s="17">
        <v>32482</v>
      </c>
      <c r="J69" s="17">
        <f>23659+(365*15)</f>
        <v>29134</v>
      </c>
      <c r="K69" s="6" t="s">
        <v>153</v>
      </c>
      <c r="L69" s="6" t="s">
        <v>159</v>
      </c>
    </row>
    <row r="70" spans="3:12">
      <c r="C70" s="6">
        <v>1078</v>
      </c>
      <c r="D70" s="22" t="s">
        <v>36</v>
      </c>
      <c r="E70" s="15" t="s">
        <v>15</v>
      </c>
      <c r="F70" s="15" t="s">
        <v>10</v>
      </c>
      <c r="G70" s="15" t="s">
        <v>16</v>
      </c>
      <c r="H70" s="16">
        <v>44350.5</v>
      </c>
      <c r="I70" s="17">
        <v>32665</v>
      </c>
      <c r="J70" s="17">
        <f>23663+(365*15)</f>
        <v>29138</v>
      </c>
      <c r="K70" s="6" t="s">
        <v>153</v>
      </c>
      <c r="L70" s="6" t="s">
        <v>163</v>
      </c>
    </row>
    <row r="71" spans="3:12">
      <c r="C71" s="6">
        <v>1079</v>
      </c>
      <c r="D71" s="3" t="s">
        <v>38</v>
      </c>
      <c r="E71" s="15" t="s">
        <v>21</v>
      </c>
      <c r="F71" s="15" t="s">
        <v>10</v>
      </c>
      <c r="G71" s="15" t="s">
        <v>16</v>
      </c>
      <c r="H71" s="16">
        <v>29982.58</v>
      </c>
      <c r="I71" s="17">
        <v>33344</v>
      </c>
      <c r="J71" s="17">
        <f>23255+(365*15)</f>
        <v>28730</v>
      </c>
      <c r="K71" s="6" t="s">
        <v>153</v>
      </c>
      <c r="L71" s="6" t="s">
        <v>169</v>
      </c>
    </row>
    <row r="72" spans="3:12">
      <c r="C72" s="6">
        <v>1080</v>
      </c>
      <c r="D72" s="3" t="s">
        <v>109</v>
      </c>
      <c r="E72" s="3" t="s">
        <v>9</v>
      </c>
      <c r="F72" s="15" t="s">
        <v>105</v>
      </c>
      <c r="G72" s="15" t="s">
        <v>16</v>
      </c>
      <c r="H72" s="16">
        <v>31048.36</v>
      </c>
      <c r="I72" s="17">
        <v>33336</v>
      </c>
      <c r="J72" s="17">
        <f>23266+(365*15)</f>
        <v>28741</v>
      </c>
      <c r="K72" s="6" t="s">
        <v>153</v>
      </c>
      <c r="L72" s="6" t="s">
        <v>167</v>
      </c>
    </row>
    <row r="73" spans="3:12">
      <c r="C73" s="6">
        <v>1081</v>
      </c>
      <c r="D73" s="22" t="s">
        <v>128</v>
      </c>
      <c r="E73" s="15" t="s">
        <v>119</v>
      </c>
      <c r="F73" s="15" t="s">
        <v>120</v>
      </c>
      <c r="G73" s="15" t="s">
        <v>13</v>
      </c>
      <c r="H73" s="16">
        <v>27597.85</v>
      </c>
      <c r="I73" s="17">
        <v>34053</v>
      </c>
      <c r="J73" s="17">
        <f>23758+(365*15)</f>
        <v>29233</v>
      </c>
      <c r="K73" s="6" t="s">
        <v>153</v>
      </c>
      <c r="L73" s="6" t="s">
        <v>167</v>
      </c>
    </row>
    <row r="74" spans="3:12">
      <c r="C74" s="6">
        <v>1082</v>
      </c>
      <c r="D74" s="3" t="s">
        <v>78</v>
      </c>
      <c r="E74" s="15" t="s">
        <v>74</v>
      </c>
      <c r="F74" s="15" t="s">
        <v>75</v>
      </c>
      <c r="G74" s="15" t="s">
        <v>16</v>
      </c>
      <c r="H74" s="16">
        <v>33301.440000000002</v>
      </c>
      <c r="I74" s="17">
        <v>30250</v>
      </c>
      <c r="J74" s="17">
        <f>25812+(365*15)</f>
        <v>31287</v>
      </c>
      <c r="K74" s="6" t="s">
        <v>153</v>
      </c>
      <c r="L74" s="6" t="s">
        <v>160</v>
      </c>
    </row>
    <row r="75" spans="3:12">
      <c r="C75" s="6">
        <v>1083</v>
      </c>
      <c r="D75" s="3" t="s">
        <v>130</v>
      </c>
      <c r="E75" s="3" t="s">
        <v>9</v>
      </c>
      <c r="F75" s="15" t="s">
        <v>120</v>
      </c>
      <c r="G75" s="15" t="s">
        <v>13</v>
      </c>
      <c r="H75" s="16">
        <v>29045.24</v>
      </c>
      <c r="I75" s="17">
        <v>34045</v>
      </c>
      <c r="J75" s="17">
        <f>23769+(365*15)</f>
        <v>29244</v>
      </c>
      <c r="K75" s="6" t="s">
        <v>153</v>
      </c>
      <c r="L75" s="6" t="s">
        <v>167</v>
      </c>
    </row>
    <row r="76" spans="3:12">
      <c r="C76" s="6">
        <v>1084</v>
      </c>
      <c r="D76" s="3" t="s">
        <v>138</v>
      </c>
      <c r="E76" s="15" t="s">
        <v>21</v>
      </c>
      <c r="F76" s="15" t="s">
        <v>137</v>
      </c>
      <c r="G76" s="15" t="s">
        <v>16</v>
      </c>
      <c r="H76" s="16">
        <v>23212.32</v>
      </c>
      <c r="I76" s="17">
        <v>30242</v>
      </c>
      <c r="J76" s="17">
        <f>25823+(365*15)</f>
        <v>31298</v>
      </c>
      <c r="K76" s="6" t="s">
        <v>153</v>
      </c>
      <c r="L76" s="6" t="s">
        <v>164</v>
      </c>
    </row>
    <row r="77" spans="3:12">
      <c r="C77" s="6">
        <v>1085</v>
      </c>
      <c r="D77" s="3" t="s">
        <v>103</v>
      </c>
      <c r="E77" s="15" t="s">
        <v>104</v>
      </c>
      <c r="F77" s="15" t="s">
        <v>105</v>
      </c>
      <c r="G77" s="21" t="s">
        <v>13</v>
      </c>
      <c r="H77" s="16">
        <v>37895.519999999997</v>
      </c>
      <c r="I77" s="17">
        <v>32452</v>
      </c>
      <c r="J77" s="17">
        <f>25827+(365*15)</f>
        <v>31302</v>
      </c>
      <c r="K77" s="6" t="s">
        <v>153</v>
      </c>
      <c r="L77" s="6" t="s">
        <v>167</v>
      </c>
    </row>
    <row r="78" spans="3:12">
      <c r="C78" s="6">
        <v>1086</v>
      </c>
      <c r="D78" s="3" t="s">
        <v>72</v>
      </c>
      <c r="E78" s="15" t="s">
        <v>67</v>
      </c>
      <c r="F78" s="15" t="s">
        <v>64</v>
      </c>
      <c r="G78" s="15" t="s">
        <v>13</v>
      </c>
      <c r="H78" s="16">
        <v>38094.21</v>
      </c>
      <c r="I78" s="17">
        <v>31340</v>
      </c>
      <c r="J78" s="17">
        <f>22285+(365*15)</f>
        <v>27760</v>
      </c>
      <c r="K78" s="6" t="s">
        <v>153</v>
      </c>
      <c r="L78" s="6" t="s">
        <v>167</v>
      </c>
    </row>
    <row r="79" spans="3:12">
      <c r="C79" s="6">
        <v>1087</v>
      </c>
      <c r="D79" s="3" t="s">
        <v>61</v>
      </c>
      <c r="E79" s="15" t="s">
        <v>30</v>
      </c>
      <c r="F79" s="15" t="s">
        <v>10</v>
      </c>
      <c r="G79" s="15" t="s">
        <v>16</v>
      </c>
      <c r="H79" s="18">
        <v>79306.55</v>
      </c>
      <c r="I79" s="19">
        <v>31332</v>
      </c>
      <c r="J79" s="17">
        <f>14991+(365*15)</f>
        <v>20466</v>
      </c>
      <c r="K79" s="20" t="s">
        <v>153</v>
      </c>
      <c r="L79" s="6" t="s">
        <v>174</v>
      </c>
    </row>
    <row r="80" spans="3:12">
      <c r="C80" s="6">
        <v>1088</v>
      </c>
      <c r="D80" s="3" t="s">
        <v>24</v>
      </c>
      <c r="E80" s="15" t="s">
        <v>25</v>
      </c>
      <c r="F80" s="15" t="s">
        <v>10</v>
      </c>
      <c r="G80" s="21" t="s">
        <v>13</v>
      </c>
      <c r="H80" s="16">
        <v>29362.2</v>
      </c>
      <c r="I80" s="17">
        <v>33456</v>
      </c>
      <c r="J80" s="17">
        <f>24237+(365*15)</f>
        <v>29712</v>
      </c>
      <c r="K80" s="6" t="s">
        <v>153</v>
      </c>
      <c r="L80" s="6" t="s">
        <v>162</v>
      </c>
    </row>
    <row r="81" spans="3:12">
      <c r="C81" s="6">
        <v>1089</v>
      </c>
      <c r="D81" s="22" t="s">
        <v>83</v>
      </c>
      <c r="E81" s="3" t="s">
        <v>9</v>
      </c>
      <c r="F81" s="15" t="s">
        <v>75</v>
      </c>
      <c r="G81" s="21" t="s">
        <v>11</v>
      </c>
      <c r="H81" s="16">
        <v>28043.68</v>
      </c>
      <c r="I81" s="17">
        <v>33448</v>
      </c>
      <c r="J81" s="17">
        <f>24248+(365*15)</f>
        <v>29723</v>
      </c>
      <c r="K81" s="6" t="s">
        <v>153</v>
      </c>
      <c r="L81" s="6" t="s">
        <v>166</v>
      </c>
    </row>
    <row r="82" spans="3:12">
      <c r="C82" s="6">
        <v>1090</v>
      </c>
      <c r="D82" s="3" t="s">
        <v>97</v>
      </c>
      <c r="E82" s="3" t="s">
        <v>77</v>
      </c>
      <c r="F82" s="15" t="s">
        <v>75</v>
      </c>
      <c r="G82" s="21" t="s">
        <v>11</v>
      </c>
      <c r="H82" s="16">
        <v>58482.45</v>
      </c>
      <c r="I82" s="17">
        <v>28896</v>
      </c>
      <c r="J82" s="17">
        <f>20231+(365*15)</f>
        <v>25706</v>
      </c>
      <c r="K82" s="6" t="s">
        <v>155</v>
      </c>
      <c r="L82" s="6" t="s">
        <v>160</v>
      </c>
    </row>
    <row r="83" spans="3:12">
      <c r="C83" s="6">
        <v>1091</v>
      </c>
      <c r="D83" s="3" t="s">
        <v>96</v>
      </c>
      <c r="E83" s="15" t="s">
        <v>89</v>
      </c>
      <c r="F83" s="15" t="s">
        <v>75</v>
      </c>
      <c r="G83" s="15" t="s">
        <v>16</v>
      </c>
      <c r="H83" s="18">
        <v>97096.35</v>
      </c>
      <c r="I83" s="19">
        <v>28888</v>
      </c>
      <c r="J83" s="17">
        <f>20242+(365*15)</f>
        <v>25717</v>
      </c>
      <c r="K83" s="20" t="s">
        <v>153</v>
      </c>
      <c r="L83" s="6" t="s">
        <v>173</v>
      </c>
    </row>
    <row r="84" spans="3:12">
      <c r="C84" s="6">
        <v>1092</v>
      </c>
      <c r="D84" s="15" t="s">
        <v>149</v>
      </c>
      <c r="E84" s="3" t="s">
        <v>147</v>
      </c>
      <c r="F84" s="15" t="s">
        <v>137</v>
      </c>
      <c r="G84" s="21" t="s">
        <v>11</v>
      </c>
      <c r="H84" s="16">
        <v>79061.279999999999</v>
      </c>
      <c r="I84" s="17">
        <v>28898</v>
      </c>
      <c r="J84" s="17">
        <f>20600+(365*15)</f>
        <v>26075</v>
      </c>
      <c r="K84" s="6" t="s">
        <v>153</v>
      </c>
      <c r="L84" s="6" t="s">
        <v>165</v>
      </c>
    </row>
    <row r="85" spans="3:12">
      <c r="C85" s="6">
        <v>1093</v>
      </c>
      <c r="D85" s="22" t="s">
        <v>70</v>
      </c>
      <c r="E85" s="15" t="s">
        <v>67</v>
      </c>
      <c r="F85" s="15" t="s">
        <v>64</v>
      </c>
      <c r="G85" s="21" t="s">
        <v>11</v>
      </c>
      <c r="H85" s="16">
        <v>35785.47</v>
      </c>
      <c r="I85" s="17">
        <v>30393</v>
      </c>
      <c r="J85" s="17">
        <f>23307+(365*15)</f>
        <v>28782</v>
      </c>
      <c r="K85" s="6" t="s">
        <v>153</v>
      </c>
      <c r="L85" s="6" t="s">
        <v>167</v>
      </c>
    </row>
    <row r="86" spans="3:12">
      <c r="C86" s="6">
        <v>1094</v>
      </c>
      <c r="D86" s="3" t="s">
        <v>40</v>
      </c>
      <c r="E86" s="15" t="s">
        <v>23</v>
      </c>
      <c r="F86" s="15" t="s">
        <v>10</v>
      </c>
      <c r="G86" s="21" t="s">
        <v>11</v>
      </c>
      <c r="H86" s="16">
        <v>61855.54</v>
      </c>
      <c r="I86" s="17">
        <v>30385</v>
      </c>
      <c r="J86" s="17">
        <f>23318+(365*15)</f>
        <v>28793</v>
      </c>
      <c r="K86" s="6" t="s">
        <v>153</v>
      </c>
      <c r="L86" s="6" t="s">
        <v>167</v>
      </c>
    </row>
    <row r="87" spans="3:12">
      <c r="C87" s="6">
        <v>1095</v>
      </c>
      <c r="D87" s="3" t="s">
        <v>66</v>
      </c>
      <c r="E87" s="15" t="s">
        <v>67</v>
      </c>
      <c r="F87" s="15" t="s">
        <v>64</v>
      </c>
      <c r="G87" s="15" t="s">
        <v>16</v>
      </c>
      <c r="H87" s="16">
        <v>28859.25</v>
      </c>
      <c r="I87" s="17">
        <v>33596</v>
      </c>
      <c r="J87" s="17">
        <f>25479+(365*15)</f>
        <v>30954</v>
      </c>
      <c r="K87" s="6" t="s">
        <v>153</v>
      </c>
      <c r="L87" s="6" t="s">
        <v>162</v>
      </c>
    </row>
    <row r="88" spans="3:12">
      <c r="C88" s="6">
        <v>1096</v>
      </c>
      <c r="D88" s="22" t="s">
        <v>139</v>
      </c>
      <c r="E88" s="15" t="s">
        <v>21</v>
      </c>
      <c r="F88" s="15" t="s">
        <v>137</v>
      </c>
      <c r="G88" s="21" t="s">
        <v>13</v>
      </c>
      <c r="H88" s="16">
        <v>24179.5</v>
      </c>
      <c r="I88" s="17">
        <v>33588</v>
      </c>
      <c r="J88" s="17">
        <f>25490+(365*15)</f>
        <v>30965</v>
      </c>
      <c r="K88" s="6" t="s">
        <v>153</v>
      </c>
      <c r="L88" s="6" t="s">
        <v>160</v>
      </c>
    </row>
    <row r="89" spans="3:12">
      <c r="C89" s="6">
        <v>1097</v>
      </c>
      <c r="D89" s="22" t="s">
        <v>79</v>
      </c>
      <c r="E89" s="3" t="s">
        <v>77</v>
      </c>
      <c r="F89" s="15" t="s">
        <v>75</v>
      </c>
      <c r="G89" s="15" t="s">
        <v>13</v>
      </c>
      <c r="H89" s="16">
        <v>37488.75</v>
      </c>
      <c r="I89" s="17">
        <v>31399</v>
      </c>
      <c r="J89" s="17">
        <f>25494+(365*15)</f>
        <v>30969</v>
      </c>
      <c r="K89" s="6" t="s">
        <v>153</v>
      </c>
      <c r="L89" s="6" t="s">
        <v>167</v>
      </c>
    </row>
    <row r="90" spans="3:12">
      <c r="C90" s="6">
        <v>1098</v>
      </c>
      <c r="D90" s="22" t="s">
        <v>18</v>
      </c>
      <c r="E90" s="15" t="s">
        <v>19</v>
      </c>
      <c r="F90" s="15" t="s">
        <v>10</v>
      </c>
      <c r="G90" s="21" t="s">
        <v>13</v>
      </c>
      <c r="H90" s="16">
        <v>21303.599999999999</v>
      </c>
      <c r="I90" s="17">
        <v>32936</v>
      </c>
      <c r="J90" s="17">
        <f>25797+(365*15)</f>
        <v>31272</v>
      </c>
      <c r="K90" s="6" t="s">
        <v>157</v>
      </c>
      <c r="L90" s="6" t="s">
        <v>167</v>
      </c>
    </row>
    <row r="91" spans="3:12">
      <c r="C91" s="6">
        <v>1099</v>
      </c>
      <c r="D91" s="3" t="s">
        <v>49</v>
      </c>
      <c r="E91" s="15" t="s">
        <v>35</v>
      </c>
      <c r="F91" s="15" t="s">
        <v>10</v>
      </c>
      <c r="G91" s="15" t="s">
        <v>16</v>
      </c>
      <c r="H91" s="16">
        <v>70934.880000000005</v>
      </c>
      <c r="I91" s="17">
        <v>29641</v>
      </c>
      <c r="J91" s="17">
        <f>22155+(365*15)</f>
        <v>27630</v>
      </c>
      <c r="K91" s="6" t="s">
        <v>153</v>
      </c>
      <c r="L91" s="6" t="s">
        <v>167</v>
      </c>
    </row>
    <row r="92" spans="3:12">
      <c r="C92" s="6">
        <v>1100</v>
      </c>
      <c r="D92" s="22" t="s">
        <v>17</v>
      </c>
      <c r="E92" s="15" t="s">
        <v>15</v>
      </c>
      <c r="F92" s="15" t="s">
        <v>10</v>
      </c>
      <c r="G92" s="21" t="s">
        <v>13</v>
      </c>
      <c r="H92" s="16">
        <v>35480.400000000001</v>
      </c>
      <c r="I92" s="17">
        <v>33427</v>
      </c>
      <c r="J92" s="17">
        <f>25812+(365*15)</f>
        <v>31287</v>
      </c>
      <c r="K92" s="6" t="s">
        <v>153</v>
      </c>
      <c r="L92" s="6" t="s">
        <v>169</v>
      </c>
    </row>
    <row r="93" spans="3:12">
      <c r="C93" s="6">
        <v>1101</v>
      </c>
      <c r="D93" s="3" t="s">
        <v>92</v>
      </c>
      <c r="E93" s="15" t="s">
        <v>21</v>
      </c>
      <c r="F93" s="15" t="s">
        <v>75</v>
      </c>
      <c r="G93" s="21" t="s">
        <v>11</v>
      </c>
      <c r="H93" s="16">
        <v>31916.94</v>
      </c>
      <c r="I93" s="17">
        <v>33144</v>
      </c>
      <c r="J93" s="17">
        <f>22526+(365*15)</f>
        <v>28001</v>
      </c>
      <c r="K93" s="6" t="s">
        <v>153</v>
      </c>
      <c r="L93" s="6" t="s">
        <v>165</v>
      </c>
    </row>
    <row r="94" spans="3:12">
      <c r="C94" s="6">
        <v>1102</v>
      </c>
      <c r="D94" s="3" t="s">
        <v>93</v>
      </c>
      <c r="E94" s="3" t="s">
        <v>9</v>
      </c>
      <c r="F94" s="15" t="s">
        <v>75</v>
      </c>
      <c r="G94" s="21" t="s">
        <v>11</v>
      </c>
      <c r="H94" s="16">
        <v>33051.480000000003</v>
      </c>
      <c r="I94" s="17">
        <v>33136</v>
      </c>
      <c r="J94" s="17">
        <f>22537+(365*15)</f>
        <v>28012</v>
      </c>
      <c r="K94" s="6" t="s">
        <v>153</v>
      </c>
      <c r="L94" s="6" t="s">
        <v>163</v>
      </c>
    </row>
    <row r="95" spans="3:12">
      <c r="C95" s="6">
        <v>1103</v>
      </c>
      <c r="D95" s="3" t="s">
        <v>146</v>
      </c>
      <c r="E95" s="3" t="s">
        <v>147</v>
      </c>
      <c r="F95" s="15" t="s">
        <v>137</v>
      </c>
      <c r="G95" s="21" t="s">
        <v>13</v>
      </c>
      <c r="H95" s="16">
        <v>72819.600000000006</v>
      </c>
      <c r="I95" s="17">
        <v>31182</v>
      </c>
      <c r="J95" s="17">
        <f>21814+(365*15)</f>
        <v>27289</v>
      </c>
      <c r="K95" s="6" t="s">
        <v>153</v>
      </c>
      <c r="L95" s="6" t="s">
        <v>166</v>
      </c>
    </row>
    <row r="96" spans="3:12">
      <c r="C96" s="6">
        <v>1104</v>
      </c>
      <c r="D96" s="3" t="s">
        <v>43</v>
      </c>
      <c r="E96" s="15" t="s">
        <v>19</v>
      </c>
      <c r="F96" s="15" t="s">
        <v>10</v>
      </c>
      <c r="G96" s="21" t="s">
        <v>11</v>
      </c>
      <c r="H96" s="16">
        <v>28404.799999999999</v>
      </c>
      <c r="I96" s="17">
        <v>32116</v>
      </c>
      <c r="J96" s="17">
        <f>22701+(365*15)</f>
        <v>28176</v>
      </c>
      <c r="K96" s="6" t="s">
        <v>157</v>
      </c>
      <c r="L96" s="6" t="s">
        <v>164</v>
      </c>
    </row>
    <row r="97" spans="3:12">
      <c r="C97" s="6">
        <v>1105</v>
      </c>
      <c r="D97" s="3" t="s">
        <v>91</v>
      </c>
      <c r="E97" s="3" t="s">
        <v>77</v>
      </c>
      <c r="F97" s="15" t="s">
        <v>75</v>
      </c>
      <c r="G97" s="21" t="s">
        <v>13</v>
      </c>
      <c r="H97" s="16">
        <v>47985.599999999999</v>
      </c>
      <c r="I97" s="17">
        <v>32108</v>
      </c>
      <c r="J97" s="17">
        <f>22712+(365*15)</f>
        <v>28187</v>
      </c>
      <c r="K97" s="6" t="s">
        <v>153</v>
      </c>
      <c r="L97" s="6" t="s">
        <v>163</v>
      </c>
    </row>
    <row r="98" spans="3:12">
      <c r="C98" s="6">
        <v>1106</v>
      </c>
      <c r="D98" s="3" t="s">
        <v>121</v>
      </c>
      <c r="E98" s="15" t="s">
        <v>122</v>
      </c>
      <c r="F98" s="15" t="s">
        <v>120</v>
      </c>
      <c r="G98" s="15" t="s">
        <v>16</v>
      </c>
      <c r="H98" s="16">
        <v>26101.439999999999</v>
      </c>
      <c r="I98" s="17">
        <v>33044</v>
      </c>
      <c r="J98" s="17">
        <f>25716+(365*15)</f>
        <v>31191</v>
      </c>
      <c r="K98" s="6" t="s">
        <v>153</v>
      </c>
      <c r="L98" s="6" t="s">
        <v>167</v>
      </c>
    </row>
    <row r="99" spans="3:12">
      <c r="C99" s="6">
        <v>1107</v>
      </c>
      <c r="D99" s="3" t="s">
        <v>134</v>
      </c>
      <c r="E99" s="15" t="s">
        <v>135</v>
      </c>
      <c r="F99" s="15" t="s">
        <v>120</v>
      </c>
      <c r="G99" s="21" t="s">
        <v>13</v>
      </c>
      <c r="H99" s="16">
        <v>47852.639999999999</v>
      </c>
      <c r="I99" s="17">
        <v>33036</v>
      </c>
      <c r="J99" s="17">
        <f>18422+(365*15)</f>
        <v>23897</v>
      </c>
      <c r="K99" s="6" t="s">
        <v>153</v>
      </c>
      <c r="L99" s="6" t="s">
        <v>169</v>
      </c>
    </row>
    <row r="100" spans="3:12">
      <c r="C100" s="6">
        <v>1108</v>
      </c>
      <c r="D100" s="3" t="s">
        <v>58</v>
      </c>
      <c r="E100" s="15" t="s">
        <v>46</v>
      </c>
      <c r="F100" s="15" t="s">
        <v>10</v>
      </c>
      <c r="G100" s="15" t="s">
        <v>13</v>
      </c>
      <c r="H100" s="16">
        <v>67535.16</v>
      </c>
      <c r="I100" s="17">
        <v>31054</v>
      </c>
      <c r="J100" s="17">
        <f>18426+(365*15)</f>
        <v>23901</v>
      </c>
      <c r="K100" s="6" t="s">
        <v>156</v>
      </c>
      <c r="L100" s="6" t="s">
        <v>167</v>
      </c>
    </row>
    <row r="101" spans="3:12">
      <c r="C101" s="6">
        <v>1109</v>
      </c>
      <c r="D101" s="3" t="s">
        <v>99</v>
      </c>
      <c r="E101" s="3" t="s">
        <v>77</v>
      </c>
      <c r="F101" s="15" t="s">
        <v>75</v>
      </c>
      <c r="G101" s="15" t="s">
        <v>16</v>
      </c>
      <c r="H101" s="16">
        <v>62981.1</v>
      </c>
      <c r="I101" s="17">
        <v>30236</v>
      </c>
      <c r="J101" s="17">
        <f>19050+(365*15)</f>
        <v>24525</v>
      </c>
      <c r="K101" s="6" t="s">
        <v>153</v>
      </c>
      <c r="L101" s="6" t="s">
        <v>167</v>
      </c>
    </row>
    <row r="102" spans="3:12">
      <c r="C102" s="6">
        <v>1110</v>
      </c>
      <c r="D102" s="3" t="s">
        <v>116</v>
      </c>
      <c r="E102" s="3" t="s">
        <v>115</v>
      </c>
      <c r="F102" s="15" t="s">
        <v>105</v>
      </c>
      <c r="G102" s="15" t="s">
        <v>16</v>
      </c>
      <c r="H102" s="16">
        <v>59455.199999999997</v>
      </c>
      <c r="I102" s="17">
        <v>28733</v>
      </c>
      <c r="J102" s="17">
        <f>21628+(365*15)</f>
        <v>27103</v>
      </c>
      <c r="K102" s="6" t="s">
        <v>153</v>
      </c>
      <c r="L102" s="6" t="s">
        <v>167</v>
      </c>
    </row>
    <row r="103" spans="3:12">
      <c r="C103" s="6">
        <v>1110</v>
      </c>
      <c r="D103" s="3" t="s">
        <v>98</v>
      </c>
      <c r="E103" s="15" t="s">
        <v>89</v>
      </c>
      <c r="F103" s="15" t="s">
        <v>75</v>
      </c>
      <c r="G103" s="15" t="s">
        <v>13</v>
      </c>
      <c r="H103" s="18">
        <v>104565.3</v>
      </c>
      <c r="I103" s="19">
        <v>30228</v>
      </c>
      <c r="J103" s="17">
        <f>19061+(365*15)</f>
        <v>24536</v>
      </c>
      <c r="K103" s="20" t="s">
        <v>155</v>
      </c>
      <c r="L103" s="6" t="s">
        <v>172</v>
      </c>
    </row>
    <row r="104" spans="3:12">
      <c r="C104" s="6">
        <v>1111</v>
      </c>
      <c r="D104" s="3" t="s">
        <v>125</v>
      </c>
      <c r="E104" s="3" t="s">
        <v>9</v>
      </c>
      <c r="F104" s="15" t="s">
        <v>120</v>
      </c>
      <c r="G104" s="15" t="s">
        <v>16</v>
      </c>
      <c r="H104" s="16">
        <v>28043.68</v>
      </c>
      <c r="I104" s="17">
        <v>32094</v>
      </c>
      <c r="J104" s="17">
        <f>24188+(365*15)</f>
        <v>29663</v>
      </c>
      <c r="K104" s="6" t="s">
        <v>153</v>
      </c>
      <c r="L104" s="6" t="s">
        <v>167</v>
      </c>
    </row>
    <row r="105" spans="3:12">
      <c r="C105" s="6">
        <v>1112</v>
      </c>
      <c r="D105" s="3" t="s">
        <v>142</v>
      </c>
      <c r="E105" s="15" t="s">
        <v>21</v>
      </c>
      <c r="F105" s="15" t="s">
        <v>137</v>
      </c>
      <c r="G105" s="15" t="s">
        <v>13</v>
      </c>
      <c r="H105" s="16">
        <v>27081.040000000001</v>
      </c>
      <c r="I105" s="17">
        <v>32086</v>
      </c>
      <c r="J105" s="17">
        <f>24199+(365*15)</f>
        <v>29674</v>
      </c>
      <c r="K105" s="6" t="s">
        <v>153</v>
      </c>
      <c r="L105" s="6" t="s">
        <v>167</v>
      </c>
    </row>
    <row r="106" spans="3:12">
      <c r="C106" s="6">
        <v>1113</v>
      </c>
      <c r="D106" s="3" t="s">
        <v>102</v>
      </c>
      <c r="E106" s="15" t="s">
        <v>74</v>
      </c>
      <c r="F106" s="15" t="s">
        <v>75</v>
      </c>
      <c r="G106" s="21" t="s">
        <v>11</v>
      </c>
      <c r="H106" s="16">
        <v>66602.880000000005</v>
      </c>
      <c r="I106" s="17">
        <v>32437</v>
      </c>
      <c r="J106" s="17">
        <f>16898+(365*15)</f>
        <v>22373</v>
      </c>
      <c r="K106" s="6" t="s">
        <v>153</v>
      </c>
      <c r="L106" s="6" t="s">
        <v>167</v>
      </c>
    </row>
    <row r="107" spans="3:12">
      <c r="C107" s="6">
        <v>1114</v>
      </c>
      <c r="D107" s="3" t="s">
        <v>65</v>
      </c>
      <c r="E107" s="15" t="s">
        <v>63</v>
      </c>
      <c r="F107" s="15" t="s">
        <v>64</v>
      </c>
      <c r="G107" s="21" t="s">
        <v>13</v>
      </c>
      <c r="H107" s="16">
        <v>23239.439999999999</v>
      </c>
      <c r="I107" s="17">
        <v>33924</v>
      </c>
      <c r="J107" s="17">
        <f>25692+(365*15)</f>
        <v>31167</v>
      </c>
      <c r="K107" s="6" t="s">
        <v>157</v>
      </c>
      <c r="L107" s="6" t="s">
        <v>163</v>
      </c>
    </row>
    <row r="108" spans="3:12">
      <c r="C108" s="6">
        <v>1115</v>
      </c>
      <c r="D108" s="3" t="s">
        <v>100</v>
      </c>
      <c r="E108" s="15" t="s">
        <v>74</v>
      </c>
      <c r="F108" s="15" t="s">
        <v>75</v>
      </c>
      <c r="G108" s="15" t="s">
        <v>16</v>
      </c>
      <c r="H108" s="16">
        <v>58277.52</v>
      </c>
      <c r="I108" s="17">
        <v>30419</v>
      </c>
      <c r="J108" s="17">
        <f>19253+(365*15)</f>
        <v>24728</v>
      </c>
      <c r="K108" s="6" t="s">
        <v>153</v>
      </c>
      <c r="L108" s="6" t="s">
        <v>164</v>
      </c>
    </row>
    <row r="109" spans="3:12">
      <c r="C109" s="6">
        <v>1116</v>
      </c>
      <c r="D109" s="3" t="s">
        <v>136</v>
      </c>
      <c r="E109" s="15" t="s">
        <v>21</v>
      </c>
      <c r="F109" s="15" t="s">
        <v>137</v>
      </c>
      <c r="G109" s="15" t="s">
        <v>16</v>
      </c>
      <c r="H109" s="16">
        <v>23212.32</v>
      </c>
      <c r="I109" s="17">
        <v>33916</v>
      </c>
      <c r="J109" s="17">
        <f>25703+(365*15)</f>
        <v>31178</v>
      </c>
      <c r="K109" s="6" t="s">
        <v>153</v>
      </c>
      <c r="L109" s="6" t="s">
        <v>159</v>
      </c>
    </row>
    <row r="110" spans="3:12">
      <c r="C110" s="6">
        <v>1117</v>
      </c>
      <c r="D110" s="22" t="s">
        <v>76</v>
      </c>
      <c r="E110" s="3" t="s">
        <v>77</v>
      </c>
      <c r="F110" s="15" t="s">
        <v>75</v>
      </c>
      <c r="G110" s="15" t="s">
        <v>16</v>
      </c>
      <c r="H110" s="16">
        <v>35989.199999999997</v>
      </c>
      <c r="I110" s="17">
        <v>34335</v>
      </c>
      <c r="J110" s="17">
        <f>25707+(365*15)</f>
        <v>31182</v>
      </c>
      <c r="K110" s="6" t="s">
        <v>153</v>
      </c>
      <c r="L110" s="6" t="s">
        <v>167</v>
      </c>
    </row>
    <row r="111" spans="3:12">
      <c r="C111" s="6">
        <v>1118</v>
      </c>
      <c r="D111" s="3" t="s">
        <v>150</v>
      </c>
      <c r="E111" s="3" t="s">
        <v>151</v>
      </c>
      <c r="F111" s="15" t="s">
        <v>137</v>
      </c>
      <c r="G111" s="15" t="s">
        <v>11</v>
      </c>
      <c r="H111" s="16">
        <v>65821.56</v>
      </c>
      <c r="I111" s="17">
        <v>30411</v>
      </c>
      <c r="J111" s="17">
        <f>19264+(365*15)</f>
        <v>24739</v>
      </c>
      <c r="K111" s="6" t="s">
        <v>157</v>
      </c>
      <c r="L111" s="6" t="s">
        <v>168</v>
      </c>
    </row>
    <row r="112" spans="3:12">
      <c r="C112" s="6">
        <v>1119</v>
      </c>
      <c r="D112" s="3" t="s">
        <v>101</v>
      </c>
      <c r="E112" s="15" t="s">
        <v>74</v>
      </c>
      <c r="F112" s="15" t="s">
        <v>75</v>
      </c>
      <c r="G112" s="21" t="s">
        <v>11</v>
      </c>
      <c r="H112" s="16">
        <v>58277.52</v>
      </c>
      <c r="I112" s="17">
        <v>32977</v>
      </c>
      <c r="J112" s="17">
        <f>19268+(365*15)</f>
        <v>24743</v>
      </c>
      <c r="K112" s="6" t="s">
        <v>153</v>
      </c>
      <c r="L112" s="6" t="s">
        <v>159</v>
      </c>
    </row>
    <row r="113" spans="3:12">
      <c r="C113" s="6">
        <v>1120</v>
      </c>
      <c r="D113" s="3" t="s">
        <v>118</v>
      </c>
      <c r="E113" s="15" t="s">
        <v>119</v>
      </c>
      <c r="F113" s="15" t="s">
        <v>120</v>
      </c>
      <c r="G113" s="15" t="s">
        <v>16</v>
      </c>
      <c r="H113" s="16">
        <v>21887.95</v>
      </c>
      <c r="I113" s="17">
        <v>33730</v>
      </c>
      <c r="J113" s="17">
        <f>26204+(365*15)</f>
        <v>31679</v>
      </c>
      <c r="K113" s="6" t="s">
        <v>153</v>
      </c>
      <c r="L113" s="6" t="s">
        <v>166</v>
      </c>
    </row>
    <row r="114" spans="3:12">
      <c r="C114" s="6">
        <v>1121</v>
      </c>
      <c r="D114" s="3" t="s">
        <v>8</v>
      </c>
      <c r="E114" s="3" t="s">
        <v>9</v>
      </c>
      <c r="F114" s="15" t="s">
        <v>10</v>
      </c>
      <c r="G114" s="21" t="s">
        <v>11</v>
      </c>
      <c r="H114" s="16">
        <v>23035.88</v>
      </c>
      <c r="I114" s="17">
        <v>33722</v>
      </c>
      <c r="J114" s="17">
        <f>26215+(365*15)</f>
        <v>31690</v>
      </c>
      <c r="K114" s="6" t="s">
        <v>153</v>
      </c>
      <c r="L114" s="6" t="s">
        <v>162</v>
      </c>
    </row>
    <row r="115" spans="3:12">
      <c r="C115" s="6">
        <v>1122</v>
      </c>
      <c r="D115" s="3" t="s">
        <v>47</v>
      </c>
      <c r="E115" s="15" t="s">
        <v>15</v>
      </c>
      <c r="F115" s="15" t="s">
        <v>10</v>
      </c>
      <c r="G115" s="21" t="s">
        <v>13</v>
      </c>
      <c r="H115" s="16">
        <v>48785.55</v>
      </c>
      <c r="I115" s="17">
        <v>33855</v>
      </c>
      <c r="J115" s="17">
        <f>22567+(365*15)</f>
        <v>28042</v>
      </c>
      <c r="K115" s="6" t="s">
        <v>153</v>
      </c>
      <c r="L115" s="6" t="s">
        <v>167</v>
      </c>
    </row>
    <row r="116" spans="3:12">
      <c r="C116" s="6">
        <v>1123</v>
      </c>
      <c r="D116" s="3" t="s">
        <v>69</v>
      </c>
      <c r="E116" s="15" t="s">
        <v>67</v>
      </c>
      <c r="F116" s="15" t="s">
        <v>64</v>
      </c>
      <c r="G116" s="15" t="s">
        <v>16</v>
      </c>
      <c r="H116" s="16">
        <v>30013.62</v>
      </c>
      <c r="I116" s="17">
        <v>29750</v>
      </c>
      <c r="J116" s="17">
        <f>25095+(365*15)</f>
        <v>30570</v>
      </c>
      <c r="K116" s="6" t="s">
        <v>153</v>
      </c>
      <c r="L116" s="6" t="s">
        <v>167</v>
      </c>
    </row>
    <row r="117" spans="3:12">
      <c r="C117" s="6">
        <v>1124</v>
      </c>
      <c r="D117" s="22" t="s">
        <v>22</v>
      </c>
      <c r="E117" s="15" t="s">
        <v>23</v>
      </c>
      <c r="F117" s="15" t="s">
        <v>10</v>
      </c>
      <c r="G117" s="21" t="s">
        <v>13</v>
      </c>
      <c r="H117" s="16">
        <v>51878.84</v>
      </c>
      <c r="I117" s="17">
        <v>29742</v>
      </c>
      <c r="J117" s="17">
        <f>25106+(365*15)</f>
        <v>30581</v>
      </c>
      <c r="K117" s="6" t="s">
        <v>153</v>
      </c>
      <c r="L117" s="6" t="s">
        <v>167</v>
      </c>
    </row>
  </sheetData>
  <sortState xmlns:xlrd2="http://schemas.microsoft.com/office/spreadsheetml/2017/richdata2" ref="C4:L117">
    <sortCondition ref="I4"/>
  </sortState>
  <phoneticPr fontId="10" type="noConversion"/>
  <conditionalFormatting sqref="C4:C117">
    <cfRule type="expression" dxfId="12" priority="1">
      <formula>C5&lt;C4</formula>
    </cfRule>
  </conditionalFormatting>
  <printOptions gridLines="1" gridLinesSet="0"/>
  <pageMargins left="0.75" right="0.75" top="1" bottom="1" header="0.5" footer="0.5"/>
  <pageSetup orientation="portrait" horizontalDpi="300" verticalDpi="200" r:id="rId1"/>
  <headerFooter alignWithMargins="0">
    <oddHeader>&amp;A</oddHeader>
    <oddFooter>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3"/>
  <sheetViews>
    <sheetView zoomScale="175" zoomScaleNormal="175" workbookViewId="0">
      <selection activeCell="C9" sqref="C9"/>
    </sheetView>
  </sheetViews>
  <sheetFormatPr defaultRowHeight="12.75"/>
  <cols>
    <col min="2" max="2" width="13.28515625" customWidth="1"/>
    <col min="3" max="3" width="16.42578125" customWidth="1"/>
  </cols>
  <sheetData>
    <row r="2" spans="2:3" ht="16.5">
      <c r="B2" s="11" t="s">
        <v>0</v>
      </c>
      <c r="C2" s="12" t="s">
        <v>1</v>
      </c>
    </row>
    <row r="3" spans="2:3">
      <c r="B3" s="23">
        <v>1099</v>
      </c>
      <c r="C3" s="23" t="str">
        <f>VLOOKUP(B3,CHOOSE({1,2},員工代號,姓名),2,0)</f>
        <v>陳健志</v>
      </c>
    </row>
  </sheetData>
  <phoneticPr fontId="10" type="noConversion"/>
  <dataValidations count="1">
    <dataValidation type="list" allowBlank="1" showInputMessage="1" showErrorMessage="1" sqref="B3" xr:uid="{00000000-0002-0000-0100-000000000000}">
      <formula1>員工代號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3</vt:i4>
      </vt:variant>
    </vt:vector>
  </HeadingPairs>
  <TitlesOfParts>
    <vt:vector size="5" baseType="lpstr">
      <vt:lpstr>資料清單</vt:lpstr>
      <vt:lpstr>查詢應用</vt:lpstr>
      <vt:lpstr>DATA123</vt:lpstr>
      <vt:lpstr>姓名</vt:lpstr>
      <vt:lpstr>員工代號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西海岸事務機器公司人事資料清單</dc:title>
  <dc:subject>自動篩選與排序</dc:subject>
  <dc:creator>黃景增</dc:creator>
  <cp:keywords>篩選,排序,人事</cp:keywords>
  <dc:description>這是屬於 Excel 5.0 中文版教學範本的範例檔案</dc:description>
  <cp:lastModifiedBy>蘇孟緯</cp:lastModifiedBy>
  <dcterms:created xsi:type="dcterms:W3CDTF">2003-12-23T16:04:52Z</dcterms:created>
  <dcterms:modified xsi:type="dcterms:W3CDTF">2022-10-24T05:22:26Z</dcterms:modified>
</cp:coreProperties>
</file>