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F876366-76CE-416A-8DD0-D38C2D99F51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troduction" sheetId="11" r:id="rId1"/>
    <sheet name="Cash Flow statement" sheetId="1" r:id="rId2"/>
    <sheet name="Balance Sheet" sheetId="2" r:id="rId3"/>
    <sheet name="Income Statement" sheetId="3" r:id="rId4"/>
    <sheet name="FCFF and FCFE" sheetId="4" r:id="rId5"/>
    <sheet name="EV &amp; TV" sheetId="7" r:id="rId6"/>
    <sheet name="Cost of Equity" sheetId="5" r:id="rId7"/>
    <sheet name="Gordon Growth Model" sheetId="9" r:id="rId8"/>
    <sheet name="WACC" sheetId="6" r:id="rId9"/>
  </sheets>
  <definedNames>
    <definedName name="_xlnm._FilterDatabase" localSheetId="2" hidden="1">'Balance Sheet'!$A$1:$F$166</definedName>
    <definedName name="_xlnm._FilterDatabase" localSheetId="1" hidden="1">'Cash Flow statement'!$A$1:$G$78</definedName>
    <definedName name="_xlnm._FilterDatabase" localSheetId="3" hidden="1">'Income Statement'!$A$1:$G$62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6" l="1"/>
  <c r="D12" i="6"/>
  <c r="G6" i="5"/>
  <c r="E6" i="5"/>
  <c r="G4" i="5"/>
  <c r="E4" i="5"/>
  <c r="B15" i="4"/>
  <c r="C29" i="6" s="1"/>
  <c r="D8" i="6" s="1"/>
  <c r="C28" i="6"/>
  <c r="B8" i="4" l="1"/>
  <c r="D17" i="6" s="1"/>
  <c r="C27" i="6"/>
  <c r="D6" i="6"/>
  <c r="D7" i="6"/>
  <c r="E22" i="4"/>
  <c r="E8" i="4"/>
  <c r="F8" i="4"/>
  <c r="G8" i="4"/>
  <c r="H8" i="4"/>
  <c r="I8" i="4"/>
  <c r="D7" i="7"/>
  <c r="C6" i="9"/>
  <c r="C11" i="9" s="1"/>
  <c r="E11" i="9"/>
  <c r="E22" i="7" l="1"/>
  <c r="D22" i="7"/>
  <c r="D14" i="7" l="1"/>
  <c r="D12" i="7"/>
  <c r="D5" i="7"/>
  <c r="C6" i="5" l="1"/>
  <c r="C7" i="5"/>
  <c r="C5" i="5"/>
  <c r="B5" i="4"/>
  <c r="D13" i="7" l="1"/>
  <c r="J18" i="4"/>
  <c r="J34" i="4" s="1"/>
  <c r="I18" i="4"/>
  <c r="H18" i="4"/>
  <c r="G18" i="4"/>
  <c r="F18" i="4"/>
  <c r="E18" i="4"/>
  <c r="I34" i="4" l="1"/>
  <c r="B9" i="4"/>
  <c r="E9" i="4"/>
  <c r="E34" i="4"/>
  <c r="H9" i="4"/>
  <c r="H34" i="4"/>
  <c r="F9" i="4"/>
  <c r="F34" i="4"/>
  <c r="G9" i="4"/>
  <c r="G34" i="4"/>
  <c r="I9" i="4"/>
  <c r="K18" i="4"/>
  <c r="F5" i="4"/>
  <c r="G5" i="4"/>
  <c r="H5" i="4"/>
  <c r="I5" i="4"/>
  <c r="L18" i="4" l="1"/>
  <c r="K34" i="4"/>
  <c r="E5" i="4"/>
  <c r="M18" i="4" l="1"/>
  <c r="L34" i="4"/>
  <c r="F35" i="4"/>
  <c r="G35" i="4"/>
  <c r="H35" i="4"/>
  <c r="I35" i="4"/>
  <c r="E35" i="4"/>
  <c r="J35" i="4" s="1"/>
  <c r="F22" i="4"/>
  <c r="G22" i="4"/>
  <c r="H22" i="4"/>
  <c r="I22" i="4"/>
  <c r="D15" i="7" s="1"/>
  <c r="J22" i="4"/>
  <c r="F21" i="4"/>
  <c r="G21" i="4"/>
  <c r="H21" i="4"/>
  <c r="I21" i="4"/>
  <c r="D25" i="7" s="1"/>
  <c r="J21" i="4"/>
  <c r="E21" i="4"/>
  <c r="D18" i="6"/>
  <c r="D19" i="6" s="1"/>
  <c r="F17" i="4"/>
  <c r="F19" i="4" s="1"/>
  <c r="G17" i="4"/>
  <c r="G19" i="4" s="1"/>
  <c r="H17" i="4"/>
  <c r="H19" i="4" s="1"/>
  <c r="I17" i="4"/>
  <c r="J17" i="4"/>
  <c r="E17" i="4"/>
  <c r="E19" i="4" s="1"/>
  <c r="H20" i="4"/>
  <c r="I20" i="4"/>
  <c r="D23" i="7" s="1"/>
  <c r="G20" i="4"/>
  <c r="F20" i="4"/>
  <c r="E20" i="4"/>
  <c r="D2" i="4"/>
  <c r="D19" i="4"/>
  <c r="D23" i="4"/>
  <c r="N18" i="4" l="1"/>
  <c r="N34" i="4" s="1"/>
  <c r="M34" i="4"/>
  <c r="J19" i="4"/>
  <c r="K17" i="4"/>
  <c r="K19" i="4" s="1"/>
  <c r="I19" i="4"/>
  <c r="I23" i="4" s="1"/>
  <c r="D21" i="7"/>
  <c r="E24" i="7"/>
  <c r="D24" i="7"/>
  <c r="E21" i="7"/>
  <c r="F21" i="7" s="1"/>
  <c r="J20" i="4"/>
  <c r="K20" i="4" s="1"/>
  <c r="E23" i="7"/>
  <c r="K35" i="4"/>
  <c r="L35" i="4" s="1"/>
  <c r="F25" i="7"/>
  <c r="K21" i="4"/>
  <c r="L21" i="4" s="1"/>
  <c r="E25" i="7"/>
  <c r="I37" i="7"/>
  <c r="N36" i="7" s="1"/>
  <c r="I34" i="7"/>
  <c r="D34" i="7"/>
  <c r="I33" i="7"/>
  <c r="D33" i="7"/>
  <c r="I32" i="7"/>
  <c r="I24" i="7"/>
  <c r="H24" i="7"/>
  <c r="G24" i="7"/>
  <c r="F24" i="7"/>
  <c r="F19" i="7"/>
  <c r="G19" i="7"/>
  <c r="F18" i="7"/>
  <c r="E18" i="7"/>
  <c r="F20" i="7" s="1"/>
  <c r="D18" i="7"/>
  <c r="G18" i="7"/>
  <c r="G17" i="7" s="1"/>
  <c r="H19" i="7"/>
  <c r="H18" i="7"/>
  <c r="H17" i="7" s="1"/>
  <c r="I19" i="7"/>
  <c r="I18" i="7"/>
  <c r="I17" i="7" s="1"/>
  <c r="G11" i="6"/>
  <c r="J10" i="6"/>
  <c r="L10" i="6" s="1"/>
  <c r="J9" i="6"/>
  <c r="L9" i="6" s="1"/>
  <c r="J8" i="6"/>
  <c r="L8" i="6" s="1"/>
  <c r="J7" i="6"/>
  <c r="L7" i="6"/>
  <c r="J6" i="6"/>
  <c r="L6" i="6" s="1"/>
  <c r="J11" i="6"/>
  <c r="G8" i="5"/>
  <c r="E8" i="5"/>
  <c r="C8" i="5"/>
  <c r="F23" i="4"/>
  <c r="F33" i="4" s="1"/>
  <c r="E2" i="4"/>
  <c r="F2" i="4" s="1"/>
  <c r="G2" i="4" s="1"/>
  <c r="H2" i="4" s="1"/>
  <c r="I2" i="4" s="1"/>
  <c r="J2" i="4" s="1"/>
  <c r="K2" i="4" s="1"/>
  <c r="L2" i="4" s="1"/>
  <c r="M2" i="4" s="1"/>
  <c r="N2" i="4" s="1"/>
  <c r="E20" i="7" l="1"/>
  <c r="D21" i="6"/>
  <c r="B10" i="4" s="1"/>
  <c r="B7" i="4"/>
  <c r="L11" i="6"/>
  <c r="D26" i="7"/>
  <c r="I33" i="4"/>
  <c r="G21" i="7"/>
  <c r="F22" i="7"/>
  <c r="M35" i="4"/>
  <c r="N35" i="4" s="1"/>
  <c r="L20" i="4"/>
  <c r="F23" i="7"/>
  <c r="M21" i="4"/>
  <c r="H25" i="7"/>
  <c r="G25" i="7"/>
  <c r="J36" i="4"/>
  <c r="G20" i="7"/>
  <c r="E26" i="7"/>
  <c r="E28" i="7" s="1"/>
  <c r="I35" i="7"/>
  <c r="D27" i="7" s="1"/>
  <c r="D6" i="7"/>
  <c r="J18" i="7"/>
  <c r="E17" i="7"/>
  <c r="H20" i="7"/>
  <c r="I20" i="7"/>
  <c r="F17" i="7"/>
  <c r="H23" i="4"/>
  <c r="H33" i="4" s="1"/>
  <c r="G23" i="4"/>
  <c r="G33" i="4" s="1"/>
  <c r="J23" i="4"/>
  <c r="J33" i="4" s="1"/>
  <c r="F26" i="7" l="1"/>
  <c r="F28" i="7" s="1"/>
  <c r="D29" i="7"/>
  <c r="D28" i="7" s="1"/>
  <c r="B37" i="4"/>
  <c r="B24" i="4"/>
  <c r="G22" i="7"/>
  <c r="H21" i="7"/>
  <c r="N13" i="4"/>
  <c r="H25" i="4"/>
  <c r="G23" i="7"/>
  <c r="M20" i="4"/>
  <c r="H23" i="7" s="1"/>
  <c r="G26" i="7"/>
  <c r="G28" i="7" s="1"/>
  <c r="G25" i="4"/>
  <c r="I25" i="4"/>
  <c r="F25" i="4"/>
  <c r="D25" i="4"/>
  <c r="N21" i="4"/>
  <c r="I25" i="7"/>
  <c r="E29" i="7"/>
  <c r="J25" i="4"/>
  <c r="C14" i="4"/>
  <c r="D34" i="4" s="1"/>
  <c r="I36" i="4"/>
  <c r="F29" i="7" l="1"/>
  <c r="I21" i="7"/>
  <c r="H22" i="7"/>
  <c r="H26" i="7" s="1"/>
  <c r="N20" i="4"/>
  <c r="I23" i="7" s="1"/>
  <c r="G29" i="7"/>
  <c r="L17" i="4"/>
  <c r="L19" i="4" s="1"/>
  <c r="I38" i="4"/>
  <c r="N19" i="7" l="1"/>
  <c r="J27" i="7" s="1"/>
  <c r="J28" i="7" s="1"/>
  <c r="I22" i="7"/>
  <c r="I26" i="7" s="1"/>
  <c r="I28" i="7" s="1"/>
  <c r="H28" i="7"/>
  <c r="H29" i="7"/>
  <c r="M17" i="4"/>
  <c r="M19" i="4" s="1"/>
  <c r="J38" i="4"/>
  <c r="I29" i="7" l="1"/>
  <c r="N33" i="7"/>
  <c r="D32" i="7"/>
  <c r="D35" i="7" s="1"/>
  <c r="D37" i="7" s="1"/>
  <c r="J29" i="7"/>
  <c r="N17" i="4"/>
  <c r="N19" i="4" s="1"/>
  <c r="N32" i="7" l="1"/>
  <c r="N37" i="7"/>
  <c r="N38" i="7" s="1"/>
  <c r="H36" i="4"/>
  <c r="H38" i="4" s="1"/>
  <c r="G36" i="4"/>
  <c r="G38" i="4" s="1"/>
  <c r="F36" i="4"/>
  <c r="F38" i="4" s="1"/>
  <c r="E36" i="4"/>
  <c r="E38" i="4" s="1"/>
  <c r="B38" i="4" s="1"/>
  <c r="E23" i="4"/>
  <c r="K22" i="4"/>
  <c r="K36" i="4" s="1"/>
  <c r="K38" i="4" s="1"/>
  <c r="L22" i="4" l="1"/>
  <c r="L23" i="4" s="1"/>
  <c r="L25" i="4" s="1"/>
  <c r="M22" i="4"/>
  <c r="M36" i="4" s="1"/>
  <c r="M38" i="4" s="1"/>
  <c r="L36" i="4"/>
  <c r="L38" i="4" s="1"/>
  <c r="E25" i="4"/>
  <c r="B25" i="4" s="1"/>
  <c r="E33" i="4"/>
  <c r="M23" i="4"/>
  <c r="N22" i="4"/>
  <c r="K23" i="4"/>
  <c r="L33" i="4" l="1"/>
  <c r="K25" i="4"/>
  <c r="K33" i="4"/>
  <c r="M25" i="4"/>
  <c r="M33" i="4"/>
  <c r="N36" i="4"/>
  <c r="N38" i="4" s="1"/>
  <c r="N23" i="4"/>
  <c r="F13" i="4" l="1"/>
  <c r="F14" i="4" s="1"/>
  <c r="D13" i="4"/>
  <c r="D14" i="4" s="1"/>
  <c r="D35" i="4" s="1"/>
  <c r="D36" i="4" s="1"/>
  <c r="D38" i="4" s="1"/>
  <c r="E13" i="4"/>
  <c r="E14" i="4" s="1"/>
  <c r="N25" i="4"/>
  <c r="L13" i="4" s="1"/>
  <c r="L14" i="4" s="1"/>
  <c r="N33" i="4"/>
  <c r="H13" i="4" l="1"/>
  <c r="H14" i="4" s="1"/>
  <c r="G13" i="4"/>
  <c r="G14" i="4" s="1"/>
  <c r="I13" i="4"/>
  <c r="I14" i="4" s="1"/>
  <c r="J13" i="4"/>
  <c r="J14" i="4" s="1"/>
  <c r="M13" i="4"/>
  <c r="M14" i="4" s="1"/>
  <c r="K13" i="4"/>
  <c r="K14" i="4" s="1"/>
</calcChain>
</file>

<file path=xl/sharedStrings.xml><?xml version="1.0" encoding="utf-8"?>
<sst xmlns="http://schemas.openxmlformats.org/spreadsheetml/2006/main" count="911" uniqueCount="691">
  <si>
    <t>ABLZF_cash-flow_Annual_As_Originally_Reported</t>
  </si>
  <si>
    <t>2019</t>
  </si>
  <si>
    <t>2020</t>
  </si>
  <si>
    <t>2021</t>
  </si>
  <si>
    <t>2022</t>
  </si>
  <si>
    <t>2023</t>
  </si>
  <si>
    <t>TTM</t>
  </si>
  <si>
    <t>Cash Flow from Operating Activities, Indirect</t>
  </si>
  <si>
    <t/>
  </si>
  <si>
    <t xml:space="preserve">    Net Cash Flow from Continuing Operating Activities, Indirect</t>
  </si>
  <si>
    <t xml:space="preserve">        Cash Generated from Operating Activities</t>
  </si>
  <si>
    <t xml:space="preserve">            Income/Loss before Non-Cash Adjustment</t>
  </si>
  <si>
    <t xml:space="preserve">            Total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</si>
  <si>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</si>
  <si>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</si>
  <si>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</si>
  <si>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</si>
  <si>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Pension and Employee Benefit Expense, Non-Cash Adjustment</t>
  </si>
  <si>
    <t xml:space="preserve">                Deferred Taxes, Non-Cash Adjustment</t>
  </si>
  <si>
    <t xml:space="preserve">                Net Investment Income/Loss, Non-Cash Adjustment</t>
  </si>
  <si>
    <t xml:space="preserve">                    Unrealized Gain/Loss on Financial Assets/Liabilities, Non-Cash Adjustment</t>
  </si>
  <si>
    <t xml:space="preserve">                    Gain/Loss on Derivatives, Non-Cash Adjustment</t>
  </si>
  <si>
    <t xml:space="preserve">                    Share of Profit/Loss from Associates, Joint Ventures and other Equity Investments, Non-Cash Adjustment</t>
  </si>
  <si>
    <t xml:space="preserve">                Irregular Income/Loss, Non-Cash Adjustment</t>
  </si>
  <si>
    <t xml:space="preserve">                    Gain/Loss on Disposals, Non-Cash Adjustment</t>
  </si>
  <si>
    <t xml:space="preserve">                        Gain/Loss on Disposal/Sale of Fixed Assets, Non-Cash Adjustment</t>
  </si>
  <si>
    <t xml:space="preserve">                        Gain/Loss on Disposal/Sale of Business, Non-Cash Adjustment</t>
  </si>
  <si>
    <t xml:space="preserve">                    Gain/Loss on Extinguishment of Debt, Non-Cash Adjustment</t>
  </si>
  <si>
    <t xml:space="preserve">                    Impairment of Goodwill, Non-Cash Adjustment</t>
  </si>
  <si>
    <t xml:space="preserve">                Other Non-Cash Items</t>
  </si>
  <si>
    <t xml:space="preserve">                Stock-Based Compensation, Non-Cash Adjustment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</si>
  <si>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</si>
  <si>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</si>
  <si>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</si>
  <si>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</si>
  <si>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</si>
  <si>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</si>
  <si>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</si>
  <si>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Change in Accrued Expenses</t>
  </si>
  <si>
    <t xml:space="preserve">                Change in Provisions</t>
  </si>
  <si>
    <t xml:space="preserve">                Change in Other Operating Capital</t>
  </si>
  <si>
    <t xml:space="preserve">                Change in Deferred Assets/Liabilities</t>
  </si>
  <si>
    <t xml:space="preserve">    Net Cash Flow from Discontinuing Operating Activities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</si>
  <si>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</si>
  <si>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</si>
  <si>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</si>
  <si>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Purchase/Sale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</si>
  <si>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</si>
  <si>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</si>
  <si>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Purchase/Sale of Business, Net</t>
  </si>
  <si>
    <t xml:space="preserve">            Purchase/Acquisition of Business</t>
  </si>
  <si>
    <t xml:space="preserve">            Sale of Business</t>
  </si>
  <si>
    <t xml:space="preserve">        Purchase/Sale of Investments, Net</t>
  </si>
  <si>
    <t xml:space="preserve">            Purchase of Investments</t>
  </si>
  <si>
    <t xml:space="preserve">            Sale of Investments</t>
  </si>
  <si>
    <t xml:space="preserve">        Other Investing Cash Flow</t>
  </si>
  <si>
    <t xml:space="preserve">    Net Cash Flow from Discontinuing Investing Activities</t>
  </si>
  <si>
    <t>Cash Flow from Financing Activities</t>
  </si>
  <si>
    <t xml:space="preserve">    Cash Flow from Continuing Financing Activities</t>
  </si>
  <si>
    <t xml:space="preserve">        Issuance of/Payments for Common Stock, Net</t>
  </si>
  <si>
    <t xml:space="preserve">            Proceeds from Issuance of Common Stock</t>
  </si>
  <si>
    <t xml:space="preserve">            Payments for Common Stock</t>
  </si>
  <si>
    <t xml:space="preserve">        Issuance of/Repayments for Debt, Net</t>
  </si>
  <si>
    <t xml:space="preserve">            Issuance of/Repayments for Short Term Debt, Net</t>
  </si>
  <si>
    <t xml:space="preserve">            Issuance of/Repayments for Long Term Debt, Net</t>
  </si>
  <si>
    <t xml:space="preserve">                Proceeds from Issuance of Long Term Debt</t>
  </si>
  <si>
    <t xml:space="preserve">                Repayments for Long Term Debt</t>
  </si>
  <si>
    <t xml:space="preserve">        Net Movement in Non-Controlling/Minority Interest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</si>
  <si>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</si>
  <si>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</si>
  <si>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</si>
  <si>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Cash Dividends Paid to Non-Controlling/Minority Interests</t>
  </si>
  <si>
    <t xml:space="preserve">        Other Financing Cash Flow</t>
  </si>
  <si>
    <t xml:space="preserve">    Net Cash Flow from Discontinuing Financing Activities</t>
  </si>
  <si>
    <t>Cash and Cash Equivalents, End of Period</t>
  </si>
  <si>
    <t xml:space="preserve">    Change in Cash</t>
  </si>
  <si>
    <t xml:space="preserve">    Effect of Exchange Rate Changes</t>
  </si>
  <si>
    <t xml:space="preserve">    Cash and Cash Equivalents, Beginning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</si>
  <si>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</si>
  <si>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</si>
  <si>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</si>
  <si>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Interest Paid, Supplemental</t>
  </si>
  <si>
    <t>Fiscal year ends in Dec 31 | USD</t>
  </si>
  <si>
    <t>ABLZF_balance-sheet_Annual_As_Originally_Reported</t>
  </si>
  <si>
    <t>Total Assets</t>
  </si>
  <si>
    <t xml:space="preserve">    Total Current Assets</t>
  </si>
  <si>
    <t xml:space="preserve">        Cash, Cash Equivalents and Short Term Investments</t>
  </si>
  <si>
    <t xml:space="preserve">            Cash and Cash Equivalents</t>
  </si>
  <si>
    <t xml:space="preserve">                Cash Equivalents</t>
  </si>
  <si>
    <t xml:space="preserve">            Short Term Investments</t>
  </si>
  <si>
    <t xml:space="preserve">                Available-for-Sale Securities, Current</t>
  </si>
  <si>
    <t xml:space="preserve">                Other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</si>
  <si>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</si>
  <si>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</si>
  <si>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</si>
  <si>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</si>
  <si>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</si>
  <si>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Inventory Allowance/Adjustments</t>
  </si>
  <si>
    <t xml:space="preserve">        Trade and Other Receivables, Current</t>
  </si>
  <si>
    <t xml:space="preserve">            Trade/Accounts Receivable, Current</t>
  </si>
  <si>
    <t xml:space="preserve">            Accrued Income/Unbilled Revenue/Cost in Excess of Billings, Current</t>
  </si>
  <si>
    <t xml:space="preserve">            Other Receivables, Current</t>
  </si>
  <si>
    <t xml:space="preserve">            General Allowance for Receivables and Write Offs, Current</t>
  </si>
  <si>
    <t xml:space="preserve">        Prepayments and Deposits, Current</t>
  </si>
  <si>
    <t xml:space="preserve">        Other Current Assets</t>
  </si>
  <si>
    <t xml:space="preserve">        Assets Held for Sale/Discontinued Operations, Current</t>
  </si>
  <si>
    <t xml:space="preserve">        Deferred Tax Assets, Current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</si>
  <si>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</si>
  <si>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</si>
  <si>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</si>
  <si>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</si>
  <si>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Machinery, Furniture and Equipment</t>
  </si>
  <si>
    <t xml:space="preserve">                Construction in Progress and Advance Payments</t>
  </si>
  <si>
    <t xml:space="preserve">                Leased Property, Plant and Equipment</t>
  </si>
  <si>
    <t xml:space="preserve">            Accumulated Depreciation and Impairment</t>
  </si>
  <si>
    <t xml:space="preserve">                Accumulated Depreciation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</si>
  <si>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</si>
  <si>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</si>
  <si>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</si>
  <si>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</si>
  <si>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Software and Technology</t>
  </si>
  <si>
    <t xml:space="preserve">                    Customer Relationships</t>
  </si>
  <si>
    <t xml:space="preserve">                   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</si>
  <si>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</si>
  <si>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</si>
  <si>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</si>
  <si>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Software and Technology</t>
  </si>
  <si>
    <t xml:space="preserve">                        Accumulated Amortization of Customer Relationships</t>
  </si>
  <si>
    <t xml:space="preserve">                        Accumulated Amortization of Other Intangible Assets</t>
  </si>
  <si>
    <t xml:space="preserve">        Total Long Term Investments</t>
  </si>
  <si>
    <t xml:space="preserve">            Long Term Equity Investments</t>
  </si>
  <si>
    <t xml:space="preserve">            Investment in Financial Assets, Non-Current</t>
  </si>
  <si>
    <t xml:space="preserve">                Other Financial Assets, Non-Current</t>
  </si>
  <si>
    <t xml:space="preserve">        Deferred Tax Assets, Non-Current</t>
  </si>
  <si>
    <t xml:space="preserve">        Pension and Other Employee Benefits, Non-Current</t>
  </si>
  <si>
    <t xml:space="preserve">        Other Non-Current Assets</t>
  </si>
  <si>
    <t xml:space="preserve">        Cash Restricted or Pledged, Non-Current</t>
  </si>
  <si>
    <t xml:space="preserve">        Assets Held for Sale/Discontinued Operations, Non-Current</t>
  </si>
  <si>
    <t xml:space="preserve">        Derivative Investment and Hedging Assets, Non-Current</t>
  </si>
  <si>
    <t xml:space="preserve">        Trade and Other Receivables, Non-Current</t>
  </si>
  <si>
    <t xml:space="preserve">            Loans Receivable, Non-Current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</si>
  <si>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</si>
  <si>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</si>
  <si>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</si>
  <si>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</si>
  <si>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</si>
  <si>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Interest Payable, Current</t>
  </si>
  <si>
    <t xml:space="preserve">                Taxes Payable, Current</t>
  </si>
  <si>
    <t xml:space="preserve">                Other Payable, Current</t>
  </si>
  <si>
    <t xml:space="preserve">           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</si>
  <si>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</si>
  <si>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</si>
  <si>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</si>
  <si>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</si>
  <si>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</si>
  <si>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Capital Lease Obligations, Current</t>
  </si>
  <si>
    <t xml:space="preserve">            Derivative and Hedging Liabilities, Current</t>
  </si>
  <si>
    <t xml:space="preserve">        Provisions, Current</t>
  </si>
  <si>
    <t xml:space="preserve">            Provision for Employee Entitlements, Current</t>
  </si>
  <si>
    <t xml:space="preserve">                Other Employee-Related Liabilities, Current</t>
  </si>
  <si>
    <t xml:space="preserve">                Pension and Other Post-Retirement Benefit Plans, Current</t>
  </si>
  <si>
    <t xml:space="preserve">            Other Provisions,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</si>
  <si>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</si>
  <si>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</si>
  <si>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Other Current Liabilities</t>
  </si>
  <si>
    <t xml:space="preserve">        Discontinued Operations Liabilities, Current</t>
  </si>
  <si>
    <t xml:space="preserve">        Tax Liabilities, Current</t>
  </si>
  <si>
    <t xml:space="preserve">            Deferred Tax Liabilities, Current</t>
  </si>
  <si>
    <t xml:space="preserve">    Total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</si>
  <si>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</si>
  <si>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</si>
  <si>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</si>
  <si>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</si>
  <si>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Other Loans, Non-Current</t>
  </si>
  <si>
    <t xml:space="preserve">                Capital Lease Obligations, Non-Current</t>
  </si>
  <si>
    <t xml:space="preserve">            Derivative and Hedging Liabilities, Non-Current</t>
  </si>
  <si>
    <t xml:space="preserve">        Provisions, Non-Current</t>
  </si>
  <si>
    <t xml:space="preserve">            Provision for Employee Entitlements, Non-Current</t>
  </si>
  <si>
    <t xml:space="preserve">                Pension and Other Post-Retirement Benefit Plans, Non-Current</t>
  </si>
  <si>
    <t xml:space="preserve">                Other Employee-Related Liabilities, Non-Current</t>
  </si>
  <si>
    <t xml:space="preserve">            Other Provisions, Non-Current</t>
  </si>
  <si>
    <t xml:space="preserve">            Provision for Asset Retirement Obligation/Site Restoration and Rehabilitation, Non-Current</t>
  </si>
  <si>
    <t xml:space="preserve">        Tax Liabilities, Non-Current</t>
  </si>
  <si>
    <t xml:space="preserve">            Deferred Tax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</si>
  <si>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</si>
  <si>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</si>
  <si>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Taxes Payable, Non-Current</t>
  </si>
  <si>
    <t xml:space="preserve">        Other Non-Current Liabilities</t>
  </si>
  <si>
    <t xml:space="preserve">        Deferred Liabilities, Non-Current</t>
  </si>
  <si>
    <t xml:space="preserve">            Deferred Income/Customer Advances/Billings in Excess of Cost, Non-Current</t>
  </si>
  <si>
    <t xml:space="preserve">        Liabilities Held for Sale/Discontinued Operations, Non-Current</t>
  </si>
  <si>
    <t>Total Equity</t>
  </si>
  <si>
    <t xml:space="preserve">    Equity Attributable to Parent Stockholders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</si>
  <si>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</si>
  <si>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</si>
  <si>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</si>
  <si>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Additional Paid in Capital/Share Premium</t>
  </si>
  <si>
    <t xml:space="preserve">            Treasury Stock</t>
  </si>
  <si>
    <t xml:space="preserve">        Retained Earnings/Accumulated Deficit</t>
  </si>
  <si>
    <t xml:space="preserve">        Reserves/Accumulated Comprehensive Income/Losses</t>
  </si>
  <si>
    <t xml:space="preserve">            Other Reserves/Accum.Comp.Inc</t>
  </si>
  <si>
    <t xml:space="preserve">    Non-Controlling/Minority Interests in Equity</t>
  </si>
  <si>
    <t>Debt Maturity Schedule Total</t>
  </si>
  <si>
    <t xml:space="preserve">    Debt due in Year 1</t>
  </si>
  <si>
    <t xml:space="preserve">    Debt due in Year 2</t>
  </si>
  <si>
    <t xml:space="preserve">    Debt due in Year 3</t>
  </si>
  <si>
    <t xml:space="preserve">    Debt due in Year 4</t>
  </si>
  <si>
    <t xml:space="preserve">    Debt due in Year 5</t>
  </si>
  <si>
    <t xml:space="preserve">    Debt due Beyond</t>
  </si>
  <si>
    <t xml:space="preserve">    Debt - Interests Charges and Other Adjustments</t>
  </si>
  <si>
    <t>Capital Lease Obligation Maturity Schedule Total</t>
  </si>
  <si>
    <t xml:space="preserve">    Capital Lease due in Year 1</t>
  </si>
  <si>
    <t xml:space="preserve">    Capital Lease due in Year 2</t>
  </si>
  <si>
    <t xml:space="preserve">    Capital Lease due in Year 3</t>
  </si>
  <si>
    <t xml:space="preserve">    Capital Lease due in Year 4</t>
  </si>
  <si>
    <t xml:space="preserve">    Capital Lease due in Year 5</t>
  </si>
  <si>
    <t xml:space="preserve">    Capital Lease due Beyond</t>
  </si>
  <si>
    <t xml:space="preserve">    Capital Lease - Interests Charges and Other Adjustments</t>
  </si>
  <si>
    <t>Operating Lease Obligation Maturity Schedule Total</t>
  </si>
  <si>
    <t xml:space="preserve">    Operating Lease due in Year 1</t>
  </si>
  <si>
    <t xml:space="preserve">    Operating Lease due in Year 2</t>
  </si>
  <si>
    <t xml:space="preserve">    Operating Lease due in Year 3</t>
  </si>
  <si>
    <t xml:space="preserve">    Operating Lease due in Year 4</t>
  </si>
  <si>
    <t xml:space="preserve">    Operating Lease due Beyond</t>
  </si>
  <si>
    <t xml:space="preserve">    Operating Lease - Interests Charges and Other Adjustments</t>
  </si>
  <si>
    <t>Total Lease Liability</t>
  </si>
  <si>
    <t xml:space="preserve">    Total Lease Liability - Due in year 1</t>
  </si>
  <si>
    <t xml:space="preserve">    Total Lease Liability - Due in year 2</t>
  </si>
  <si>
    <t xml:space="preserve">    Total Lease Liability - Due in year 3</t>
  </si>
  <si>
    <t xml:space="preserve">    Total Lease Liability - Due in year 4</t>
  </si>
  <si>
    <t xml:space="preserve">    Total Lease Liability - Due in year 5</t>
  </si>
  <si>
    <t xml:space="preserve">    Total Lease Liability - Beyond</t>
  </si>
  <si>
    <t xml:space="preserve">    Total Lease Liability - Interest Charges and Other Adjustments</t>
  </si>
  <si>
    <t>Total Contractual Obligations</t>
  </si>
  <si>
    <t xml:space="preserve">    Total Contractual Obligations due in year 1</t>
  </si>
  <si>
    <t xml:space="preserve">    Total Contractual Obligations due in year 2</t>
  </si>
  <si>
    <t xml:space="preserve">    Total Contractual Obligations due in year 3</t>
  </si>
  <si>
    <t xml:space="preserve">    Total Contractual Obligations due in year 4</t>
  </si>
  <si>
    <t xml:space="preserve">    Total Contractual Obligations due in year 5</t>
  </si>
  <si>
    <t xml:space="preserve">    Total Contractual Obligations due Beyond</t>
  </si>
  <si>
    <t xml:space="preserve">    Total Contractual Obligations - Interests Charges and Other Adjustments</t>
  </si>
  <si>
    <t>Other Contractual Obligations Maturity Schedule Total</t>
  </si>
  <si>
    <t xml:space="preserve">    Other Contractual Obligations due in Year 1</t>
  </si>
  <si>
    <t xml:space="preserve">    Other Contractual Obligations due in Year 3</t>
  </si>
  <si>
    <t xml:space="preserve">    Other Contractual Obligations due in Year 5</t>
  </si>
  <si>
    <t xml:space="preserve">    Other Contractual Obligations due Beyond</t>
  </si>
  <si>
    <t>ABLZF_income-statement_Annual_As_Originally_Reported</t>
  </si>
  <si>
    <t>Gross Profit</t>
  </si>
  <si>
    <t xml:space="preserve">    Total Revenue</t>
  </si>
  <si>
    <t xml:space="preserve">        Business Revenue</t>
  </si>
  <si>
    <t xml:space="preserve">    Cost of Revenue</t>
  </si>
  <si>
    <t xml:space="preserve">        Cost of Goods and Services</t>
  </si>
  <si>
    <t>Operating Income/Expenses</t>
  </si>
  <si>
    <t xml:space="preserve">    Selling, General and Administrative Expenses</t>
  </si>
  <si>
    <t xml:space="preserve">        General and Administrative Expenses</t>
  </si>
  <si>
    <t xml:space="preserve">        Selling and Marketing Expenses</t>
  </si>
  <si>
    <t xml:space="preserve">    Research and Development Expenses</t>
  </si>
  <si>
    <t>Total Operating Profit/Loss</t>
  </si>
  <si>
    <t>Non-Operating Income/Expense, Total</t>
  </si>
  <si>
    <t xml:space="preserve">    Total Net Finance Income/Expense</t>
  </si>
  <si>
    <t xml:space="preserve">        Net Interest Income/Expense</t>
  </si>
  <si>
    <t xml:space="preserve">            Interest Expense Net of Capitalized Interest</t>
  </si>
  <si>
    <t xml:space="preserve">            Interest Income</t>
  </si>
  <si>
    <t xml:space="preserve">    Net Investment Income</t>
  </si>
  <si>
    <t xml:space="preserve">        Fair Value or Unrealized Gain/Loss on Financial Assets</t>
  </si>
  <si>
    <t xml:space="preserve">        Income from Associates, JointVentures and Other Participating Interests</t>
  </si>
  <si>
    <t xml:space="preserve">    Irregular Income/Expense</t>
  </si>
  <si>
    <t xml:space="preserve">        Disposal of Businesses</t>
  </si>
  <si>
    <t xml:space="preserve">        Fixed Asset Disposals</t>
  </si>
  <si>
    <t xml:space="preserve">        Impairment/Write Off/Write Down of Capital Assets</t>
  </si>
  <si>
    <t xml:space="preserve">        Restructuring and Reorganization Income/Expense</t>
  </si>
  <si>
    <t xml:space="preserve">        Other Irregular Income/Expense</t>
  </si>
  <si>
    <t xml:space="preserve">        Goodwill Impairment/Write Off</t>
  </si>
  <si>
    <t xml:space="preserve">        Gain/Loss on Extinguishment of Debt</t>
  </si>
  <si>
    <t xml:space="preserve">        Merger and Acquisition Income/Expense</t>
  </si>
  <si>
    <t xml:space="preserve">    Other Income/Expense, Non-Operating</t>
  </si>
  <si>
    <t>Pretax Income</t>
  </si>
  <si>
    <t>Provision for Income Tax</t>
  </si>
  <si>
    <t>Net Income before Extraordinary Items and Discontinued Operations</t>
  </si>
  <si>
    <t>Discontinued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</si>
  <si>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</si>
  <si>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</si>
  <si>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</si>
  <si>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</si>
  <si>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</si>
  <si>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Income Statement Supplemental Section</t>
  </si>
  <si>
    <t xml:space="preserve">    Reported Normalized and Operating Income/Expense Supplemental Section</t>
  </si>
  <si>
    <t xml:space="preserve">        Total Revenue as Reported, Supplemental</t>
  </si>
  <si>
    <t xml:space="preserve">        Reported Total Operating Profit/Loss</t>
  </si>
  <si>
    <t xml:space="preserve">        Reported Normalized Income</t>
  </si>
  <si>
    <t xml:space="preserve">        Reported Effective Tax Rate</t>
  </si>
  <si>
    <t xml:space="preserve">        Reported Normalized Operating Profit</t>
  </si>
  <si>
    <t>Basic EPS</t>
  </si>
  <si>
    <t xml:space="preserve">    Basic EPS from Continuing Operations</t>
  </si>
  <si>
    <t xml:space="preserve">    Basic EPS from Discontinued Operations</t>
  </si>
  <si>
    <t>Diluted EPS</t>
  </si>
  <si>
    <t xml:space="preserve">    Diluted EPS from Continuing Operations</t>
  </si>
  <si>
    <t xml:space="preserve">    Diluted EPS from Discontinued Operations</t>
  </si>
  <si>
    <t>Basic Weighted Average Shares Outstanding</t>
  </si>
  <si>
    <t>Diluted Weighted Average Shares Outstanding</t>
  </si>
  <si>
    <t>Total Dividend Per Share</t>
  </si>
  <si>
    <t xml:space="preserve">    Regular Dividend Per Share Calc</t>
  </si>
  <si>
    <t>Reported Normalized Basic EPS</t>
  </si>
  <si>
    <t>Basic WASO</t>
  </si>
  <si>
    <t>Diluted WASO</t>
  </si>
  <si>
    <t>FCFF to FCFE</t>
  </si>
  <si>
    <t>FY2017</t>
  </si>
  <si>
    <t>Inputs</t>
  </si>
  <si>
    <t>Debt Ratio</t>
  </si>
  <si>
    <t>Cost of equity</t>
  </si>
  <si>
    <t>Pre-tax cost of debt</t>
  </si>
  <si>
    <t>After-tax cost of debt</t>
  </si>
  <si>
    <t>Static Capital Structure Assumption</t>
  </si>
  <si>
    <t>End-of-year value of the firm</t>
  </si>
  <si>
    <t>End-of-year debt</t>
  </si>
  <si>
    <t>Free Cash Flow to the Firm</t>
  </si>
  <si>
    <t>EBIT</t>
  </si>
  <si>
    <t>Tax Rate, %</t>
  </si>
  <si>
    <t>EBIT x (1 - Tax Rate)</t>
  </si>
  <si>
    <t>Add: Depreciation &amp; amortization</t>
  </si>
  <si>
    <t>Less: Change in WC</t>
  </si>
  <si>
    <t>Less: CAPEX (ex. Acquisitions + Divestitures)</t>
  </si>
  <si>
    <t>FCFF</t>
  </si>
  <si>
    <t>Terminal value</t>
  </si>
  <si>
    <t>Free Cash Flow to Equity</t>
  </si>
  <si>
    <t>Add: New Debt Issued</t>
  </si>
  <si>
    <t>FCFE</t>
  </si>
  <si>
    <t>Cash</t>
  </si>
  <si>
    <t>Equity Value</t>
  </si>
  <si>
    <t>Cost of Equity Calculator</t>
  </si>
  <si>
    <t>Risk Free Rate</t>
  </si>
  <si>
    <t>Beta</t>
  </si>
  <si>
    <t>ERP</t>
  </si>
  <si>
    <t>Cost of Equity</t>
  </si>
  <si>
    <t>WACC Calculator</t>
  </si>
  <si>
    <t>WACC Calculation</t>
  </si>
  <si>
    <t>Comparable Companies Unlevered Beta</t>
  </si>
  <si>
    <t xml:space="preserve">Capital Structure </t>
  </si>
  <si>
    <t>Company</t>
  </si>
  <si>
    <t>Levered Beta</t>
  </si>
  <si>
    <t>Debt</t>
  </si>
  <si>
    <t>Equity</t>
  </si>
  <si>
    <t>Debt/Equity</t>
  </si>
  <si>
    <t>Tax Rate</t>
  </si>
  <si>
    <t>Unlevered Beta</t>
  </si>
  <si>
    <t>Debt to Total Capitalization</t>
  </si>
  <si>
    <t>Equity to Total Capitalization</t>
  </si>
  <si>
    <t>Debt / Equity</t>
  </si>
  <si>
    <t>Cost of Equity Calculation</t>
  </si>
  <si>
    <t>Median</t>
  </si>
  <si>
    <t>Equity Risk Premium</t>
  </si>
  <si>
    <t>Cost of Debt Calculation</t>
  </si>
  <si>
    <t>Cost of Debt</t>
  </si>
  <si>
    <t>After-Tax Cost of Debt</t>
  </si>
  <si>
    <t>WACC</t>
  </si>
  <si>
    <t>DCF Model</t>
  </si>
  <si>
    <t>Assumptions</t>
  </si>
  <si>
    <t>Discount Rate</t>
  </si>
  <si>
    <t>Perpetural Growth Rate</t>
  </si>
  <si>
    <t>EV/EBITDA Mulltiple</t>
  </si>
  <si>
    <t>Transaction Date</t>
  </si>
  <si>
    <t>Fiscal Year End</t>
  </si>
  <si>
    <t>Current Price</t>
  </si>
  <si>
    <t>Shares Outstanding</t>
  </si>
  <si>
    <t>Capex</t>
  </si>
  <si>
    <t>Discounted Cash Flow</t>
  </si>
  <si>
    <t>Entry</t>
  </si>
  <si>
    <t>Exit</t>
  </si>
  <si>
    <t>Terminal Value</t>
  </si>
  <si>
    <t>Date</t>
  </si>
  <si>
    <t>Time Periods</t>
  </si>
  <si>
    <t>Year Fraction</t>
  </si>
  <si>
    <t>Less: Cash Taxes</t>
  </si>
  <si>
    <t>Plus: D&amp;A</t>
  </si>
  <si>
    <t>Less: Capex</t>
  </si>
  <si>
    <t>Less: Changes in NWC</t>
  </si>
  <si>
    <t>Unlevered FCF</t>
  </si>
  <si>
    <t>(Entry)/Exit</t>
  </si>
  <si>
    <t>Transaction CF</t>
  </si>
  <si>
    <t>Intrinsic Value</t>
  </si>
  <si>
    <t>Market Value</t>
  </si>
  <si>
    <t>Rate of Return</t>
  </si>
  <si>
    <t>Enterprise Value</t>
  </si>
  <si>
    <t>Market Cap</t>
  </si>
  <si>
    <t>Target Price Upside</t>
  </si>
  <si>
    <t>Plus: Cash</t>
  </si>
  <si>
    <t>Plus: Debt</t>
  </si>
  <si>
    <t>Internal Rate of Return (IRR)</t>
  </si>
  <si>
    <t>Less: Debt</t>
  </si>
  <si>
    <t>Less: Cash</t>
  </si>
  <si>
    <t>Market Value vs Intrinsic Value</t>
  </si>
  <si>
    <t>Equity Value/Share</t>
  </si>
  <si>
    <t>Upside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</si>
  <si>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</si>
  <si>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</si>
  <si>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</si>
  <si>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</si>
  <si>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</si>
  <si>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</si>
  <si>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</si>
  <si>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</si>
  <si>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</si>
  <si>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</si>
  <si>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</si>
  <si>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</si>
  <si>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</si>
  <si>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</si>
  <si>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</si>
  <si>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</si>
  <si>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</si>
  <si>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</si>
  <si>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</si>
  <si>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</si>
  <si>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</si>
  <si>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</si>
  <si>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</si>
  <si>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</si>
  <si>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</si>
  <si>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</si>
  <si>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</si>
  <si>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</si>
  <si>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</si>
  <si>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</si>
  <si>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</si>
  <si>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</si>
  <si>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</si>
  <si>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</si>
  <si>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</si>
  <si>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</si>
  <si>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</si>
  <si>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</si>
  <si>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</si>
  <si>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</si>
  <si>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</si>
  <si>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</si>
  <si>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</si>
  <si>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</si>
  <si>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</si>
  <si>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</si>
  <si>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</si>
  <si>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</si>
  <si>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</si>
  <si>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</si>
  <si>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</si>
  <si>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</si>
  <si>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</si>
  <si>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</si>
  <si>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</si>
  <si>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</si>
  <si>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</si>
  <si>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</si>
  <si>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</si>
  <si>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</si>
  <si>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</si>
  <si>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</si>
  <si>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</si>
  <si>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</si>
  <si>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</si>
  <si>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</si>
  <si>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</si>
  <si>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</si>
  <si>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</si>
  <si>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</si>
  <si>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</si>
  <si>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</si>
  <si>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</si>
  <si>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</si>
  <si>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</si>
  <si>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</si>
  <si>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</si>
  <si>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</si>
  <si>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</si>
  <si>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</si>
  <si>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</si>
  <si>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</si>
  <si>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</si>
  <si>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</si>
  <si>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</si>
  <si>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</si>
  <si>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</si>
  <si>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</si>
  <si>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</si>
  <si>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</si>
  <si>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</si>
  <si>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</si>
  <si>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</si>
  <si>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</si>
  <si>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</si>
  <si>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</si>
  <si>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</si>
  <si>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</si>
  <si>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</si>
  <si>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</si>
  <si>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</si>
  <si>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</si>
  <si>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</si>
  <si>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</si>
  <si>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</si>
  <si>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</si>
  <si>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</si>
  <si>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</si>
  <si>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</si>
  <si>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</si>
  <si>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</si>
  <si>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</si>
  <si>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</si>
  <si>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</si>
  <si>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</si>
  <si>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</si>
  <si>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</si>
  <si>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</si>
  <si>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</si>
  <si>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</si>
  <si>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</si>
  <si>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</si>
  <si>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</si>
  <si>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</si>
  <si>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</si>
  <si>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</si>
  <si>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</si>
  <si>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</si>
  <si>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</si>
  <si>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</si>
  <si>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</si>
  <si>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</si>
  <si>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</si>
  <si>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</si>
  <si>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</si>
  <si>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</si>
  <si>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</si>
  <si>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</si>
  <si>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</si>
  <si>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</si>
  <si>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</si>
  <si>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</si>
  <si>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</si>
  <si>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</si>
  <si>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</si>
  <si>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</si>
  <si>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</si>
  <si>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</si>
  <si>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</si>
  <si>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</si>
  <si>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</si>
  <si>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</si>
  <si>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</si>
  <si>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</si>
  <si>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</si>
  <si>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</si>
  <si>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</si>
  <si>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</si>
  <si>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</si>
  <si>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</si>
  <si>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</si>
  <si>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</si>
  <si>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</si>
  <si>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</si>
  <si>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</si>
  <si>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</si>
  <si>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</si>
  <si>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</si>
  <si>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</si>
  <si>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</si>
  <si>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</si>
  <si>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</si>
  <si>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</si>
  <si>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</si>
  <si>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</si>
  <si>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</si>
  <si>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</si>
  <si>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</si>
  <si>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</si>
  <si>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</si>
  <si>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</si>
  <si>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</si>
  <si>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</si>
  <si>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</si>
  <si>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</si>
  <si>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</si>
  <si>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</si>
  <si>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</si>
  <si>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</si>
  <si>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</si>
  <si>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</si>
  <si>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</si>
  <si>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</si>
  <si>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</si>
  <si>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</si>
  <si>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</si>
  <si>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</si>
  <si>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</si>
  <si>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</si>
  <si>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</si>
  <si>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</si>
  <si>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</si>
  <si>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</si>
  <si>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</si>
  <si>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</si>
  <si>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</si>
  <si>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</si>
  <si>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</si>
  <si>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</si>
  <si>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</si>
  <si>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</si>
  <si>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</si>
  <si>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</si>
  <si>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</si>
  <si>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</si>
  <si>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</si>
  <si>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</si>
  <si>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</si>
  <si>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</si>
  <si>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</si>
  <si>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</si>
  <si>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</si>
  <si>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</si>
  <si>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</si>
  <si>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</si>
  <si>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</si>
  <si>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</si>
  <si>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</si>
  <si>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</si>
  <si>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</si>
  <si>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</si>
  <si>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</si>
  <si>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</si>
  <si>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</si>
  <si>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</si>
  <si>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</si>
  <si>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</si>
  <si>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</si>
  <si>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</si>
  <si>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</si>
  <si>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</si>
  <si>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</si>
  <si>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</si>
  <si>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</si>
  <si>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</si>
  <si>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</si>
  <si>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</si>
  <si>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</si>
  <si>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</si>
  <si>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Cost of Capital</t>
  </si>
  <si>
    <t>ABB Ltd.</t>
  </si>
  <si>
    <t>Terminal Growth rate</t>
  </si>
  <si>
    <t>Revenue Growth rate</t>
  </si>
  <si>
    <t>Input Data</t>
  </si>
  <si>
    <t>Current Stock Dividend (D0)</t>
  </si>
  <si>
    <t>Required Rate of Return on the Stock ( r )</t>
  </si>
  <si>
    <t>Constant Dividend Growth Rate (g)</t>
  </si>
  <si>
    <t>Output</t>
  </si>
  <si>
    <t>Stock Value</t>
  </si>
  <si>
    <t>Current Dividen Yield</t>
  </si>
  <si>
    <t>Previous Yield</t>
  </si>
  <si>
    <t>ABB Ltd. USA</t>
  </si>
  <si>
    <t>Net Present Value</t>
  </si>
  <si>
    <t>Interest Expense x (1 - Tax Rate)</t>
  </si>
  <si>
    <t xml:space="preserve">  Terminal value</t>
  </si>
  <si>
    <t xml:space="preserve">  Net Present Value</t>
  </si>
  <si>
    <t>Eaton Corporation</t>
  </si>
  <si>
    <t>Schneider Electric</t>
  </si>
  <si>
    <t>Siemens</t>
  </si>
  <si>
    <t>Emerson</t>
  </si>
  <si>
    <t>GE</t>
  </si>
  <si>
    <t>Debt (in B$)</t>
  </si>
  <si>
    <t>Total Capital</t>
  </si>
  <si>
    <t>Total Debt</t>
  </si>
  <si>
    <t>Total debt</t>
  </si>
  <si>
    <t>References for Assumptions</t>
  </si>
  <si>
    <t>Based on dividend yields</t>
  </si>
  <si>
    <t>Based on Yahoo Finance stock Price</t>
  </si>
  <si>
    <t>References for Inputs</t>
  </si>
  <si>
    <t>ABB Ltd Annual Reports</t>
  </si>
  <si>
    <t>ABB Ltd Infront Analytics</t>
  </si>
  <si>
    <t>(References)</t>
  </si>
  <si>
    <t>Company name</t>
  </si>
  <si>
    <t>Ticker</t>
  </si>
  <si>
    <t>Stock Exchange</t>
  </si>
  <si>
    <t>Headquater</t>
  </si>
  <si>
    <t>Share price as of last close</t>
  </si>
  <si>
    <t>Latest closing share price date</t>
  </si>
  <si>
    <t>Latest fiscal year end date</t>
  </si>
  <si>
    <t>BUSINESS SUMMARY</t>
  </si>
  <si>
    <t>PREPARED BY</t>
  </si>
  <si>
    <t>DATE</t>
  </si>
  <si>
    <t>EMAIL ID</t>
  </si>
  <si>
    <t>ABBNY</t>
  </si>
  <si>
    <t>SWITZERLAND</t>
  </si>
  <si>
    <t>U.S.: OTC</t>
  </si>
  <si>
    <t>$ 56.99</t>
  </si>
  <si>
    <t xml:space="preserve">FINANCIAL MODEL OF ABB LTD.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</si>
</sst>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#.##"/>
    <numFmt numFmtId="165" formatCode="_-* #,##0_-;\-* #,##0_-;_-* &quot;-&quot;??_-;_-@_-"/>
    <numFmt numFmtId="166" formatCode="0.0%"/>
    <numFmt numFmtId="167" formatCode="_(* #,##0.0_);_(* \(#,##0.0\);_(* &quot;-&quot;??_);_(@_)"/>
    <numFmt numFmtId="168" formatCode="_(* #,##0_);_(* \(#,##0\);_(* &quot;-&quot;??_);_(@_)"/>
    <numFmt numFmtId="169" formatCode="_-* #,##0_-;\(#,##0\)_-;_-* &quot;-&quot;_-;_-@_-"/>
    <numFmt numFmtId="170" formatCode="_ * #,##0_ ;_ * \-#,##0_ ;_ * &quot;-&quot;??_ ;_ @_ "/>
    <numFmt numFmtId="171" formatCode="_(#,##0.00%_);\(#,##0.00%\);_(&quot;–&quot;_);_(@_)"/>
    <numFmt numFmtId="172" formatCode="_(#,##0.00_);\(#,##0.00\);_(&quot;–&quot;_);_(@_)"/>
    <numFmt numFmtId="173" formatCode="_(#,##0_);\(#,##0\);_(&quot;–&quot;_);_(@_)"/>
    <numFmt numFmtId="174" formatCode="0.0\x"/>
    <numFmt numFmtId="175" formatCode="_-* #,##0.00_-;\(#,##0.00\)_-;_-* &quot;-&quot;_-;_-@_-"/>
    <numFmt numFmtId="176" formatCode="&quot;$&quot;#,##0.00_);\(&quot;$&quot;#,##0.00\)"/>
    <numFmt numFmtId="177" formatCode="&quot;$&quot;#,##0.00_);[Red]\(&quot;$&quot;#,##0.00\)"/>
    <numFmt numFmtId="178" formatCode="[$₹-4009]\ #,##0.0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Open Sans"/>
      <family val="2"/>
    </font>
    <font>
      <sz val="10"/>
      <name val="Open Sans"/>
      <family val="2"/>
    </font>
    <font>
      <i/>
      <sz val="1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/>
      <name val="Arial Narrow"/>
      <family val="2"/>
    </font>
    <font>
      <sz val="11"/>
      <color theme="0"/>
      <name val="Arial Narrow"/>
      <family val="2"/>
    </font>
    <font>
      <sz val="11"/>
      <color theme="3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i/>
      <sz val="8"/>
      <color theme="1"/>
      <name val="Arial Narrow"/>
      <family val="2"/>
    </font>
    <font>
      <i/>
      <sz val="8"/>
      <color rgb="FF0000FF"/>
      <name val="Arial Narrow"/>
      <family val="2"/>
    </font>
    <font>
      <sz val="8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FF"/>
      <name val="Arial Narrow"/>
      <family val="2"/>
    </font>
    <font>
      <sz val="10"/>
      <color rgb="FF009900"/>
      <name val="Arial Narrow"/>
      <family val="2"/>
    </font>
    <font>
      <b/>
      <sz val="11"/>
      <color theme="1"/>
      <name val="Arial Narrow"/>
      <family val="2"/>
    </font>
    <font>
      <sz val="11"/>
      <color rgb="FF009900"/>
      <name val="Arial Narrow"/>
      <family val="2"/>
    </font>
    <font>
      <b/>
      <sz val="8"/>
      <color theme="1"/>
      <name val="Arial Narrow"/>
      <family val="2"/>
    </font>
    <font>
      <sz val="11"/>
      <color rgb="FF0000FD"/>
      <name val="Arial Narrow"/>
      <family val="2"/>
    </font>
    <font>
      <sz val="8"/>
      <color theme="0"/>
      <name val="Open Sans"/>
      <family val="2"/>
    </font>
    <font>
      <b/>
      <sz val="10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rgb="FF0070C0"/>
      <name val="Calibri"/>
      <family val="2"/>
      <scheme val="minor"/>
    </font>
    <font>
      <b/>
      <sz val="11"/>
      <color theme="0"/>
      <name val="Open Sans"/>
      <family val="2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sz val="10"/>
      <color theme="3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3271D2"/>
      <name val="Open Sans"/>
      <family val="2"/>
    </font>
    <font>
      <sz val="12"/>
      <color theme="1"/>
      <name val="Arial Narrow"/>
      <family val="2"/>
    </font>
    <font>
      <sz val="10"/>
      <color rgb="FF0000FF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b/>
      <sz val="12"/>
      <color rgb="FFFF0000"/>
      <name val="Arial Narrow"/>
      <family val="2"/>
    </font>
    <font>
      <sz val="11"/>
      <color rgb="FF00B050"/>
      <name val="Arial Narrow"/>
      <family val="2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1"/>
      <name val="Open Sans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262626"/>
      <name val="Arial"/>
      <family val="2"/>
    </font>
    <font>
      <sz val="11"/>
      <color rgb="FF262626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thin">
        <color rgb="FF3271D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/>
    <xf numFmtId="43" fontId="3" fillId="0" borderId="0" applyNumberFormat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/>
    <xf numFmtId="0" fontId="10" fillId="0" borderId="0"/>
    <xf numFmtId="9" fontId="3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50" fillId="8" borderId="0" applyNumberFormat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" fillId="0" borderId="0"/>
  </cellStyleXfs>
  <cellXfs count="227"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/>
    </xf>
    <xf numFmtId="37" fontId="14" fillId="2" borderId="0" xfId="0" applyNumberFormat="1" applyFont="1" applyFill="1" applyAlignment="1">
      <alignment vertical="top"/>
    </xf>
    <xf numFmtId="37" fontId="15" fillId="2" borderId="0" xfId="0" applyNumberFormat="1" applyFont="1" applyFill="1" applyAlignment="1">
      <alignment vertical="top"/>
    </xf>
    <xf numFmtId="165" fontId="16" fillId="2" borderId="0" xfId="1" applyNumberFormat="1" applyFont="1" applyFill="1" applyAlignment="1">
      <alignment vertical="top"/>
    </xf>
    <xf numFmtId="37" fontId="17" fillId="2" borderId="0" xfId="0" applyNumberFormat="1" applyFont="1" applyFill="1" applyAlignment="1">
      <alignment horizontal="left" vertical="top"/>
    </xf>
    <xf numFmtId="0" fontId="18" fillId="2" borderId="0" xfId="0" applyFont="1" applyFill="1" applyAlignment="1">
      <alignment horizontal="center" vertical="top"/>
    </xf>
    <xf numFmtId="0" fontId="19" fillId="0" borderId="0" xfId="0" applyFont="1"/>
    <xf numFmtId="9" fontId="20" fillId="0" borderId="0" xfId="0" applyNumberFormat="1" applyFont="1" applyAlignment="1">
      <alignment horizontal="center"/>
    </xf>
    <xf numFmtId="37" fontId="21" fillId="0" borderId="0" xfId="0" applyNumberFormat="1" applyFont="1"/>
    <xf numFmtId="37" fontId="18" fillId="3" borderId="0" xfId="0" applyNumberFormat="1" applyFont="1" applyFill="1" applyAlignment="1">
      <alignment vertical="center"/>
    </xf>
    <xf numFmtId="37" fontId="22" fillId="3" borderId="0" xfId="0" applyNumberFormat="1" applyFont="1" applyFill="1" applyAlignment="1">
      <alignment vertical="center"/>
    </xf>
    <xf numFmtId="0" fontId="5" fillId="0" borderId="0" xfId="0" applyFont="1" applyAlignment="1">
      <alignment horizontal="left" indent="1"/>
    </xf>
    <xf numFmtId="166" fontId="23" fillId="0" borderId="0" xfId="7" applyNumberFormat="1" applyFont="1"/>
    <xf numFmtId="167" fontId="24" fillId="0" borderId="0" xfId="0" applyNumberFormat="1" applyFont="1"/>
    <xf numFmtId="0" fontId="11" fillId="0" borderId="0" xfId="0" applyFont="1"/>
    <xf numFmtId="167" fontId="5" fillId="0" borderId="0" xfId="0" applyNumberFormat="1" applyFont="1"/>
    <xf numFmtId="167" fontId="23" fillId="0" borderId="0" xfId="0" applyNumberFormat="1" applyFont="1"/>
    <xf numFmtId="0" fontId="6" fillId="0" borderId="1" xfId="0" applyFont="1" applyBorder="1" applyAlignment="1">
      <alignment horizontal="left"/>
    </xf>
    <xf numFmtId="0" fontId="25" fillId="0" borderId="1" xfId="0" applyFont="1" applyBorder="1"/>
    <xf numFmtId="167" fontId="6" fillId="0" borderId="1" xfId="0" applyNumberFormat="1" applyFont="1" applyBorder="1"/>
    <xf numFmtId="167" fontId="26" fillId="0" borderId="0" xfId="0" applyNumberFormat="1" applyFont="1"/>
    <xf numFmtId="0" fontId="25" fillId="0" borderId="0" xfId="0" applyFont="1"/>
    <xf numFmtId="168" fontId="15" fillId="0" borderId="0" xfId="0" applyNumberFormat="1" applyFont="1"/>
    <xf numFmtId="167" fontId="15" fillId="0" borderId="0" xfId="0" applyNumberFormat="1" applyFont="1"/>
    <xf numFmtId="167" fontId="6" fillId="0" borderId="0" xfId="0" applyNumberFormat="1" applyFont="1"/>
    <xf numFmtId="0" fontId="27" fillId="0" borderId="0" xfId="0" applyFont="1"/>
    <xf numFmtId="0" fontId="11" fillId="0" borderId="0" xfId="0" applyFont="1" applyAlignment="1">
      <alignment horizontal="left" indent="1"/>
    </xf>
    <xf numFmtId="167" fontId="28" fillId="0" borderId="0" xfId="0" applyNumberFormat="1" applyFont="1"/>
    <xf numFmtId="0" fontId="5" fillId="0" borderId="0" xfId="0" applyFont="1"/>
    <xf numFmtId="0" fontId="21" fillId="0" borderId="0" xfId="0" applyFont="1"/>
    <xf numFmtId="169" fontId="29" fillId="2" borderId="0" xfId="1" applyNumberFormat="1" applyFont="1" applyFill="1"/>
    <xf numFmtId="0" fontId="0" fillId="0" borderId="0" xfId="0"/>
    <xf numFmtId="0" fontId="30" fillId="2" borderId="0" xfId="0" applyFont="1" applyFill="1" applyAlignment="1">
      <alignment vertical="center"/>
    </xf>
    <xf numFmtId="169" fontId="31" fillId="2" borderId="0" xfId="1" applyNumberFormat="1" applyFont="1" applyFill="1"/>
    <xf numFmtId="169" fontId="31" fillId="2" borderId="0" xfId="1" applyNumberFormat="1" applyFont="1" applyFill="1" applyAlignment="1">
      <alignment horizontal="center"/>
    </xf>
    <xf numFmtId="10" fontId="32" fillId="0" borderId="0" xfId="8" applyNumberFormat="1" applyFont="1"/>
    <xf numFmtId="166" fontId="33" fillId="4" borderId="0" xfId="8" applyNumberFormat="1" applyFont="1" applyFill="1" applyBorder="1"/>
    <xf numFmtId="0" fontId="34" fillId="0" borderId="0" xfId="4" applyFont="1"/>
    <xf numFmtId="0" fontId="35" fillId="2" borderId="0" xfId="0" applyFont="1" applyFill="1"/>
    <xf numFmtId="0" fontId="32" fillId="0" borderId="0" xfId="0" applyFont="1"/>
    <xf numFmtId="0" fontId="33" fillId="0" borderId="0" xfId="0" applyFont="1" applyAlignment="1">
      <alignment horizontal="right"/>
    </xf>
    <xf numFmtId="0" fontId="33" fillId="4" borderId="0" xfId="0" applyFont="1" applyFill="1" applyBorder="1"/>
    <xf numFmtId="0" fontId="36" fillId="0" borderId="0" xfId="0" applyFont="1"/>
    <xf numFmtId="0" fontId="37" fillId="0" borderId="0" xfId="0" applyFont="1"/>
    <xf numFmtId="170" fontId="37" fillId="0" borderId="0" xfId="1" applyNumberFormat="1" applyFont="1"/>
    <xf numFmtId="0" fontId="38" fillId="0" borderId="0" xfId="0" applyFont="1"/>
    <xf numFmtId="0" fontId="39" fillId="5" borderId="0" xfId="5" applyFont="1" applyFill="1" applyAlignment="1">
      <alignment vertical="center"/>
    </xf>
    <xf numFmtId="0" fontId="16" fillId="6" borderId="0" xfId="0" applyFont="1" applyFill="1" applyAlignment="1">
      <alignment vertical="top"/>
    </xf>
    <xf numFmtId="0" fontId="40" fillId="0" borderId="0" xfId="0" applyFont="1" applyAlignment="1">
      <alignment vertical="top"/>
    </xf>
    <xf numFmtId="0" fontId="40" fillId="6" borderId="0" xfId="0" applyFont="1" applyFill="1" applyAlignment="1">
      <alignment vertical="top"/>
    </xf>
    <xf numFmtId="0" fontId="41" fillId="0" borderId="0" xfId="0" applyFont="1" applyFill="1" applyBorder="1" applyAlignment="1">
      <alignment horizontal="centerContinuous"/>
    </xf>
    <xf numFmtId="0" fontId="42" fillId="0" borderId="0" xfId="0" applyFont="1" applyFill="1" applyBorder="1" applyAlignment="1">
      <alignment horizontal="centerContinuous"/>
    </xf>
    <xf numFmtId="0" fontId="41" fillId="0" borderId="3" xfId="0" applyFont="1" applyFill="1" applyBorder="1"/>
    <xf numFmtId="0" fontId="41" fillId="0" borderId="3" xfId="0" applyFont="1" applyFill="1" applyBorder="1" applyAlignment="1">
      <alignment horizontal="right"/>
    </xf>
    <xf numFmtId="0" fontId="32" fillId="0" borderId="0" xfId="0" applyFont="1" applyAlignment="1">
      <alignment horizontal="left" vertical="top"/>
    </xf>
    <xf numFmtId="171" fontId="43" fillId="0" borderId="0" xfId="8" applyNumberFormat="1" applyFont="1" applyFill="1" applyAlignment="1">
      <alignment vertical="top"/>
    </xf>
    <xf numFmtId="0" fontId="32" fillId="0" borderId="0" xfId="0" applyFont="1" applyBorder="1" applyAlignment="1">
      <alignment vertical="top"/>
    </xf>
    <xf numFmtId="172" fontId="43" fillId="0" borderId="0" xfId="0" applyNumberFormat="1" applyFont="1" applyBorder="1" applyAlignment="1">
      <alignment horizontal="right" vertical="top"/>
    </xf>
    <xf numFmtId="173" fontId="43" fillId="0" borderId="0" xfId="1" applyNumberFormat="1" applyFont="1" applyFill="1" applyBorder="1" applyAlignment="1">
      <alignment horizontal="right" vertical="top"/>
    </xf>
    <xf numFmtId="171" fontId="8" fillId="0" borderId="0" xfId="8" applyNumberFormat="1" applyFont="1" applyFill="1" applyBorder="1" applyAlignment="1">
      <alignment horizontal="right" vertical="top"/>
    </xf>
    <xf numFmtId="171" fontId="43" fillId="0" borderId="0" xfId="0" applyNumberFormat="1" applyFont="1" applyBorder="1" applyAlignment="1">
      <alignment horizontal="right" vertical="top"/>
    </xf>
    <xf numFmtId="172" fontId="8" fillId="0" borderId="0" xfId="0" applyNumberFormat="1" applyFont="1" applyBorder="1" applyAlignment="1">
      <alignment horizontal="right" vertical="top"/>
    </xf>
    <xf numFmtId="0" fontId="32" fillId="0" borderId="2" xfId="0" applyFont="1" applyBorder="1" applyAlignment="1">
      <alignment horizontal="left" vertical="top"/>
    </xf>
    <xf numFmtId="0" fontId="32" fillId="0" borderId="0" xfId="0" applyFont="1" applyAlignment="1">
      <alignment vertical="top"/>
    </xf>
    <xf numFmtId="172" fontId="43" fillId="0" borderId="0" xfId="0" applyNumberFormat="1" applyFont="1" applyAlignment="1">
      <alignment horizontal="right" vertical="top"/>
    </xf>
    <xf numFmtId="173" fontId="43" fillId="0" borderId="0" xfId="1" applyNumberFormat="1" applyFont="1" applyFill="1" applyAlignment="1">
      <alignment horizontal="right" vertical="top"/>
    </xf>
    <xf numFmtId="171" fontId="8" fillId="0" borderId="0" xfId="8" applyNumberFormat="1" applyFont="1" applyFill="1" applyAlignment="1">
      <alignment horizontal="right" vertical="top"/>
    </xf>
    <xf numFmtId="171" fontId="43" fillId="0" borderId="0" xfId="0" applyNumberFormat="1" applyFont="1" applyAlignment="1">
      <alignment horizontal="right" vertical="top"/>
    </xf>
    <xf numFmtId="172" fontId="8" fillId="0" borderId="0" xfId="0" applyNumberFormat="1" applyFont="1" applyAlignment="1">
      <alignment horizontal="right" vertical="top"/>
    </xf>
    <xf numFmtId="0" fontId="33" fillId="0" borderId="1" xfId="0" applyFont="1" applyBorder="1" applyAlignment="1">
      <alignment horizontal="left" vertical="top"/>
    </xf>
    <xf numFmtId="171" fontId="7" fillId="0" borderId="1" xfId="8" applyNumberFormat="1" applyFont="1" applyFill="1" applyBorder="1" applyAlignment="1">
      <alignment vertical="top"/>
    </xf>
    <xf numFmtId="10" fontId="40" fillId="0" borderId="0" xfId="8" applyNumberFormat="1" applyFont="1" applyFill="1" applyAlignment="1">
      <alignment vertical="top"/>
    </xf>
    <xf numFmtId="0" fontId="33" fillId="0" borderId="4" xfId="0" applyFont="1" applyBorder="1" applyAlignment="1">
      <alignment horizontal="left" vertical="top"/>
    </xf>
    <xf numFmtId="10" fontId="40" fillId="0" borderId="4" xfId="8" applyNumberFormat="1" applyFont="1" applyFill="1" applyBorder="1" applyAlignment="1">
      <alignment vertical="top"/>
    </xf>
    <xf numFmtId="0" fontId="32" fillId="0" borderId="2" xfId="0" applyFont="1" applyBorder="1" applyAlignment="1">
      <alignment vertical="top"/>
    </xf>
    <xf numFmtId="172" fontId="43" fillId="0" borderId="2" xfId="0" applyNumberFormat="1" applyFont="1" applyBorder="1" applyAlignment="1">
      <alignment horizontal="right" vertical="top"/>
    </xf>
    <xf numFmtId="173" fontId="43" fillId="0" borderId="2" xfId="1" applyNumberFormat="1" applyFont="1" applyFill="1" applyBorder="1" applyAlignment="1">
      <alignment horizontal="right" vertical="top"/>
    </xf>
    <xf numFmtId="171" fontId="8" fillId="0" borderId="2" xfId="8" applyNumberFormat="1" applyFont="1" applyFill="1" applyBorder="1" applyAlignment="1">
      <alignment horizontal="right" vertical="top"/>
    </xf>
    <xf numFmtId="171" fontId="43" fillId="0" borderId="2" xfId="0" applyNumberFormat="1" applyFont="1" applyBorder="1" applyAlignment="1">
      <alignment horizontal="right" vertical="top"/>
    </xf>
    <xf numFmtId="172" fontId="8" fillId="0" borderId="2" xfId="0" applyNumberFormat="1" applyFont="1" applyBorder="1" applyAlignment="1">
      <alignment horizontal="right" vertical="top"/>
    </xf>
    <xf numFmtId="0" fontId="32" fillId="0" borderId="0" xfId="0" applyFont="1" applyBorder="1" applyAlignment="1">
      <alignment horizontal="left" vertical="top"/>
    </xf>
    <xf numFmtId="171" fontId="43" fillId="0" borderId="0" xfId="8" applyNumberFormat="1" applyFont="1" applyFill="1" applyBorder="1" applyAlignment="1">
      <alignment vertical="top"/>
    </xf>
    <xf numFmtId="0" fontId="33" fillId="0" borderId="0" xfId="0" applyFont="1" applyAlignment="1">
      <alignment vertical="top"/>
    </xf>
    <xf numFmtId="172" fontId="7" fillId="0" borderId="0" xfId="0" applyNumberFormat="1" applyFont="1" applyAlignment="1">
      <alignment vertical="top"/>
    </xf>
    <xf numFmtId="171" fontId="7" fillId="0" borderId="0" xfId="8" applyNumberFormat="1" applyFont="1" applyFill="1" applyAlignment="1">
      <alignment vertical="top"/>
    </xf>
    <xf numFmtId="172" fontId="8" fillId="0" borderId="0" xfId="0" applyNumberFormat="1" applyFont="1" applyAlignment="1">
      <alignment vertical="top"/>
    </xf>
    <xf numFmtId="0" fontId="7" fillId="7" borderId="5" xfId="0" applyFont="1" applyFill="1" applyBorder="1" applyAlignment="1">
      <alignment horizontal="left" vertical="top"/>
    </xf>
    <xf numFmtId="0" fontId="7" fillId="7" borderId="6" xfId="0" applyFont="1" applyFill="1" applyBorder="1" applyAlignment="1">
      <alignment horizontal="left" vertical="top"/>
    </xf>
    <xf numFmtId="171" fontId="7" fillId="7" borderId="7" xfId="8" applyNumberFormat="1" applyFont="1" applyFill="1" applyBorder="1" applyAlignment="1">
      <alignment vertical="top"/>
    </xf>
    <xf numFmtId="169" fontId="44" fillId="0" borderId="0" xfId="1" applyNumberFormat="1" applyFont="1"/>
    <xf numFmtId="169" fontId="32" fillId="0" borderId="0" xfId="1" applyNumberFormat="1" applyFont="1"/>
    <xf numFmtId="169" fontId="33" fillId="0" borderId="0" xfId="1" applyNumberFormat="1" applyFont="1"/>
    <xf numFmtId="169" fontId="32" fillId="0" borderId="0" xfId="1" applyNumberFormat="1" applyFont="1" applyAlignment="1">
      <alignment horizontal="center"/>
    </xf>
    <xf numFmtId="169" fontId="45" fillId="0" borderId="0" xfId="1" applyNumberFormat="1" applyFont="1"/>
    <xf numFmtId="169" fontId="7" fillId="4" borderId="0" xfId="1" applyNumberFormat="1" applyFont="1" applyFill="1" applyBorder="1"/>
    <xf numFmtId="169" fontId="45" fillId="4" borderId="0" xfId="1" applyNumberFormat="1" applyFont="1" applyFill="1" applyBorder="1"/>
    <xf numFmtId="169" fontId="8" fillId="0" borderId="0" xfId="1" applyNumberFormat="1" applyFont="1" applyBorder="1"/>
    <xf numFmtId="169" fontId="45" fillId="0" borderId="0" xfId="1" applyNumberFormat="1" applyFont="1" applyBorder="1"/>
    <xf numFmtId="169" fontId="8" fillId="0" borderId="0" xfId="1" applyNumberFormat="1" applyFont="1"/>
    <xf numFmtId="174" fontId="45" fillId="0" borderId="0" xfId="1" applyNumberFormat="1" applyFont="1" applyAlignment="1">
      <alignment horizontal="right"/>
    </xf>
    <xf numFmtId="14" fontId="45" fillId="0" borderId="0" xfId="1" applyNumberFormat="1" applyFont="1"/>
    <xf numFmtId="14" fontId="45" fillId="0" borderId="0" xfId="1" applyNumberFormat="1" applyFont="1" applyFill="1"/>
    <xf numFmtId="43" fontId="45" fillId="0" borderId="0" xfId="1" applyFont="1" applyAlignment="1">
      <alignment horizontal="right"/>
    </xf>
    <xf numFmtId="165" fontId="45" fillId="0" borderId="0" xfId="1" applyNumberFormat="1" applyFont="1" applyAlignment="1">
      <alignment horizontal="right"/>
    </xf>
    <xf numFmtId="169" fontId="33" fillId="4" borderId="0" xfId="1" applyNumberFormat="1" applyFont="1" applyFill="1" applyBorder="1"/>
    <xf numFmtId="169" fontId="32" fillId="4" borderId="0" xfId="1" applyNumberFormat="1" applyFont="1" applyFill="1" applyBorder="1"/>
    <xf numFmtId="169" fontId="33" fillId="4" borderId="0" xfId="1" applyNumberFormat="1" applyFont="1" applyFill="1" applyBorder="1" applyAlignment="1">
      <alignment horizontal="right"/>
    </xf>
    <xf numFmtId="0" fontId="33" fillId="4" borderId="0" xfId="1" applyNumberFormat="1" applyFont="1" applyFill="1" applyBorder="1"/>
    <xf numFmtId="169" fontId="32" fillId="0" borderId="0" xfId="1" applyNumberFormat="1" applyFont="1" applyBorder="1"/>
    <xf numFmtId="14" fontId="46" fillId="0" borderId="0" xfId="1" applyNumberFormat="1" applyFont="1" applyBorder="1"/>
    <xf numFmtId="14" fontId="46" fillId="0" borderId="0" xfId="1" applyNumberFormat="1" applyFont="1" applyFill="1" applyBorder="1"/>
    <xf numFmtId="14" fontId="9" fillId="0" borderId="0" xfId="1" applyNumberFormat="1" applyFont="1" applyBorder="1"/>
    <xf numFmtId="169" fontId="46" fillId="0" borderId="0" xfId="1" applyNumberFormat="1" applyFont="1" applyBorder="1"/>
    <xf numFmtId="1" fontId="47" fillId="0" borderId="0" xfId="1" applyNumberFormat="1" applyFont="1"/>
    <xf numFmtId="1" fontId="46" fillId="0" borderId="0" xfId="1" applyNumberFormat="1" applyFont="1"/>
    <xf numFmtId="168" fontId="32" fillId="0" borderId="0" xfId="1" applyNumberFormat="1" applyFont="1"/>
    <xf numFmtId="169" fontId="46" fillId="0" borderId="0" xfId="1" applyNumberFormat="1" applyFont="1"/>
    <xf numFmtId="43" fontId="46" fillId="0" borderId="0" xfId="1" applyFont="1" applyBorder="1"/>
    <xf numFmtId="169" fontId="32" fillId="0" borderId="1" xfId="1" applyNumberFormat="1" applyFont="1" applyBorder="1"/>
    <xf numFmtId="168" fontId="45" fillId="0" borderId="0" xfId="1" applyNumberFormat="1" applyFont="1"/>
    <xf numFmtId="169" fontId="32" fillId="0" borderId="0" xfId="1" applyNumberFormat="1" applyFont="1" applyFill="1"/>
    <xf numFmtId="9" fontId="32" fillId="0" borderId="0" xfId="7" applyFont="1" applyBorder="1"/>
    <xf numFmtId="175" fontId="32" fillId="0" borderId="0" xfId="1" applyNumberFormat="1" applyFont="1"/>
    <xf numFmtId="169" fontId="33" fillId="4" borderId="0" xfId="1" applyNumberFormat="1" applyFont="1" applyFill="1"/>
    <xf numFmtId="169" fontId="32" fillId="4" borderId="0" xfId="1" applyNumberFormat="1" applyFont="1" applyFill="1"/>
    <xf numFmtId="169" fontId="32" fillId="4" borderId="0" xfId="1" applyNumberFormat="1" applyFont="1" applyFill="1" applyAlignment="1">
      <alignment horizontal="center"/>
    </xf>
    <xf numFmtId="0" fontId="36" fillId="0" borderId="0" xfId="0" applyFont="1" applyAlignment="1">
      <alignment horizontal="right"/>
    </xf>
    <xf numFmtId="169" fontId="32" fillId="0" borderId="0" xfId="1" applyNumberFormat="1" applyFont="1" applyAlignment="1">
      <alignment horizontal="left" indent="5"/>
    </xf>
    <xf numFmtId="0" fontId="37" fillId="0" borderId="0" xfId="0" applyFont="1" applyAlignment="1">
      <alignment horizontal="right"/>
    </xf>
    <xf numFmtId="0" fontId="13" fillId="0" borderId="0" xfId="4" applyAlignment="1">
      <alignment horizontal="right"/>
    </xf>
    <xf numFmtId="169" fontId="44" fillId="0" borderId="0" xfId="1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10" fontId="23" fillId="0" borderId="0" xfId="7" applyNumberFormat="1" applyFont="1"/>
    <xf numFmtId="10" fontId="26" fillId="0" borderId="0" xfId="0" applyNumberFormat="1" applyFont="1"/>
    <xf numFmtId="37" fontId="48" fillId="2" borderId="0" xfId="0" applyNumberFormat="1" applyFont="1" applyFill="1" applyAlignment="1">
      <alignment horizontal="center" vertical="top"/>
    </xf>
    <xf numFmtId="0" fontId="49" fillId="0" borderId="0" xfId="0" applyFont="1"/>
    <xf numFmtId="166" fontId="49" fillId="0" borderId="0" xfId="7" applyNumberFormat="1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1" fillId="0" borderId="0" xfId="0" applyNumberFormat="1" applyFont="1" applyFill="1" applyBorder="1" applyAlignment="1"/>
    <xf numFmtId="0" fontId="52" fillId="8" borderId="1" xfId="9" applyFont="1" applyBorder="1"/>
    <xf numFmtId="0" fontId="52" fillId="8" borderId="0" xfId="9" applyFont="1"/>
    <xf numFmtId="3" fontId="52" fillId="8" borderId="0" xfId="9" applyNumberFormat="1" applyFont="1"/>
    <xf numFmtId="168" fontId="52" fillId="8" borderId="0" xfId="9" applyNumberFormat="1" applyFont="1"/>
    <xf numFmtId="0" fontId="52" fillId="8" borderId="1" xfId="9" applyFont="1" applyBorder="1" applyAlignment="1">
      <alignment horizontal="left"/>
    </xf>
    <xf numFmtId="0" fontId="52" fillId="8" borderId="0" xfId="9" applyFont="1" applyAlignment="1">
      <alignment horizontal="left" indent="1"/>
    </xf>
    <xf numFmtId="10" fontId="45" fillId="0" borderId="0" xfId="7" applyNumberFormat="1" applyFont="1" applyBorder="1" applyAlignment="1">
      <alignment horizontal="right"/>
    </xf>
    <xf numFmtId="10" fontId="45" fillId="0" borderId="0" xfId="7" applyNumberFormat="1" applyFont="1" applyAlignment="1">
      <alignment horizontal="right"/>
    </xf>
    <xf numFmtId="166" fontId="23" fillId="0" borderId="2" xfId="7" applyNumberFormat="1" applyFont="1" applyBorder="1"/>
    <xf numFmtId="167" fontId="6" fillId="0" borderId="0" xfId="0" applyNumberFormat="1" applyFont="1" applyBorder="1"/>
    <xf numFmtId="10" fontId="32" fillId="0" borderId="0" xfId="7" applyNumberFormat="1" applyFont="1"/>
    <xf numFmtId="168" fontId="53" fillId="0" borderId="0" xfId="1" applyNumberFormat="1" applyFont="1"/>
    <xf numFmtId="0" fontId="54" fillId="6" borderId="0" xfId="6" applyFont="1" applyFill="1" applyAlignment="1">
      <alignment horizontal="left" vertical="center"/>
    </xf>
    <xf numFmtId="0" fontId="55" fillId="6" borderId="0" xfId="5" applyFont="1" applyFill="1"/>
    <xf numFmtId="0" fontId="56" fillId="6" borderId="0" xfId="5" applyFont="1" applyFill="1" applyAlignment="1">
      <alignment horizontal="left" vertical="center"/>
    </xf>
    <xf numFmtId="0" fontId="56" fillId="6" borderId="0" xfId="5" applyFont="1" applyFill="1" applyAlignment="1">
      <alignment horizontal="left" vertical="center" wrapText="1"/>
    </xf>
    <xf numFmtId="49" fontId="57" fillId="6" borderId="8" xfId="5" applyNumberFormat="1" applyFont="1" applyFill="1" applyBorder="1" applyAlignment="1">
      <alignment wrapText="1"/>
    </xf>
    <xf numFmtId="49" fontId="57" fillId="6" borderId="8" xfId="5" applyNumberFormat="1" applyFont="1" applyFill="1" applyBorder="1" applyAlignment="1">
      <alignment horizontal="center" wrapText="1"/>
    </xf>
    <xf numFmtId="0" fontId="55" fillId="6" borderId="8" xfId="5" applyFont="1" applyFill="1" applyBorder="1"/>
    <xf numFmtId="176" fontId="55" fillId="6" borderId="8" xfId="5" applyNumberFormat="1" applyFont="1" applyFill="1" applyBorder="1"/>
    <xf numFmtId="49" fontId="57" fillId="6" borderId="0" xfId="5" applyNumberFormat="1" applyFont="1" applyFill="1" applyAlignment="1">
      <alignment wrapText="1"/>
    </xf>
    <xf numFmtId="177" fontId="57" fillId="6" borderId="0" xfId="5" applyNumberFormat="1" applyFont="1" applyFill="1" applyAlignment="1">
      <alignment horizontal="right" wrapText="1"/>
    </xf>
    <xf numFmtId="176" fontId="55" fillId="6" borderId="0" xfId="5" applyNumberFormat="1" applyFont="1" applyFill="1"/>
    <xf numFmtId="166" fontId="55" fillId="6" borderId="0" xfId="5" applyNumberFormat="1" applyFont="1" applyFill="1" applyAlignment="1">
      <alignment horizontal="right"/>
    </xf>
    <xf numFmtId="10" fontId="55" fillId="6" borderId="0" xfId="5" applyNumberFormat="1" applyFont="1" applyFill="1"/>
    <xf numFmtId="49" fontId="57" fillId="6" borderId="0" xfId="5" applyNumberFormat="1" applyFont="1" applyFill="1" applyAlignment="1">
      <alignment horizontal="center" wrapText="1"/>
    </xf>
    <xf numFmtId="177" fontId="58" fillId="9" borderId="9" xfId="10" applyNumberFormat="1" applyFont="1" applyFill="1" applyBorder="1"/>
    <xf numFmtId="0" fontId="6" fillId="0" borderId="0" xfId="0" applyFont="1" applyAlignment="1">
      <alignment horizontal="left" indent="1"/>
    </xf>
    <xf numFmtId="4" fontId="11" fillId="0" borderId="0" xfId="0" applyNumberFormat="1" applyFont="1"/>
    <xf numFmtId="10" fontId="7" fillId="0" borderId="1" xfId="7" applyNumberFormat="1" applyFont="1" applyFill="1" applyBorder="1" applyAlignment="1">
      <alignment vertical="top"/>
    </xf>
    <xf numFmtId="9" fontId="40" fillId="0" borderId="0" xfId="7" applyNumberFormat="1" applyFont="1" applyFill="1" applyAlignment="1">
      <alignment vertical="top"/>
    </xf>
    <xf numFmtId="3" fontId="53" fillId="10" borderId="0" xfId="0" applyNumberFormat="1" applyFont="1" applyFill="1"/>
    <xf numFmtId="169" fontId="12" fillId="0" borderId="0" xfId="11" applyNumberFormat="1"/>
    <xf numFmtId="0" fontId="11" fillId="11" borderId="0" xfId="0" applyFont="1" applyFill="1"/>
    <xf numFmtId="0" fontId="0" fillId="11" borderId="0" xfId="0" applyNumberFormat="1" applyFont="1" applyFill="1" applyBorder="1" applyAlignment="1"/>
    <xf numFmtId="0" fontId="12" fillId="0" borderId="0" xfId="11" applyAlignment="1">
      <alignment horizontal="left"/>
    </xf>
    <xf numFmtId="0" fontId="12" fillId="0" borderId="0" xfId="11"/>
    <xf numFmtId="0" fontId="53" fillId="10" borderId="0" xfId="0" applyFont="1" applyFill="1"/>
    <xf numFmtId="0" fontId="12" fillId="0" borderId="2" xfId="11" applyBorder="1" applyAlignment="1">
      <alignment horizontal="left" vertical="top"/>
    </xf>
    <xf numFmtId="0" fontId="32" fillId="12" borderId="0" xfId="0" applyFont="1" applyFill="1"/>
    <xf numFmtId="0" fontId="12" fillId="0" borderId="0" xfId="11" applyFill="1" applyBorder="1" applyAlignment="1">
      <alignment horizontal="centerContinuous"/>
    </xf>
    <xf numFmtId="0" fontId="41" fillId="0" borderId="4" xfId="0" applyFont="1" applyFill="1" applyBorder="1" applyAlignment="1">
      <alignment horizontal="left"/>
    </xf>
    <xf numFmtId="0" fontId="33" fillId="0" borderId="0" xfId="0" applyFont="1" applyBorder="1" applyAlignment="1">
      <alignment horizontal="left" vertical="top"/>
    </xf>
    <xf numFmtId="0" fontId="33" fillId="0" borderId="0" xfId="0" applyFont="1" applyAlignment="1">
      <alignment horizontal="left" vertical="top"/>
    </xf>
    <xf numFmtId="175" fontId="53" fillId="0" borderId="0" xfId="1" applyNumberFormat="1" applyFont="1"/>
    <xf numFmtId="169" fontId="53" fillId="0" borderId="0" xfId="1" applyNumberFormat="1" applyFont="1"/>
    <xf numFmtId="0" fontId="62" fillId="0" borderId="11" xfId="12" applyFont="1" applyBorder="1" applyAlignment="1">
      <alignment horizontal="left" indent="1"/>
    </xf>
    <xf numFmtId="0" fontId="62" fillId="0" borderId="12" xfId="12" applyFont="1" applyBorder="1" applyAlignment="1">
      <alignment horizontal="left" indent="1"/>
    </xf>
    <xf numFmtId="0" fontId="62" fillId="0" borderId="13" xfId="12" applyFont="1" applyBorder="1" applyAlignment="1">
      <alignment horizontal="left" indent="1"/>
    </xf>
    <xf numFmtId="0" fontId="63" fillId="0" borderId="14" xfId="12" applyFont="1" applyBorder="1" applyAlignment="1">
      <alignment horizontal="left" indent="1"/>
    </xf>
    <xf numFmtId="178" fontId="63" fillId="0" borderId="14" xfId="12" applyNumberFormat="1" applyFont="1" applyBorder="1" applyAlignment="1">
      <alignment horizontal="left" indent="1"/>
    </xf>
    <xf numFmtId="2" fontId="63" fillId="0" borderId="14" xfId="12" applyNumberFormat="1" applyFont="1" applyBorder="1" applyAlignment="1">
      <alignment horizontal="left" indent="1"/>
    </xf>
    <xf numFmtId="14" fontId="63" fillId="0" borderId="14" xfId="12" applyNumberFormat="1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64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left" vertical="center" wrapText="1"/>
    </xf>
    <xf numFmtId="0" fontId="65" fillId="0" borderId="0" xfId="0" applyFont="1" applyAlignment="1">
      <alignment horizontal="left" vertical="top" wrapText="1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0" fillId="6" borderId="0" xfId="0" applyFill="1"/>
    <xf numFmtId="0" fontId="0" fillId="6" borderId="0" xfId="0" applyFill="1"/>
    <xf numFmtId="9" fontId="0" fillId="0" borderId="0" xfId="7" applyFont="1"/>
    <xf numFmtId="0" fontId="59" fillId="0" borderId="0" xfId="0" applyFont="1" applyAlignment="1">
      <alignment horizontal="left" indent="1"/>
    </xf>
    <xf numFmtId="0" fontId="67" fillId="0" borderId="0" xfId="0" applyFont="1" applyAlignment="1">
      <alignment horizontal="left" indent="1"/>
    </xf>
    <xf numFmtId="0" fontId="0" fillId="0" borderId="0" xfId="0" applyAlignment="1">
      <alignment horizontal="left" wrapText="1" indent="1"/>
    </xf>
    <xf numFmtId="0" fontId="68" fillId="0" borderId="0" xfId="4" applyFont="1" applyAlignment="1">
      <alignment horizontal="left" indent="1"/>
    </xf>
    <xf numFmtId="0" fontId="69" fillId="0" borderId="0" xfId="0" applyFont="1" applyAlignment="1">
      <alignment horizontal="left" indent="1"/>
    </xf>
    <xf numFmtId="14" fontId="67" fillId="0" borderId="0" xfId="0" applyNumberFormat="1" applyFont="1" applyAlignment="1">
      <alignment horizontal="left" indent="1"/>
    </xf>
    <xf numFmtId="0" fontId="13" fillId="0" borderId="0" xfId="4" applyFill="1" applyAlignment="1">
      <alignment horizontal="left" indent="1"/>
    </xf>
    <xf numFmtId="0" fontId="69" fillId="0" borderId="0" xfId="0" applyFont="1" applyAlignment="1">
      <alignment horizontal="left" indent="6"/>
    </xf>
    <xf numFmtId="0" fontId="0" fillId="0" borderId="0" xfId="0" applyAlignment="1">
      <alignment horizontal="left" indent="6"/>
    </xf>
    <xf numFmtId="0" fontId="70" fillId="0" borderId="0" xfId="0" applyFont="1" applyAlignment="1">
      <alignment horizontal="left" indent="1"/>
    </xf>
    <xf numFmtId="0" fontId="68" fillId="0" borderId="0" xfId="4" applyFont="1" applyFill="1" applyBorder="1" applyAlignment="1">
      <alignment horizontal="left" indent="6"/>
    </xf>
    <xf numFmtId="0" fontId="68" fillId="0" borderId="0" xfId="4" applyFont="1" applyAlignment="1">
      <alignment horizontal="left" indent="6"/>
    </xf>
    <xf numFmtId="0" fontId="60" fillId="13" borderId="10" xfId="0" applyFont="1" applyFill="1" applyBorder="1" applyAlignment="1">
      <alignment horizontal="centerContinuous"/>
    </xf>
    <xf numFmtId="0" fontId="61" fillId="13" borderId="10" xfId="0" applyFont="1" applyFill="1" applyBorder="1" applyAlignment="1">
      <alignment horizontal="centerContinuous"/>
    </xf>
    <xf numFmtId="0" fontId="0" fillId="13" borderId="0" xfId="0" applyFill="1"/>
    <xf numFmtId="0" fontId="52" fillId="13" borderId="0" xfId="0" applyFont="1" applyFill="1" applyAlignment="1">
      <alignment horizontal="left" indent="1"/>
    </xf>
    <xf numFmtId="0" fontId="50" fillId="13" borderId="0" xfId="0" applyFont="1" applyFill="1"/>
  </cellXfs>
  <cellStyles count="13">
    <cellStyle name="Accent6" xfId="9" builtinId="49"/>
    <cellStyle name="Comma" xfId="1" builtinId="3"/>
    <cellStyle name="Comma 2" xfId="2" xr:uid="{00000000-0005-0000-0000-000001000000}"/>
    <cellStyle name="Hyperlink" xfId="11" builtinId="8"/>
    <cellStyle name="Hyperlink 2 2" xfId="3" xr:uid="{00000000-0005-0000-0000-000002000000}"/>
    <cellStyle name="Hyperlink 3" xfId="4" xr:uid="{00000000-0005-0000-0000-000003000000}"/>
    <cellStyle name="Normal" xfId="0" builtinId="0"/>
    <cellStyle name="Normal 10" xfId="10" xr:uid="{27FE949B-577D-4AAA-97DC-7D354B615C62}"/>
    <cellStyle name="Normal 2" xfId="5" xr:uid="{00000000-0005-0000-0000-000005000000}"/>
    <cellStyle name="Normal 2 2 2" xfId="6" xr:uid="{00000000-0005-0000-0000-000006000000}"/>
    <cellStyle name="Normal 7" xfId="12" xr:uid="{0D106F31-E726-4F8C-B97D-93D13A18137F}"/>
    <cellStyle name="Percent" xfId="7" builtinId="5"/>
    <cellStyle name="Percent 2" xfId="8" xr:uid="{00000000-0005-0000-0000-000008000000}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704849</xdr:colOff>
      <xdr:row>29</xdr:row>
      <xdr:rowOff>9525</xdr:rowOff>
    </xdr:from>
    <xdr:to>
      <xdr:col>8</xdr:col>
      <xdr:colOff>204923</xdr:colOff>
      <xdr:row>44</xdr:row>
      <xdr:rowOff>146700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A35CA8-BCAD-499C-A712-6E6A812139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82" t="5983" r="5022" b="4264"/>
        <a:stretch/>
      </xdr:blipFill>
      <xdr:spPr>
        <a:xfrm>
          <a:off x="5124449" y="6334125"/>
          <a:ext cx="1643199" cy="14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400049</xdr:colOff>
      <xdr:row>1</xdr:row>
      <xdr:rowOff>38101</xdr:rowOff>
    </xdr:from>
    <xdr:to>
      <xdr:col>3</xdr:col>
      <xdr:colOff>466725</xdr:colOff>
      <xdr:row>6</xdr:row>
      <xdr:rowOff>119381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9C9691-5A82-4457-B6B4-17DBCBA4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49" y="638176"/>
          <a:ext cx="2324101" cy="890905"/>
        </a:xfrm>
        <a:prstGeom prst="rect">
          <a:avLst/>
        </a:prstGeom>
      </xdr:spPr>
    </xdr:pic>
    <xdr:clientData/>
  </xdr:twoCellAnchor>
  <xdr:twoCellAnchor>
    <xdr:from>
      <xdr:col>4</xdr:col>
      <xdr:colOff>304799</xdr:colOff>
      <xdr:row>1</xdr:row>
      <xdr:rowOff>38101</xdr:rowOff>
    </xdr:from>
    <xdr:to>
      <xdr:col>15</xdr:col>
      <xdr:colOff>9524</xdr:colOff>
      <xdr:row>6</xdr:row>
      <xdr:rowOff>104776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CE51A3D-A21E-4CCE-A60B-442158C5A902}"/>
            </a:ext>
          </a:extLst>
        </xdr:cNvPr>
        <xdr:cNvSpPr txBox="1"/>
      </xdr:nvSpPr>
      <xdr:spPr>
        <a:xfrm>
          <a:off x="3171824" y="638176"/>
          <a:ext cx="8410575" cy="8763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Building on over 140 years of excellence, WITH</a:t>
          </a:r>
          <a:r>
            <a:rPr lang="en-IN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more than 105,000 employees,</a:t>
          </a:r>
          <a:r>
            <a:rPr lang="en-IN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ABB Ltd. is in business to </a:t>
          </a:r>
          <a:r>
            <a:rPr lang="en-IN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enable a more sustainable and resource-efficient future with technology leadership in electrification and automation.</a:t>
          </a:r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314326</xdr:colOff>
      <xdr:row>16</xdr:row>
      <xdr:rowOff>19051</xdr:rowOff>
    </xdr:from>
    <xdr:to>
      <xdr:col>2</xdr:col>
      <xdr:colOff>695325</xdr:colOff>
      <xdr:row>20</xdr:row>
      <xdr:rowOff>49791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F9815-F72C-4251-BB53-EEBE68330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0422" b="23720"/>
        <a:stretch/>
      </xdr:blipFill>
      <xdr:spPr>
        <a:xfrm>
          <a:off x="314326" y="3324226"/>
          <a:ext cx="1600199" cy="754640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16</xdr:row>
      <xdr:rowOff>19050</xdr:rowOff>
    </xdr:from>
    <xdr:to>
      <xdr:col>14</xdr:col>
      <xdr:colOff>247650</xdr:colOff>
      <xdr:row>20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83A6628-841D-48F5-87DE-21B90E26F897}"/>
            </a:ext>
          </a:extLst>
        </xdr:cNvPr>
        <xdr:cNvSpPr txBox="1"/>
      </xdr:nvSpPr>
      <xdr:spPr>
        <a:xfrm>
          <a:off x="2266950" y="3324225"/>
          <a:ext cx="91154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ABB Ltd. Is a global Fortune 500 company in the Electrification business offering products and services from substation to socket. Customers include a wide range of industry and utility operations, plus commercial and residential buildings. The business has strong exposure to a range of rapidly growing segments, including renewables, e-mobility, data centers and smart buildings.Net sales break down by family of products as follows:</a:t>
          </a:r>
        </a:p>
      </xdr:txBody>
    </xdr:sp>
    <xdr:clientData/>
  </xdr:twoCellAnchor>
  <xdr:twoCellAnchor editAs="oneCell">
    <xdr:from>
      <xdr:col>0</xdr:col>
      <xdr:colOff>0</xdr:colOff>
      <xdr:row>20</xdr:row>
      <xdr:rowOff>238125</xdr:rowOff>
    </xdr:from>
    <xdr:to>
      <xdr:col>8</xdr:col>
      <xdr:colOff>408703</xdr:colOff>
      <xdr:row>59</xdr:row>
      <xdr:rowOff>161264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13BAA9A-0082-48EC-BAB9-7FBCE49B8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67200"/>
          <a:ext cx="6971428" cy="5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81915</xdr:rowOff>
    </xdr:from>
    <xdr:to>
      <xdr:col>3</xdr:col>
      <xdr:colOff>630554</xdr:colOff>
      <xdr:row>10</xdr:row>
      <xdr:rowOff>81915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49192FD-CEDA-4D05-9D8E-53C789FDE054}"/>
            </a:ext>
          </a:extLst>
        </xdr:cNvPr>
        <xdr:cNvCxnSpPr/>
      </xdr:nvCxnSpPr>
      <xdr:spPr>
        <a:xfrm flipH="1">
          <a:off x="3535680" y="1663065"/>
          <a:ext cx="5238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10</xdr:row>
      <xdr:rowOff>74295</xdr:rowOff>
    </xdr:from>
    <xdr:to>
      <xdr:col>6</xdr:col>
      <xdr:colOff>603884</xdr:colOff>
      <xdr:row>10</xdr:row>
      <xdr:rowOff>74295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1481C3-CB84-40B3-8D0D-C2D69F86E174}"/>
            </a:ext>
          </a:extLst>
        </xdr:cNvPr>
        <xdr:cNvCxnSpPr/>
      </xdr:nvCxnSpPr>
      <xdr:spPr>
        <a:xfrm flipH="1">
          <a:off x="5455920" y="1655445"/>
          <a:ext cx="86296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605790</xdr:colOff>
      <xdr:row>8</xdr:row>
      <xdr:rowOff>102870</xdr:rowOff>
    </xdr:from>
    <xdr:to>
      <xdr:col>9</xdr:col>
      <xdr:colOff>458390</xdr:colOff>
      <xdr:row>11</xdr:row>
      <xdr:rowOff>112947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87FC1F79-E74D-471B-8DA6-9EAD91196F67}"/>
                </a:ext>
              </a:extLst>
            </xdr:cNvPr>
            <xdr:cNvSpPr txBox="1"/>
          </xdr:nvSpPr>
          <xdr:spPr>
            <a:xfrm>
              <a:off x="6320790" y="1369695"/>
              <a:ext cx="1814750" cy="47680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US" sz="1100"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87FC1F79-E74D-471B-8DA6-9EAD91196F67}"/>
                </a:ext>
              </a:extLst>
            </xdr:cNvPr>
            <xdr:cNvSpPr txBox="1"/>
          </xdr:nvSpPr>
          <xdr:spPr>
            <a:xfrm>
              <a:off x="6320790" y="1369695"/>
              <a:ext cx="1814750" cy="47680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𝑉_0=(𝐷_0 (1+𝑔))/(𝑟−𝑔)=𝐷_1/(𝑟−𝑔)</a:t>
              </a:r>
              <a:endParaRPr lang="en-US" sz="1100"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IV65536" totalsRowShown="0">
  <autoFilter ref="A1:IV65536" xr:uid="{00000000-0009-0000-0100-000007000000}"/>
  <tableColumns count="256">
    <tableColumn id="1" xr3:uid="{00000000-0010-0000-0000-000001000000}" name="ABLZF_cash-flow_Annual_As_Originally_Reported" dataDxfId="2"/>
    <tableColumn id="2" xr3:uid="{00000000-0010-0000-0000-000002000000}" name="2019"/>
    <tableColumn id="3" xr3:uid="{00000000-0010-0000-0000-000003000000}" name="2020"/>
    <tableColumn id="4" xr3:uid="{00000000-0010-0000-0000-000004000000}" name="2021"/>
    <tableColumn id="5" xr3:uid="{00000000-0010-0000-0000-000005000000}" name="2022"/>
    <tableColumn id="6" xr3:uid="{00000000-0010-0000-0000-000006000000}" name="2023"/>
    <tableColumn id="7" xr3:uid="{00000000-0010-0000-0000-000007000000}" name="TTM"/>
    <tableColumn id="8" xr3:uid="{00000000-0010-0000-0000-000008000000}" name="Column1"/>
    <tableColumn id="9" xr3:uid="{00000000-0010-0000-0000-000009000000}" name="Column2"/>
    <tableColumn id="10" xr3:uid="{00000000-0010-0000-0000-00000A000000}" name="Column3"/>
    <tableColumn id="11" xr3:uid="{00000000-0010-0000-0000-00000B000000}" name="Column4"/>
    <tableColumn id="12" xr3:uid="{00000000-0010-0000-0000-00000C000000}" name="Column5"/>
    <tableColumn id="13" xr3:uid="{00000000-0010-0000-0000-00000D000000}" name="Column6"/>
    <tableColumn id="14" xr3:uid="{00000000-0010-0000-0000-00000E000000}" name="Column7"/>
    <tableColumn id="15" xr3:uid="{00000000-0010-0000-0000-00000F000000}" name="Column8"/>
    <tableColumn id="16" xr3:uid="{00000000-0010-0000-0000-000010000000}" name="Column9"/>
    <tableColumn id="17" xr3:uid="{00000000-0010-0000-0000-000011000000}" name="Column10"/>
    <tableColumn id="18" xr3:uid="{00000000-0010-0000-0000-000012000000}" name="Column11"/>
    <tableColumn id="19" xr3:uid="{00000000-0010-0000-0000-000013000000}" name="Column12"/>
    <tableColumn id="20" xr3:uid="{00000000-0010-0000-0000-000014000000}" name="Column13"/>
    <tableColumn id="21" xr3:uid="{00000000-0010-0000-0000-000015000000}" name="Column14"/>
    <tableColumn id="22" xr3:uid="{00000000-0010-0000-0000-000016000000}" name="Column15"/>
    <tableColumn id="23" xr3:uid="{00000000-0010-0000-0000-000017000000}" name="Column16"/>
    <tableColumn id="24" xr3:uid="{00000000-0010-0000-0000-000018000000}" name="Column17"/>
    <tableColumn id="25" xr3:uid="{00000000-0010-0000-0000-000019000000}" name="Column18"/>
    <tableColumn id="26" xr3:uid="{00000000-0010-0000-0000-00001A000000}" name="Column19"/>
    <tableColumn id="27" xr3:uid="{00000000-0010-0000-0000-00001B000000}" name="Column20"/>
    <tableColumn id="28" xr3:uid="{00000000-0010-0000-0000-00001C000000}" name="Column21"/>
    <tableColumn id="29" xr3:uid="{00000000-0010-0000-0000-00001D000000}" name="Column22"/>
    <tableColumn id="30" xr3:uid="{00000000-0010-0000-0000-00001E000000}" name="Column23"/>
    <tableColumn id="31" xr3:uid="{00000000-0010-0000-0000-00001F000000}" name="Column24"/>
    <tableColumn id="32" xr3:uid="{00000000-0010-0000-0000-000020000000}" name="Column25"/>
    <tableColumn id="33" xr3:uid="{00000000-0010-0000-0000-000021000000}" name="Column26"/>
    <tableColumn id="34" xr3:uid="{00000000-0010-0000-0000-000022000000}" name="Column27"/>
    <tableColumn id="35" xr3:uid="{00000000-0010-0000-0000-000023000000}" name="Column28"/>
    <tableColumn id="36" xr3:uid="{00000000-0010-0000-0000-000024000000}" name="Column29"/>
    <tableColumn id="37" xr3:uid="{00000000-0010-0000-0000-000025000000}" name="Column30"/>
    <tableColumn id="38" xr3:uid="{00000000-0010-0000-0000-000026000000}" name="Column31"/>
    <tableColumn id="39" xr3:uid="{00000000-0010-0000-0000-000027000000}" name="Column32"/>
    <tableColumn id="40" xr3:uid="{00000000-0010-0000-0000-000028000000}" name="Column33"/>
    <tableColumn id="41" xr3:uid="{00000000-0010-0000-0000-000029000000}" name="Column34"/>
    <tableColumn id="42" xr3:uid="{00000000-0010-0000-0000-00002A000000}" name="Column35"/>
    <tableColumn id="43" xr3:uid="{00000000-0010-0000-0000-00002B000000}" name="Column36"/>
    <tableColumn id="44" xr3:uid="{00000000-0010-0000-0000-00002C000000}" name="Column37"/>
    <tableColumn id="45" xr3:uid="{00000000-0010-0000-0000-00002D000000}" name="Column38"/>
    <tableColumn id="46" xr3:uid="{00000000-0010-0000-0000-00002E000000}" name="Column39"/>
    <tableColumn id="47" xr3:uid="{00000000-0010-0000-0000-00002F000000}" name="Column40"/>
    <tableColumn id="48" xr3:uid="{00000000-0010-0000-0000-000030000000}" name="Column41"/>
    <tableColumn id="49" xr3:uid="{00000000-0010-0000-0000-000031000000}" name="Column42"/>
    <tableColumn id="50" xr3:uid="{00000000-0010-0000-0000-000032000000}" name="Column43"/>
    <tableColumn id="51" xr3:uid="{00000000-0010-0000-0000-000033000000}" name="Column44"/>
    <tableColumn id="52" xr3:uid="{00000000-0010-0000-0000-000034000000}" name="Column45"/>
    <tableColumn id="53" xr3:uid="{00000000-0010-0000-0000-000035000000}" name="Column46"/>
    <tableColumn id="54" xr3:uid="{00000000-0010-0000-0000-000036000000}" name="Column47"/>
    <tableColumn id="55" xr3:uid="{00000000-0010-0000-0000-000037000000}" name="Column48"/>
    <tableColumn id="56" xr3:uid="{00000000-0010-0000-0000-000038000000}" name="Column49"/>
    <tableColumn id="57" xr3:uid="{00000000-0010-0000-0000-000039000000}" name="Column50"/>
    <tableColumn id="58" xr3:uid="{00000000-0010-0000-0000-00003A000000}" name="Column51"/>
    <tableColumn id="59" xr3:uid="{00000000-0010-0000-0000-00003B000000}" name="Column52"/>
    <tableColumn id="60" xr3:uid="{00000000-0010-0000-0000-00003C000000}" name="Column53"/>
    <tableColumn id="61" xr3:uid="{00000000-0010-0000-0000-00003D000000}" name="Column54"/>
    <tableColumn id="62" xr3:uid="{00000000-0010-0000-0000-00003E000000}" name="Column55"/>
    <tableColumn id="63" xr3:uid="{00000000-0010-0000-0000-00003F000000}" name="Column56"/>
    <tableColumn id="64" xr3:uid="{00000000-0010-0000-0000-000040000000}" name="Column57"/>
    <tableColumn id="65" xr3:uid="{00000000-0010-0000-0000-000041000000}" name="Column58"/>
    <tableColumn id="66" xr3:uid="{00000000-0010-0000-0000-000042000000}" name="Column59"/>
    <tableColumn id="67" xr3:uid="{00000000-0010-0000-0000-000043000000}" name="Column60"/>
    <tableColumn id="68" xr3:uid="{00000000-0010-0000-0000-000044000000}" name="Column61"/>
    <tableColumn id="69" xr3:uid="{00000000-0010-0000-0000-000045000000}" name="Column62"/>
    <tableColumn id="70" xr3:uid="{00000000-0010-0000-0000-000046000000}" name="Column63"/>
    <tableColumn id="71" xr3:uid="{00000000-0010-0000-0000-000047000000}" name="Column64"/>
    <tableColumn id="72" xr3:uid="{00000000-0010-0000-0000-000048000000}" name="Column65"/>
    <tableColumn id="73" xr3:uid="{00000000-0010-0000-0000-000049000000}" name="Column66"/>
    <tableColumn id="74" xr3:uid="{00000000-0010-0000-0000-00004A000000}" name="Column67"/>
    <tableColumn id="75" xr3:uid="{00000000-0010-0000-0000-00004B000000}" name="Column68"/>
    <tableColumn id="76" xr3:uid="{00000000-0010-0000-0000-00004C000000}" name="Column69"/>
    <tableColumn id="77" xr3:uid="{00000000-0010-0000-0000-00004D000000}" name="Column70"/>
    <tableColumn id="78" xr3:uid="{00000000-0010-0000-0000-00004E000000}" name="Column71"/>
    <tableColumn id="79" xr3:uid="{00000000-0010-0000-0000-00004F000000}" name="Column72"/>
    <tableColumn id="80" xr3:uid="{00000000-0010-0000-0000-000050000000}" name="Column73"/>
    <tableColumn id="81" xr3:uid="{00000000-0010-0000-0000-000051000000}" name="Column74"/>
    <tableColumn id="82" xr3:uid="{00000000-0010-0000-0000-000052000000}" name="Column75"/>
    <tableColumn id="83" xr3:uid="{00000000-0010-0000-0000-000053000000}" name="Column76"/>
    <tableColumn id="84" xr3:uid="{00000000-0010-0000-0000-000054000000}" name="Column77"/>
    <tableColumn id="85" xr3:uid="{00000000-0010-0000-0000-000055000000}" name="Column78"/>
    <tableColumn id="86" xr3:uid="{00000000-0010-0000-0000-000056000000}" name="Column79"/>
    <tableColumn id="87" xr3:uid="{00000000-0010-0000-0000-000057000000}" name="Column80"/>
    <tableColumn id="88" xr3:uid="{00000000-0010-0000-0000-000058000000}" name="Column81"/>
    <tableColumn id="89" xr3:uid="{00000000-0010-0000-0000-000059000000}" name="Column82"/>
    <tableColumn id="90" xr3:uid="{00000000-0010-0000-0000-00005A000000}" name="Column83"/>
    <tableColumn id="91" xr3:uid="{00000000-0010-0000-0000-00005B000000}" name="Column84"/>
    <tableColumn id="92" xr3:uid="{00000000-0010-0000-0000-00005C000000}" name="Column85"/>
    <tableColumn id="93" xr3:uid="{00000000-0010-0000-0000-00005D000000}" name="Column86"/>
    <tableColumn id="94" xr3:uid="{00000000-0010-0000-0000-00005E000000}" name="Column87"/>
    <tableColumn id="95" xr3:uid="{00000000-0010-0000-0000-00005F000000}" name="Column88"/>
    <tableColumn id="96" xr3:uid="{00000000-0010-0000-0000-000060000000}" name="Column89"/>
    <tableColumn id="97" xr3:uid="{00000000-0010-0000-0000-000061000000}" name="Column90"/>
    <tableColumn id="98" xr3:uid="{00000000-0010-0000-0000-000062000000}" name="Column91"/>
    <tableColumn id="99" xr3:uid="{00000000-0010-0000-0000-000063000000}" name="Column92"/>
    <tableColumn id="100" xr3:uid="{00000000-0010-0000-0000-000064000000}" name="Column93"/>
    <tableColumn id="101" xr3:uid="{00000000-0010-0000-0000-000065000000}" name="Column94"/>
    <tableColumn id="102" xr3:uid="{00000000-0010-0000-0000-000066000000}" name="Column95"/>
    <tableColumn id="103" xr3:uid="{00000000-0010-0000-0000-000067000000}" name="Column96"/>
    <tableColumn id="104" xr3:uid="{00000000-0010-0000-0000-000068000000}" name="Column97"/>
    <tableColumn id="105" xr3:uid="{00000000-0010-0000-0000-000069000000}" name="Column98"/>
    <tableColumn id="106" xr3:uid="{00000000-0010-0000-0000-00006A000000}" name="Column99"/>
    <tableColumn id="107" xr3:uid="{00000000-0010-0000-0000-00006B000000}" name="Column100"/>
    <tableColumn id="108" xr3:uid="{00000000-0010-0000-0000-00006C000000}" name="Column101"/>
    <tableColumn id="109" xr3:uid="{00000000-0010-0000-0000-00006D000000}" name="Column102"/>
    <tableColumn id="110" xr3:uid="{00000000-0010-0000-0000-00006E000000}" name="Column103"/>
    <tableColumn id="111" xr3:uid="{00000000-0010-0000-0000-00006F000000}" name="Column104"/>
    <tableColumn id="112" xr3:uid="{00000000-0010-0000-0000-000070000000}" name="Column105"/>
    <tableColumn id="113" xr3:uid="{00000000-0010-0000-0000-000071000000}" name="Column106"/>
    <tableColumn id="114" xr3:uid="{00000000-0010-0000-0000-000072000000}" name="Column107"/>
    <tableColumn id="115" xr3:uid="{00000000-0010-0000-0000-000073000000}" name="Column108"/>
    <tableColumn id="116" xr3:uid="{00000000-0010-0000-0000-000074000000}" name="Column109"/>
    <tableColumn id="117" xr3:uid="{00000000-0010-0000-0000-000075000000}" name="Column110"/>
    <tableColumn id="118" xr3:uid="{00000000-0010-0000-0000-000076000000}" name="Column111"/>
    <tableColumn id="119" xr3:uid="{00000000-0010-0000-0000-000077000000}" name="Column112"/>
    <tableColumn id="120" xr3:uid="{00000000-0010-0000-0000-000078000000}" name="Column113"/>
    <tableColumn id="121" xr3:uid="{00000000-0010-0000-0000-000079000000}" name="Column114"/>
    <tableColumn id="122" xr3:uid="{00000000-0010-0000-0000-00007A000000}" name="Column115"/>
    <tableColumn id="123" xr3:uid="{00000000-0010-0000-0000-00007B000000}" name="Column116"/>
    <tableColumn id="124" xr3:uid="{00000000-0010-0000-0000-00007C000000}" name="Column117"/>
    <tableColumn id="125" xr3:uid="{00000000-0010-0000-0000-00007D000000}" name="Column118"/>
    <tableColumn id="126" xr3:uid="{00000000-0010-0000-0000-00007E000000}" name="Column119"/>
    <tableColumn id="127" xr3:uid="{00000000-0010-0000-0000-00007F000000}" name="Column120"/>
    <tableColumn id="128" xr3:uid="{00000000-0010-0000-0000-000080000000}" name="Column121"/>
    <tableColumn id="129" xr3:uid="{00000000-0010-0000-0000-000081000000}" name="Column122"/>
    <tableColumn id="130" xr3:uid="{00000000-0010-0000-0000-000082000000}" name="Column123"/>
    <tableColumn id="131" xr3:uid="{00000000-0010-0000-0000-000083000000}" name="Column124"/>
    <tableColumn id="132" xr3:uid="{00000000-0010-0000-0000-000084000000}" name="Column125"/>
    <tableColumn id="133" xr3:uid="{00000000-0010-0000-0000-000085000000}" name="Column126"/>
    <tableColumn id="134" xr3:uid="{00000000-0010-0000-0000-000086000000}" name="Column127"/>
    <tableColumn id="135" xr3:uid="{00000000-0010-0000-0000-000087000000}" name="Column128"/>
    <tableColumn id="136" xr3:uid="{00000000-0010-0000-0000-000088000000}" name="Column129"/>
    <tableColumn id="137" xr3:uid="{00000000-0010-0000-0000-000089000000}" name="Column130"/>
    <tableColumn id="138" xr3:uid="{00000000-0010-0000-0000-00008A000000}" name="Column131"/>
    <tableColumn id="139" xr3:uid="{00000000-0010-0000-0000-00008B000000}" name="Column132"/>
    <tableColumn id="140" xr3:uid="{00000000-0010-0000-0000-00008C000000}" name="Column133"/>
    <tableColumn id="141" xr3:uid="{00000000-0010-0000-0000-00008D000000}" name="Column134"/>
    <tableColumn id="142" xr3:uid="{00000000-0010-0000-0000-00008E000000}" name="Column135"/>
    <tableColumn id="143" xr3:uid="{00000000-0010-0000-0000-00008F000000}" name="Column136"/>
    <tableColumn id="144" xr3:uid="{00000000-0010-0000-0000-000090000000}" name="Column137"/>
    <tableColumn id="145" xr3:uid="{00000000-0010-0000-0000-000091000000}" name="Column138"/>
    <tableColumn id="146" xr3:uid="{00000000-0010-0000-0000-000092000000}" name="Column139"/>
    <tableColumn id="147" xr3:uid="{00000000-0010-0000-0000-000093000000}" name="Column140"/>
    <tableColumn id="148" xr3:uid="{00000000-0010-0000-0000-000094000000}" name="Column141"/>
    <tableColumn id="149" xr3:uid="{00000000-0010-0000-0000-000095000000}" name="Column142"/>
    <tableColumn id="150" xr3:uid="{00000000-0010-0000-0000-000096000000}" name="Column143"/>
    <tableColumn id="151" xr3:uid="{00000000-0010-0000-0000-000097000000}" name="Column144"/>
    <tableColumn id="152" xr3:uid="{00000000-0010-0000-0000-000098000000}" name="Column145"/>
    <tableColumn id="153" xr3:uid="{00000000-0010-0000-0000-000099000000}" name="Column146"/>
    <tableColumn id="154" xr3:uid="{00000000-0010-0000-0000-00009A000000}" name="Column147"/>
    <tableColumn id="155" xr3:uid="{00000000-0010-0000-0000-00009B000000}" name="Column148"/>
    <tableColumn id="156" xr3:uid="{00000000-0010-0000-0000-00009C000000}" name="Column149"/>
    <tableColumn id="157" xr3:uid="{00000000-0010-0000-0000-00009D000000}" name="Column150"/>
    <tableColumn id="158" xr3:uid="{00000000-0010-0000-0000-00009E000000}" name="Column151"/>
    <tableColumn id="159" xr3:uid="{00000000-0010-0000-0000-00009F000000}" name="Column152"/>
    <tableColumn id="160" xr3:uid="{00000000-0010-0000-0000-0000A0000000}" name="Column153"/>
    <tableColumn id="161" xr3:uid="{00000000-0010-0000-0000-0000A1000000}" name="Column154"/>
    <tableColumn id="162" xr3:uid="{00000000-0010-0000-0000-0000A2000000}" name="Column155"/>
    <tableColumn id="163" xr3:uid="{00000000-0010-0000-0000-0000A3000000}" name="Column156"/>
    <tableColumn id="164" xr3:uid="{00000000-0010-0000-0000-0000A4000000}" name="Column157"/>
    <tableColumn id="165" xr3:uid="{00000000-0010-0000-0000-0000A5000000}" name="Column158"/>
    <tableColumn id="166" xr3:uid="{00000000-0010-0000-0000-0000A6000000}" name="Column159"/>
    <tableColumn id="167" xr3:uid="{00000000-0010-0000-0000-0000A7000000}" name="Column160"/>
    <tableColumn id="168" xr3:uid="{00000000-0010-0000-0000-0000A8000000}" name="Column161"/>
    <tableColumn id="169" xr3:uid="{00000000-0010-0000-0000-0000A9000000}" name="Column162"/>
    <tableColumn id="170" xr3:uid="{00000000-0010-0000-0000-0000AA000000}" name="Column163"/>
    <tableColumn id="171" xr3:uid="{00000000-0010-0000-0000-0000AB000000}" name="Column164"/>
    <tableColumn id="172" xr3:uid="{00000000-0010-0000-0000-0000AC000000}" name="Column165"/>
    <tableColumn id="173" xr3:uid="{00000000-0010-0000-0000-0000AD000000}" name="Column166"/>
    <tableColumn id="174" xr3:uid="{00000000-0010-0000-0000-0000AE000000}" name="Column167"/>
    <tableColumn id="175" xr3:uid="{00000000-0010-0000-0000-0000AF000000}" name="Column168"/>
    <tableColumn id="176" xr3:uid="{00000000-0010-0000-0000-0000B0000000}" name="Column169"/>
    <tableColumn id="177" xr3:uid="{00000000-0010-0000-0000-0000B1000000}" name="Column170"/>
    <tableColumn id="178" xr3:uid="{00000000-0010-0000-0000-0000B2000000}" name="Column171"/>
    <tableColumn id="179" xr3:uid="{00000000-0010-0000-0000-0000B3000000}" name="Column172"/>
    <tableColumn id="180" xr3:uid="{00000000-0010-0000-0000-0000B4000000}" name="Column173"/>
    <tableColumn id="181" xr3:uid="{00000000-0010-0000-0000-0000B5000000}" name="Column174"/>
    <tableColumn id="182" xr3:uid="{00000000-0010-0000-0000-0000B6000000}" name="Column175"/>
    <tableColumn id="183" xr3:uid="{00000000-0010-0000-0000-0000B7000000}" name="Column176"/>
    <tableColumn id="184" xr3:uid="{00000000-0010-0000-0000-0000B8000000}" name="Column177"/>
    <tableColumn id="185" xr3:uid="{00000000-0010-0000-0000-0000B9000000}" name="Column178"/>
    <tableColumn id="186" xr3:uid="{00000000-0010-0000-0000-0000BA000000}" name="Column179"/>
    <tableColumn id="187" xr3:uid="{00000000-0010-0000-0000-0000BB000000}" name="Column180"/>
    <tableColumn id="188" xr3:uid="{00000000-0010-0000-0000-0000BC000000}" name="Column181"/>
    <tableColumn id="189" xr3:uid="{00000000-0010-0000-0000-0000BD000000}" name="Column182"/>
    <tableColumn id="190" xr3:uid="{00000000-0010-0000-0000-0000BE000000}" name="Column183"/>
    <tableColumn id="191" xr3:uid="{00000000-0010-0000-0000-0000BF000000}" name="Column184"/>
    <tableColumn id="192" xr3:uid="{00000000-0010-0000-0000-0000C0000000}" name="Column185"/>
    <tableColumn id="193" xr3:uid="{00000000-0010-0000-0000-0000C1000000}" name="Column186"/>
    <tableColumn id="194" xr3:uid="{00000000-0010-0000-0000-0000C2000000}" name="Column187"/>
    <tableColumn id="195" xr3:uid="{00000000-0010-0000-0000-0000C3000000}" name="Column188"/>
    <tableColumn id="196" xr3:uid="{00000000-0010-0000-0000-0000C4000000}" name="Column189"/>
    <tableColumn id="197" xr3:uid="{00000000-0010-0000-0000-0000C5000000}" name="Column190"/>
    <tableColumn id="198" xr3:uid="{00000000-0010-0000-0000-0000C6000000}" name="Column191"/>
    <tableColumn id="199" xr3:uid="{00000000-0010-0000-0000-0000C7000000}" name="Column192"/>
    <tableColumn id="200" xr3:uid="{00000000-0010-0000-0000-0000C8000000}" name="Column193"/>
    <tableColumn id="201" xr3:uid="{00000000-0010-0000-0000-0000C9000000}" name="Column194"/>
    <tableColumn id="202" xr3:uid="{00000000-0010-0000-0000-0000CA000000}" name="Column195"/>
    <tableColumn id="203" xr3:uid="{00000000-0010-0000-0000-0000CB000000}" name="Column196"/>
    <tableColumn id="204" xr3:uid="{00000000-0010-0000-0000-0000CC000000}" name="Column197"/>
    <tableColumn id="205" xr3:uid="{00000000-0010-0000-0000-0000CD000000}" name="Column198"/>
    <tableColumn id="206" xr3:uid="{00000000-0010-0000-0000-0000CE000000}" name="Column199"/>
    <tableColumn id="207" xr3:uid="{00000000-0010-0000-0000-0000CF000000}" name="Column200"/>
    <tableColumn id="208" xr3:uid="{00000000-0010-0000-0000-0000D0000000}" name="Column201"/>
    <tableColumn id="209" xr3:uid="{00000000-0010-0000-0000-0000D1000000}" name="Column202"/>
    <tableColumn id="210" xr3:uid="{00000000-0010-0000-0000-0000D2000000}" name="Column203"/>
    <tableColumn id="211" xr3:uid="{00000000-0010-0000-0000-0000D3000000}" name="Column204"/>
    <tableColumn id="212" xr3:uid="{00000000-0010-0000-0000-0000D4000000}" name="Column205"/>
    <tableColumn id="213" xr3:uid="{00000000-0010-0000-0000-0000D5000000}" name="Column206"/>
    <tableColumn id="214" xr3:uid="{00000000-0010-0000-0000-0000D6000000}" name="Column207"/>
    <tableColumn id="215" xr3:uid="{00000000-0010-0000-0000-0000D7000000}" name="Column208"/>
    <tableColumn id="216" xr3:uid="{00000000-0010-0000-0000-0000D8000000}" name="Column209"/>
    <tableColumn id="217" xr3:uid="{00000000-0010-0000-0000-0000D9000000}" name="Column210"/>
    <tableColumn id="218" xr3:uid="{00000000-0010-0000-0000-0000DA000000}" name="Column211"/>
    <tableColumn id="219" xr3:uid="{00000000-0010-0000-0000-0000DB000000}" name="Column212"/>
    <tableColumn id="220" xr3:uid="{00000000-0010-0000-0000-0000DC000000}" name="Column213"/>
    <tableColumn id="221" xr3:uid="{00000000-0010-0000-0000-0000DD000000}" name="Column214"/>
    <tableColumn id="222" xr3:uid="{00000000-0010-0000-0000-0000DE000000}" name="Column215"/>
    <tableColumn id="223" xr3:uid="{00000000-0010-0000-0000-0000DF000000}" name="Column216"/>
    <tableColumn id="224" xr3:uid="{00000000-0010-0000-0000-0000E0000000}" name="Column217"/>
    <tableColumn id="225" xr3:uid="{00000000-0010-0000-0000-0000E1000000}" name="Column218"/>
    <tableColumn id="226" xr3:uid="{00000000-0010-0000-0000-0000E2000000}" name="Column219"/>
    <tableColumn id="227" xr3:uid="{00000000-0010-0000-0000-0000E3000000}" name="Column220"/>
    <tableColumn id="228" xr3:uid="{00000000-0010-0000-0000-0000E4000000}" name="Column221"/>
    <tableColumn id="229" xr3:uid="{00000000-0010-0000-0000-0000E5000000}" name="Column222"/>
    <tableColumn id="230" xr3:uid="{00000000-0010-0000-0000-0000E6000000}" name="Column223"/>
    <tableColumn id="231" xr3:uid="{00000000-0010-0000-0000-0000E7000000}" name="Column224"/>
    <tableColumn id="232" xr3:uid="{00000000-0010-0000-0000-0000E8000000}" name="Column225"/>
    <tableColumn id="233" xr3:uid="{00000000-0010-0000-0000-0000E9000000}" name="Column226"/>
    <tableColumn id="234" xr3:uid="{00000000-0010-0000-0000-0000EA000000}" name="Column227"/>
    <tableColumn id="235" xr3:uid="{00000000-0010-0000-0000-0000EB000000}" name="Column228"/>
    <tableColumn id="236" xr3:uid="{00000000-0010-0000-0000-0000EC000000}" name="Column229"/>
    <tableColumn id="237" xr3:uid="{00000000-0010-0000-0000-0000ED000000}" name="Column230"/>
    <tableColumn id="238" xr3:uid="{00000000-0010-0000-0000-0000EE000000}" name="Column231"/>
    <tableColumn id="239" xr3:uid="{00000000-0010-0000-0000-0000EF000000}" name="Column232"/>
    <tableColumn id="240" xr3:uid="{00000000-0010-0000-0000-0000F0000000}" name="Column233"/>
    <tableColumn id="241" xr3:uid="{00000000-0010-0000-0000-0000F1000000}" name="Column234"/>
    <tableColumn id="242" xr3:uid="{00000000-0010-0000-0000-0000F2000000}" name="Column235"/>
    <tableColumn id="243" xr3:uid="{00000000-0010-0000-0000-0000F3000000}" name="Column236"/>
    <tableColumn id="244" xr3:uid="{00000000-0010-0000-0000-0000F4000000}" name="Column237"/>
    <tableColumn id="245" xr3:uid="{00000000-0010-0000-0000-0000F5000000}" name="Column238"/>
    <tableColumn id="246" xr3:uid="{00000000-0010-0000-0000-0000F6000000}" name="Column239"/>
    <tableColumn id="247" xr3:uid="{00000000-0010-0000-0000-0000F7000000}" name="Column240"/>
    <tableColumn id="248" xr3:uid="{00000000-0010-0000-0000-0000F8000000}" name="Column241"/>
    <tableColumn id="249" xr3:uid="{00000000-0010-0000-0000-0000F9000000}" name="Column242"/>
    <tableColumn id="250" xr3:uid="{00000000-0010-0000-0000-0000FA000000}" name="Column243"/>
    <tableColumn id="251" xr3:uid="{00000000-0010-0000-0000-0000FB000000}" name="Column244"/>
    <tableColumn id="252" xr3:uid="{00000000-0010-0000-0000-0000FC000000}" name="Column245"/>
    <tableColumn id="253" xr3:uid="{00000000-0010-0000-0000-0000FD000000}" name="Column246"/>
    <tableColumn id="254" xr3:uid="{00000000-0010-0000-0000-0000FE000000}" name="Column247"/>
    <tableColumn id="255" xr3:uid="{00000000-0010-0000-0000-0000FF000000}" name="Column248"/>
    <tableColumn id="256" xr3:uid="{00000000-0010-0000-0000-000000010000}" name="Column2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5397D-AD7D-44CA-B9A2-31560F232A27}" name="Table1" displayName="Table1" ref="A1:F1048576" totalsRowShown="0">
  <autoFilter ref="A1:F1048576" xr:uid="{E4BC953A-AE0B-4D43-B719-47D60D477803}"/>
  <tableColumns count="6">
    <tableColumn id="1" xr3:uid="{66F704AF-9BD2-4C36-A3F9-1D980386539E}" name="ABLZF_balance-sheet_Annual_As_Originally_Reported" dataDxfId="1"/>
    <tableColumn id="2" xr3:uid="{3B457FB8-432A-42D5-AB4C-E0D612D3373B}" name="2019"/>
    <tableColumn id="3" xr3:uid="{1E430D6F-B0BA-4F35-860D-C1238CD38830}" name="2020"/>
    <tableColumn id="4" xr3:uid="{B151BA71-F4FC-459C-985E-213201FCB6B8}" name="2021"/>
    <tableColumn id="5" xr3:uid="{4308D922-B9EA-49D2-ACA5-567042BB7B06}" name="2022"/>
    <tableColumn id="6" xr3:uid="{604AA2CC-8CF7-4F04-8ED1-7052E610EB37}" name="20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6065E-21E2-4BA3-9792-1C3D6E3C707A}" name="Table2" displayName="Table2" ref="A1:G1048576" totalsRowShown="0">
  <autoFilter ref="A1:G1048576" xr:uid="{FA89CAFC-C17A-4C80-B8B0-7CEEFFBD5AB4}"/>
  <tableColumns count="7">
    <tableColumn id="1" xr3:uid="{83FC83D6-C852-4F29-A7DC-692034B26458}" name="ABLZF_income-statement_Annual_As_Originally_Reported" dataDxfId="0"/>
    <tableColumn id="2" xr3:uid="{8E5A1162-64D0-4CFB-8C92-A5B67FBF4296}" name="2019"/>
    <tableColumn id="3" xr3:uid="{BF155294-F30C-4B35-97EF-95881B73EFE4}" name="2020"/>
    <tableColumn id="4" xr3:uid="{C10C88F8-DC51-4424-A0A8-3A691EC28B20}" name="2021"/>
    <tableColumn id="5" xr3:uid="{5030210C-7D2F-4D84-BBEF-F5571DF61CE9}" name="2022"/>
    <tableColumn id="6" xr3:uid="{8AA5DFBC-3ECD-4A3B-8BD7-ECB079FCAFF7}" name="2023"/>
    <tableColumn id="7" xr3:uid="{26AAE481-CF4A-4BBE-AC14-188C0AB9F518}" name="TT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lobal.abb/group/en/investors/2024-abb-equity-story/growt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inbox.com/NYSE:EMR/explorer/beta/" TargetMode="External"/><Relationship Id="rId1" Type="http://schemas.openxmlformats.org/officeDocument/2006/relationships/hyperlink" Target="https://www.infrontanalytics.com/fe-en/91570ES/ABB-Ltd-/Be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FB7-FEE5-4F2C-93BF-27DEFC8339CC}">
  <dimension ref="A1:J52"/>
  <sheetViews>
    <sheetView tabSelected="1" topLeftCell="A26" workbookViewId="0">
      <selection activeCell="H61" sqref="H61"/>
    </sheetView>
  </sheetViews>
  <sheetFormatPr defaultRowHeight="12.75"/>
  <cols>
    <col min="1" max="2" width="9.140625" style="38"/>
    <col min="3" max="3" width="15.5703125" style="38" customWidth="1"/>
    <col min="4" max="5" width="9.140625" style="38"/>
    <col min="6" max="6" width="14.140625" style="38" customWidth="1"/>
    <col min="7" max="7" width="17" style="38" bestFit="1" customWidth="1"/>
    <col min="8" max="8" width="15.140625" style="38" customWidth="1"/>
    <col min="9" max="9" width="27" style="38" bestFit="1" customWidth="1"/>
    <col min="10" max="10" width="4.85546875" style="38" customWidth="1"/>
    <col min="11" max="11" width="8.7109375" style="38" customWidth="1"/>
    <col min="12" max="12" width="9.7109375" style="38" customWidth="1"/>
    <col min="13" max="14" width="9.140625" style="38"/>
    <col min="15" max="15" width="6.5703125" style="38" customWidth="1"/>
    <col min="16" max="16" width="6.28515625" style="38" customWidth="1"/>
    <col min="17" max="16384" width="9.140625" style="38"/>
  </cols>
  <sheetData>
    <row r="1" spans="1:10" s="224" customFormat="1" ht="47.25" thickBot="1">
      <c r="A1" s="222" t="s">
        <v>690</v>
      </c>
      <c r="B1" s="223"/>
      <c r="C1" s="223"/>
      <c r="D1" s="223"/>
      <c r="E1" s="223"/>
      <c r="F1" s="223"/>
      <c r="G1" s="223"/>
      <c r="H1" s="223"/>
      <c r="I1" s="223"/>
      <c r="J1" s="223"/>
    </row>
    <row r="8" spans="1:10" ht="15">
      <c r="A8" s="194" t="s">
        <v>675</v>
      </c>
      <c r="B8" s="195"/>
      <c r="C8" s="196"/>
      <c r="D8" s="197" t="s">
        <v>643</v>
      </c>
      <c r="E8" s="197"/>
      <c r="F8" s="197"/>
    </row>
    <row r="9" spans="1:10" ht="15">
      <c r="A9" s="194" t="s">
        <v>676</v>
      </c>
      <c r="B9" s="195"/>
      <c r="C9" s="196"/>
      <c r="D9" s="197" t="s">
        <v>686</v>
      </c>
      <c r="E9" s="197"/>
      <c r="F9" s="197"/>
    </row>
    <row r="10" spans="1:10" ht="15">
      <c r="A10" s="194" t="s">
        <v>677</v>
      </c>
      <c r="B10" s="195"/>
      <c r="C10" s="196"/>
      <c r="D10" s="197" t="s">
        <v>688</v>
      </c>
      <c r="E10" s="197"/>
      <c r="F10" s="197"/>
    </row>
    <row r="11" spans="1:10" ht="15">
      <c r="A11" s="194" t="s">
        <v>678</v>
      </c>
      <c r="B11" s="195"/>
      <c r="C11" s="196"/>
      <c r="D11" s="198" t="s">
        <v>687</v>
      </c>
      <c r="E11" s="198"/>
      <c r="F11" s="198"/>
    </row>
    <row r="12" spans="1:10" ht="15">
      <c r="A12" s="194" t="s">
        <v>679</v>
      </c>
      <c r="B12" s="195"/>
      <c r="C12" s="196"/>
      <c r="D12" s="199" t="s">
        <v>689</v>
      </c>
      <c r="E12" s="199"/>
      <c r="F12" s="199"/>
    </row>
    <row r="13" spans="1:10" ht="15">
      <c r="A13" s="194" t="s">
        <v>680</v>
      </c>
      <c r="B13" s="195"/>
      <c r="C13" s="196"/>
      <c r="D13" s="200">
        <v>45702</v>
      </c>
      <c r="E13" s="200"/>
      <c r="F13" s="200"/>
    </row>
    <row r="14" spans="1:10" ht="15">
      <c r="A14" s="194" t="s">
        <v>681</v>
      </c>
      <c r="B14" s="195"/>
      <c r="C14" s="196"/>
      <c r="D14" s="200">
        <v>45473</v>
      </c>
      <c r="E14" s="200"/>
      <c r="F14" s="200"/>
    </row>
    <row r="16" spans="1:10" s="226" customFormat="1" ht="18.75">
      <c r="A16" s="225" t="s">
        <v>682</v>
      </c>
    </row>
    <row r="17" spans="1:10" ht="14.25">
      <c r="A17" s="201"/>
      <c r="B17" s="201"/>
      <c r="C17" s="202"/>
      <c r="D17" s="203"/>
      <c r="E17" s="203"/>
      <c r="F17" s="203"/>
      <c r="G17" s="203"/>
      <c r="H17" s="203"/>
      <c r="I17" s="203"/>
      <c r="J17" s="203"/>
    </row>
    <row r="18" spans="1:10" ht="14.25">
      <c r="A18" s="201"/>
      <c r="B18" s="201"/>
      <c r="C18" s="202"/>
      <c r="D18" s="203"/>
      <c r="E18" s="203"/>
      <c r="F18" s="203"/>
      <c r="G18" s="203"/>
      <c r="H18" s="203"/>
      <c r="I18" s="203"/>
      <c r="J18" s="203"/>
    </row>
    <row r="19" spans="1:10" ht="14.25">
      <c r="A19" s="201"/>
      <c r="B19" s="201"/>
      <c r="C19" s="202"/>
      <c r="D19" s="203"/>
      <c r="E19" s="203"/>
      <c r="F19" s="203"/>
      <c r="G19" s="203"/>
      <c r="H19" s="203"/>
      <c r="I19" s="203"/>
      <c r="J19" s="203"/>
    </row>
    <row r="20" spans="1:10" ht="14.25">
      <c r="A20" s="201"/>
      <c r="B20" s="201"/>
      <c r="C20" s="202"/>
      <c r="D20" s="203"/>
      <c r="E20" s="203"/>
      <c r="F20" s="203"/>
      <c r="G20" s="203"/>
      <c r="H20" s="203"/>
      <c r="I20" s="203"/>
      <c r="J20" s="203"/>
    </row>
    <row r="21" spans="1:10" ht="21.75" customHeight="1">
      <c r="A21" s="204"/>
      <c r="B21" s="204"/>
      <c r="C21" s="204"/>
      <c r="D21" s="204"/>
      <c r="E21" s="204"/>
      <c r="F21" s="204"/>
      <c r="G21" s="204"/>
      <c r="H21" s="204"/>
      <c r="I21" s="204"/>
      <c r="J21" s="204"/>
    </row>
    <row r="22" spans="1:10" ht="15" customHeight="1">
      <c r="A22" s="204"/>
      <c r="B22" s="204"/>
      <c r="C22" s="204"/>
      <c r="D22" s="204"/>
      <c r="E22" s="204"/>
      <c r="F22" s="204"/>
      <c r="G22" s="204"/>
      <c r="H22" s="204"/>
      <c r="I22" s="204"/>
      <c r="J22" s="204"/>
    </row>
    <row r="23" spans="1:10" ht="15" customHeight="1">
      <c r="A23" s="204"/>
      <c r="B23" s="204"/>
      <c r="C23" s="204"/>
      <c r="D23" s="204"/>
      <c r="E23" s="204"/>
      <c r="F23" s="204"/>
      <c r="G23" s="204"/>
      <c r="H23" s="204"/>
      <c r="I23" s="204"/>
      <c r="J23" s="204"/>
    </row>
    <row r="24" spans="1:10" ht="9.75" customHeight="1">
      <c r="A24" s="204"/>
      <c r="B24" s="204"/>
      <c r="C24" s="204"/>
      <c r="D24" s="204"/>
      <c r="E24" s="204"/>
      <c r="F24" s="204"/>
      <c r="G24" s="204"/>
      <c r="H24" s="204"/>
      <c r="I24" s="204"/>
      <c r="J24" s="204"/>
    </row>
    <row r="25" spans="1:10" ht="15">
      <c r="A25" s="205"/>
      <c r="B25" s="201"/>
      <c r="C25" s="201"/>
      <c r="D25" s="201"/>
      <c r="E25" s="201"/>
      <c r="F25" s="201"/>
      <c r="G25" s="201"/>
      <c r="H25" s="201"/>
      <c r="I25" s="201"/>
      <c r="J25" s="201"/>
    </row>
    <row r="26" spans="1:10">
      <c r="A26" s="201"/>
      <c r="B26" s="201"/>
      <c r="C26" s="201"/>
      <c r="D26" s="201"/>
      <c r="E26" s="201"/>
      <c r="F26" s="201"/>
      <c r="G26" s="201"/>
      <c r="H26" s="201"/>
      <c r="I26" s="201"/>
      <c r="J26" s="201"/>
    </row>
    <row r="27" spans="1:10" ht="15">
      <c r="A27" s="206"/>
      <c r="C27" s="201"/>
      <c r="D27" s="201"/>
      <c r="E27" s="201"/>
      <c r="F27" s="201"/>
      <c r="G27" s="201"/>
      <c r="H27" s="201"/>
      <c r="I27" s="201"/>
      <c r="J27" s="201"/>
    </row>
    <row r="28" spans="1:10">
      <c r="A28" s="201"/>
      <c r="B28" s="201"/>
      <c r="C28" s="201"/>
      <c r="D28" s="201"/>
      <c r="E28" s="201"/>
      <c r="F28" s="201"/>
      <c r="G28" s="201"/>
      <c r="H28" s="201"/>
      <c r="I28" s="201"/>
      <c r="J28" s="201"/>
    </row>
    <row r="29" spans="1:10" s="207" customFormat="1" hidden="1"/>
    <row r="30" spans="1:10" s="207" customFormat="1" ht="18.75" hidden="1" customHeight="1"/>
    <row r="31" spans="1:10" s="207" customFormat="1" ht="18.75" hidden="1" customHeight="1"/>
    <row r="32" spans="1:10" s="207" customFormat="1" ht="18.75" hidden="1" customHeight="1"/>
    <row r="33" spans="1:10" s="207" customFormat="1" ht="18.75" hidden="1" customHeight="1"/>
    <row r="34" spans="1:10" s="207" customFormat="1" hidden="1"/>
    <row r="35" spans="1:10" s="207" customFormat="1" hidden="1"/>
    <row r="36" spans="1:10" s="207" customFormat="1" hidden="1"/>
    <row r="37" spans="1:10" s="208" customFormat="1" ht="6.75" customHeight="1"/>
    <row r="38" spans="1:10">
      <c r="C38" s="209"/>
      <c r="F38" s="209"/>
      <c r="G38" s="209"/>
    </row>
    <row r="39" spans="1:10">
      <c r="C39" s="209"/>
      <c r="F39" s="209"/>
      <c r="G39" s="209"/>
    </row>
    <row r="40" spans="1:10">
      <c r="C40" s="209"/>
      <c r="F40" s="209"/>
      <c r="G40" s="209"/>
    </row>
    <row r="41" spans="1:10">
      <c r="C41" s="209"/>
      <c r="F41" s="209"/>
      <c r="G41" s="209"/>
    </row>
    <row r="42" spans="1:10">
      <c r="C42" s="209"/>
      <c r="F42" s="209"/>
      <c r="G42" s="209"/>
    </row>
    <row r="43" spans="1:10">
      <c r="A43" s="201"/>
      <c r="B43" s="201"/>
      <c r="C43" s="201"/>
      <c r="D43" s="201"/>
      <c r="E43" s="201"/>
      <c r="F43" s="201"/>
      <c r="G43" s="201"/>
      <c r="H43" s="201"/>
      <c r="I43" s="201"/>
      <c r="J43" s="201"/>
    </row>
    <row r="44" spans="1:10" ht="15.75">
      <c r="A44" s="210"/>
      <c r="B44" s="201"/>
      <c r="C44" s="201"/>
      <c r="D44" s="210"/>
      <c r="E44" s="201"/>
      <c r="F44" s="201"/>
      <c r="H44" s="211" t="s">
        <v>683</v>
      </c>
      <c r="I44" s="211"/>
      <c r="J44" s="210"/>
    </row>
    <row r="45" spans="1:10" ht="15.75">
      <c r="A45" s="212"/>
      <c r="B45" s="212"/>
      <c r="C45" s="212"/>
      <c r="D45" s="213"/>
      <c r="E45" s="214"/>
      <c r="F45" s="201"/>
      <c r="H45" s="211" t="s">
        <v>684</v>
      </c>
      <c r="I45" s="215"/>
      <c r="J45" s="210"/>
    </row>
    <row r="46" spans="1:10" ht="15.75">
      <c r="A46" s="212"/>
      <c r="B46" s="212"/>
      <c r="C46" s="212"/>
      <c r="D46" s="213"/>
      <c r="E46" s="214"/>
      <c r="F46" s="201"/>
      <c r="H46" s="211" t="s">
        <v>685</v>
      </c>
      <c r="I46" s="216"/>
      <c r="J46" s="210"/>
    </row>
    <row r="47" spans="1:10" ht="15" customHeight="1">
      <c r="A47" s="212"/>
      <c r="B47" s="212"/>
      <c r="C47" s="212"/>
      <c r="D47" s="201"/>
      <c r="E47" s="201"/>
      <c r="F47" s="201"/>
      <c r="G47" s="201"/>
      <c r="H47" s="201"/>
      <c r="I47" s="201"/>
      <c r="J47" s="201"/>
    </row>
    <row r="48" spans="1:10" ht="15" customHeight="1">
      <c r="A48" s="212"/>
      <c r="B48" s="212"/>
      <c r="C48" s="212"/>
      <c r="D48" s="201"/>
      <c r="E48" s="201"/>
      <c r="F48" s="201"/>
      <c r="G48" s="201"/>
      <c r="H48" s="201"/>
      <c r="I48" s="217"/>
      <c r="J48" s="218"/>
    </row>
    <row r="49" spans="1:10" ht="15">
      <c r="A49" s="201"/>
      <c r="B49" s="201"/>
      <c r="C49" s="201"/>
      <c r="D49" s="201"/>
      <c r="E49" s="201"/>
      <c r="F49" s="201"/>
      <c r="G49" s="201"/>
      <c r="H49" s="219"/>
      <c r="I49" s="220"/>
      <c r="J49" s="218"/>
    </row>
    <row r="50" spans="1:10" ht="15">
      <c r="C50" s="201"/>
      <c r="D50" s="201"/>
      <c r="E50" s="201"/>
      <c r="F50" s="201"/>
      <c r="G50" s="201"/>
      <c r="H50" s="219"/>
      <c r="I50" s="221"/>
      <c r="J50" s="218"/>
    </row>
    <row r="51" spans="1:10">
      <c r="C51" s="214"/>
      <c r="D51" s="201"/>
      <c r="E51" s="201"/>
      <c r="F51" s="201"/>
      <c r="G51" s="201"/>
      <c r="H51" s="201"/>
      <c r="I51" s="214"/>
      <c r="J51" s="201"/>
    </row>
    <row r="52" spans="1:10">
      <c r="C52" s="214"/>
    </row>
  </sheetData>
  <mergeCells count="21">
    <mergeCell ref="A45:C45"/>
    <mergeCell ref="A46:C46"/>
    <mergeCell ref="A47:C47"/>
    <mergeCell ref="A48:C48"/>
    <mergeCell ref="A14:C14"/>
    <mergeCell ref="D14:F14"/>
    <mergeCell ref="D17:J20"/>
    <mergeCell ref="A21:J24"/>
    <mergeCell ref="A29:XFD36"/>
    <mergeCell ref="A11:C11"/>
    <mergeCell ref="D11:F11"/>
    <mergeCell ref="A12:C12"/>
    <mergeCell ref="D12:F12"/>
    <mergeCell ref="A13:C13"/>
    <mergeCell ref="D13:F13"/>
    <mergeCell ref="A8:C8"/>
    <mergeCell ref="D8:F8"/>
    <mergeCell ref="A9:C9"/>
    <mergeCell ref="D9:F9"/>
    <mergeCell ref="A10:C10"/>
    <mergeCell ref="D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8"/>
  <sheetViews>
    <sheetView zoomScaleNormal="100" workbookViewId="0">
      <selection activeCell="A2" sqref="A2:A65536"/>
    </sheetView>
  </sheetViews>
  <sheetFormatPr defaultColWidth="12.42578125" defaultRowHeight="12.75"/>
  <cols>
    <col min="1" max="1" width="89.42578125" style="3" customWidth="1"/>
    <col min="2" max="2" width="18.85546875" customWidth="1"/>
    <col min="3" max="3" width="16.28515625" customWidth="1"/>
    <col min="4" max="4" width="18.42578125" customWidth="1"/>
    <col min="5" max="5" width="17.28515625" customWidth="1"/>
    <col min="6" max="6" width="15.5703125" customWidth="1"/>
    <col min="7" max="7" width="15.7109375" customWidth="1"/>
    <col min="8" max="16" width="10.42578125" customWidth="1"/>
    <col min="17" max="106" width="11.42578125" customWidth="1"/>
  </cols>
  <sheetData>
    <row r="1" spans="1:256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407</v>
      </c>
      <c r="W1" t="s">
        <v>408</v>
      </c>
      <c r="X1" t="s">
        <v>409</v>
      </c>
      <c r="Y1" t="s">
        <v>410</v>
      </c>
      <c r="Z1" t="s">
        <v>411</v>
      </c>
      <c r="AA1" t="s">
        <v>412</v>
      </c>
      <c r="AB1" t="s">
        <v>413</v>
      </c>
      <c r="AC1" t="s">
        <v>414</v>
      </c>
      <c r="AD1" t="s">
        <v>415</v>
      </c>
      <c r="AE1" t="s">
        <v>416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422</v>
      </c>
      <c r="AL1" t="s">
        <v>423</v>
      </c>
      <c r="AM1" t="s">
        <v>424</v>
      </c>
      <c r="AN1" t="s">
        <v>425</v>
      </c>
      <c r="AO1" t="s">
        <v>426</v>
      </c>
      <c r="AP1" t="s">
        <v>427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459</v>
      </c>
      <c r="BW1" t="s">
        <v>460</v>
      </c>
      <c r="BX1" t="s">
        <v>461</v>
      </c>
      <c r="BY1" t="s">
        <v>462</v>
      </c>
      <c r="BZ1" t="s">
        <v>463</v>
      </c>
      <c r="CA1" t="s">
        <v>464</v>
      </c>
      <c r="CB1" t="s">
        <v>465</v>
      </c>
      <c r="CC1" t="s">
        <v>466</v>
      </c>
      <c r="CD1" t="s">
        <v>467</v>
      </c>
      <c r="CE1" t="s">
        <v>468</v>
      </c>
      <c r="CF1" t="s">
        <v>469</v>
      </c>
      <c r="CG1" t="s">
        <v>470</v>
      </c>
      <c r="CH1" t="s">
        <v>471</v>
      </c>
      <c r="CI1" t="s">
        <v>472</v>
      </c>
      <c r="CJ1" t="s">
        <v>473</v>
      </c>
      <c r="CK1" t="s">
        <v>474</v>
      </c>
      <c r="CL1" t="s">
        <v>475</v>
      </c>
      <c r="CM1" t="s">
        <v>476</v>
      </c>
      <c r="CN1" t="s">
        <v>477</v>
      </c>
      <c r="CO1" t="s">
        <v>478</v>
      </c>
      <c r="CP1" t="s">
        <v>479</v>
      </c>
      <c r="CQ1" t="s">
        <v>480</v>
      </c>
      <c r="CR1" t="s">
        <v>481</v>
      </c>
      <c r="CS1" t="s">
        <v>482</v>
      </c>
      <c r="CT1" t="s">
        <v>483</v>
      </c>
      <c r="CU1" t="s">
        <v>484</v>
      </c>
      <c r="CV1" t="s">
        <v>485</v>
      </c>
      <c r="CW1" t="s">
        <v>486</v>
      </c>
      <c r="CX1" t="s">
        <v>487</v>
      </c>
      <c r="CY1" t="s">
        <v>488</v>
      </c>
      <c r="CZ1" t="s">
        <v>489</v>
      </c>
      <c r="DA1" t="s">
        <v>490</v>
      </c>
      <c r="DB1" t="s">
        <v>491</v>
      </c>
      <c r="DC1" t="s">
        <v>492</v>
      </c>
      <c r="DD1" t="s">
        <v>493</v>
      </c>
      <c r="DE1" t="s">
        <v>494</v>
      </c>
      <c r="DF1" t="s">
        <v>495</v>
      </c>
      <c r="DG1" t="s">
        <v>496</v>
      </c>
      <c r="DH1" t="s">
        <v>497</v>
      </c>
      <c r="DI1" t="s">
        <v>498</v>
      </c>
      <c r="DJ1" t="s">
        <v>499</v>
      </c>
      <c r="DK1" t="s">
        <v>500</v>
      </c>
      <c r="DL1" t="s">
        <v>501</v>
      </c>
      <c r="DM1" t="s">
        <v>502</v>
      </c>
      <c r="DN1" t="s">
        <v>503</v>
      </c>
      <c r="DO1" t="s">
        <v>504</v>
      </c>
      <c r="DP1" t="s">
        <v>505</v>
      </c>
      <c r="DQ1" t="s">
        <v>506</v>
      </c>
      <c r="DR1" t="s">
        <v>507</v>
      </c>
      <c r="DS1" t="s">
        <v>508</v>
      </c>
      <c r="DT1" t="s">
        <v>509</v>
      </c>
      <c r="DU1" t="s">
        <v>510</v>
      </c>
      <c r="DV1" t="s">
        <v>511</v>
      </c>
      <c r="DW1" t="s">
        <v>512</v>
      </c>
      <c r="DX1" t="s">
        <v>513</v>
      </c>
      <c r="DY1" t="s">
        <v>514</v>
      </c>
      <c r="DZ1" t="s">
        <v>515</v>
      </c>
      <c r="EA1" t="s">
        <v>516</v>
      </c>
      <c r="EB1" t="s">
        <v>517</v>
      </c>
      <c r="EC1" t="s">
        <v>518</v>
      </c>
      <c r="ED1" t="s">
        <v>519</v>
      </c>
      <c r="EE1" t="s">
        <v>520</v>
      </c>
      <c r="EF1" t="s">
        <v>521</v>
      </c>
      <c r="EG1" t="s">
        <v>522</v>
      </c>
      <c r="EH1" t="s">
        <v>523</v>
      </c>
      <c r="EI1" t="s">
        <v>524</v>
      </c>
      <c r="EJ1" t="s">
        <v>525</v>
      </c>
      <c r="EK1" t="s">
        <v>526</v>
      </c>
      <c r="EL1" t="s">
        <v>527</v>
      </c>
      <c r="EM1" t="s">
        <v>528</v>
      </c>
      <c r="EN1" t="s">
        <v>529</v>
      </c>
      <c r="EO1" t="s">
        <v>530</v>
      </c>
      <c r="EP1" t="s">
        <v>531</v>
      </c>
      <c r="EQ1" t="s">
        <v>532</v>
      </c>
      <c r="ER1" t="s">
        <v>533</v>
      </c>
      <c r="ES1" t="s">
        <v>534</v>
      </c>
      <c r="ET1" t="s">
        <v>535</v>
      </c>
      <c r="EU1" t="s">
        <v>536</v>
      </c>
      <c r="EV1" t="s">
        <v>537</v>
      </c>
      <c r="EW1" t="s">
        <v>538</v>
      </c>
      <c r="EX1" t="s">
        <v>539</v>
      </c>
      <c r="EY1" t="s">
        <v>540</v>
      </c>
      <c r="EZ1" t="s">
        <v>541</v>
      </c>
      <c r="FA1" t="s">
        <v>542</v>
      </c>
      <c r="FB1" t="s">
        <v>543</v>
      </c>
      <c r="FC1" t="s">
        <v>544</v>
      </c>
      <c r="FD1" t="s">
        <v>545</v>
      </c>
      <c r="FE1" t="s">
        <v>546</v>
      </c>
      <c r="FF1" t="s">
        <v>547</v>
      </c>
      <c r="FG1" t="s">
        <v>548</v>
      </c>
      <c r="FH1" t="s">
        <v>549</v>
      </c>
      <c r="FI1" t="s">
        <v>550</v>
      </c>
      <c r="FJ1" t="s">
        <v>551</v>
      </c>
      <c r="FK1" t="s">
        <v>552</v>
      </c>
      <c r="FL1" t="s">
        <v>553</v>
      </c>
      <c r="FM1" t="s">
        <v>554</v>
      </c>
      <c r="FN1" t="s">
        <v>555</v>
      </c>
      <c r="FO1" t="s">
        <v>556</v>
      </c>
      <c r="FP1" t="s">
        <v>557</v>
      </c>
      <c r="FQ1" t="s">
        <v>558</v>
      </c>
      <c r="FR1" t="s">
        <v>559</v>
      </c>
      <c r="FS1" t="s">
        <v>560</v>
      </c>
      <c r="FT1" t="s">
        <v>561</v>
      </c>
      <c r="FU1" t="s">
        <v>562</v>
      </c>
      <c r="FV1" t="s">
        <v>563</v>
      </c>
      <c r="FW1" t="s">
        <v>564</v>
      </c>
      <c r="FX1" t="s">
        <v>565</v>
      </c>
      <c r="FY1" t="s">
        <v>566</v>
      </c>
      <c r="FZ1" t="s">
        <v>567</v>
      </c>
      <c r="GA1" t="s">
        <v>568</v>
      </c>
      <c r="GB1" t="s">
        <v>569</v>
      </c>
      <c r="GC1" t="s">
        <v>570</v>
      </c>
      <c r="GD1" t="s">
        <v>571</v>
      </c>
      <c r="GE1" t="s">
        <v>572</v>
      </c>
      <c r="GF1" t="s">
        <v>573</v>
      </c>
      <c r="GG1" t="s">
        <v>574</v>
      </c>
      <c r="GH1" t="s">
        <v>575</v>
      </c>
      <c r="GI1" t="s">
        <v>576</v>
      </c>
      <c r="GJ1" t="s">
        <v>577</v>
      </c>
      <c r="GK1" t="s">
        <v>578</v>
      </c>
      <c r="GL1" t="s">
        <v>579</v>
      </c>
      <c r="GM1" t="s">
        <v>580</v>
      </c>
      <c r="GN1" t="s">
        <v>581</v>
      </c>
      <c r="GO1" t="s">
        <v>582</v>
      </c>
      <c r="GP1" t="s">
        <v>583</v>
      </c>
      <c r="GQ1" t="s">
        <v>584</v>
      </c>
      <c r="GR1" t="s">
        <v>585</v>
      </c>
      <c r="GS1" t="s">
        <v>586</v>
      </c>
      <c r="GT1" t="s">
        <v>587</v>
      </c>
      <c r="GU1" t="s">
        <v>588</v>
      </c>
      <c r="GV1" t="s">
        <v>589</v>
      </c>
      <c r="GW1" t="s">
        <v>590</v>
      </c>
      <c r="GX1" t="s">
        <v>591</v>
      </c>
      <c r="GY1" t="s">
        <v>592</v>
      </c>
      <c r="GZ1" t="s">
        <v>593</v>
      </c>
      <c r="HA1" t="s">
        <v>594</v>
      </c>
      <c r="HB1" t="s">
        <v>595</v>
      </c>
      <c r="HC1" t="s">
        <v>596</v>
      </c>
      <c r="HD1" t="s">
        <v>597</v>
      </c>
      <c r="HE1" t="s">
        <v>598</v>
      </c>
      <c r="HF1" t="s">
        <v>599</v>
      </c>
      <c r="HG1" t="s">
        <v>600</v>
      </c>
      <c r="HH1" t="s">
        <v>601</v>
      </c>
      <c r="HI1" t="s">
        <v>602</v>
      </c>
      <c r="HJ1" t="s">
        <v>603</v>
      </c>
      <c r="HK1" t="s">
        <v>604</v>
      </c>
      <c r="HL1" t="s">
        <v>605</v>
      </c>
      <c r="HM1" t="s">
        <v>606</v>
      </c>
      <c r="HN1" t="s">
        <v>607</v>
      </c>
      <c r="HO1" t="s">
        <v>608</v>
      </c>
      <c r="HP1" t="s">
        <v>609</v>
      </c>
      <c r="HQ1" t="s">
        <v>610</v>
      </c>
      <c r="HR1" t="s">
        <v>611</v>
      </c>
      <c r="HS1" t="s">
        <v>612</v>
      </c>
      <c r="HT1" t="s">
        <v>613</v>
      </c>
      <c r="HU1" t="s">
        <v>614</v>
      </c>
      <c r="HV1" t="s">
        <v>615</v>
      </c>
      <c r="HW1" t="s">
        <v>616</v>
      </c>
      <c r="HX1" t="s">
        <v>617</v>
      </c>
      <c r="HY1" t="s">
        <v>618</v>
      </c>
      <c r="HZ1" t="s">
        <v>619</v>
      </c>
      <c r="IA1" t="s">
        <v>620</v>
      </c>
      <c r="IB1" t="s">
        <v>621</v>
      </c>
      <c r="IC1" t="s">
        <v>622</v>
      </c>
      <c r="ID1" t="s">
        <v>623</v>
      </c>
      <c r="IE1" t="s">
        <v>624</v>
      </c>
      <c r="IF1" t="s">
        <v>625</v>
      </c>
      <c r="IG1" t="s">
        <v>626</v>
      </c>
      <c r="IH1" t="s">
        <v>627</v>
      </c>
      <c r="II1" t="s">
        <v>628</v>
      </c>
      <c r="IJ1" t="s">
        <v>629</v>
      </c>
      <c r="IK1" t="s">
        <v>630</v>
      </c>
      <c r="IL1" t="s">
        <v>631</v>
      </c>
      <c r="IM1" t="s">
        <v>632</v>
      </c>
      <c r="IN1" t="s">
        <v>633</v>
      </c>
      <c r="IO1" t="s">
        <v>634</v>
      </c>
      <c r="IP1" t="s">
        <v>635</v>
      </c>
      <c r="IQ1" t="s">
        <v>636</v>
      </c>
      <c r="IR1" t="s">
        <v>637</v>
      </c>
      <c r="IS1" t="s">
        <v>638</v>
      </c>
      <c r="IT1" t="s">
        <v>639</v>
      </c>
      <c r="IU1" t="s">
        <v>640</v>
      </c>
      <c r="IV1" t="s">
        <v>641</v>
      </c>
    </row>
    <row r="2" spans="1:256" s="4" customFormat="1">
      <c r="A2" s="6" t="s">
        <v>7</v>
      </c>
      <c r="B2" s="5">
        <v>2325000000</v>
      </c>
      <c r="C2" s="5">
        <v>1693000000</v>
      </c>
      <c r="D2" s="5">
        <v>3330000000</v>
      </c>
      <c r="E2" s="5">
        <v>1287000000</v>
      </c>
      <c r="F2" s="5">
        <v>4290000000</v>
      </c>
      <c r="G2" s="5">
        <v>5035000000</v>
      </c>
    </row>
    <row r="3" spans="1:256" s="4" customFormat="1">
      <c r="A3" s="6" t="s">
        <v>9</v>
      </c>
      <c r="B3" s="5">
        <v>1899000000</v>
      </c>
      <c r="C3" s="5">
        <v>1875000000</v>
      </c>
      <c r="D3" s="5">
        <v>3338000000</v>
      </c>
      <c r="E3" s="5">
        <v>1334000000</v>
      </c>
      <c r="F3" s="5">
        <v>4301000000</v>
      </c>
      <c r="G3" s="5">
        <v>5035000000</v>
      </c>
    </row>
    <row r="4" spans="1:256" s="4" customFormat="1">
      <c r="A4" s="6" t="s">
        <v>10</v>
      </c>
      <c r="B4" s="5">
        <v>1899000000</v>
      </c>
      <c r="C4" s="5">
        <v>1875000000</v>
      </c>
      <c r="D4" s="5">
        <v>3338000000</v>
      </c>
      <c r="E4" s="5">
        <v>1334000000</v>
      </c>
      <c r="F4" s="5">
        <v>4301000000</v>
      </c>
      <c r="G4" s="5">
        <v>5035000000</v>
      </c>
    </row>
    <row r="5" spans="1:256" s="4" customFormat="1">
      <c r="A5" s="6" t="s">
        <v>11</v>
      </c>
      <c r="B5" s="5">
        <v>1090000000</v>
      </c>
      <c r="C5" s="5">
        <v>345000000</v>
      </c>
      <c r="D5" s="5">
        <v>4730000000</v>
      </c>
      <c r="E5" s="5">
        <v>2637000000</v>
      </c>
      <c r="F5" s="5">
        <v>3848000000</v>
      </c>
      <c r="G5" s="5">
        <v>3903000000</v>
      </c>
    </row>
    <row r="6" spans="1:256" s="4" customFormat="1">
      <c r="A6" s="6" t="s">
        <v>12</v>
      </c>
      <c r="B6" s="5">
        <v>1181000000</v>
      </c>
      <c r="C6" s="5">
        <v>1178000000</v>
      </c>
      <c r="D6" s="5">
        <v>-1700000000</v>
      </c>
      <c r="E6" s="5">
        <v>380000000</v>
      </c>
      <c r="F6" s="5">
        <v>580000000</v>
      </c>
      <c r="G6" s="5">
        <v>763000000</v>
      </c>
    </row>
    <row r="7" spans="1:256" s="4" customFormat="1">
      <c r="A7" s="6" t="s">
        <v>13</v>
      </c>
      <c r="B7" s="5">
        <v>961000000</v>
      </c>
      <c r="C7" s="5">
        <v>915000000</v>
      </c>
      <c r="D7" s="5">
        <v>893000000</v>
      </c>
      <c r="E7" s="5">
        <v>814000000</v>
      </c>
      <c r="F7" s="5">
        <v>780000000</v>
      </c>
      <c r="G7" s="5">
        <v>796000000</v>
      </c>
    </row>
    <row r="8" spans="1:256" s="4" customFormat="1">
      <c r="A8" s="6" t="s">
        <v>14</v>
      </c>
      <c r="B8" s="5">
        <v>961000000</v>
      </c>
      <c r="C8" s="5">
        <v>915000000</v>
      </c>
      <c r="D8" s="5">
        <v>893000000</v>
      </c>
      <c r="E8" s="5">
        <v>814000000</v>
      </c>
      <c r="F8" s="5">
        <v>780000000</v>
      </c>
      <c r="G8" s="5">
        <v>796000000</v>
      </c>
    </row>
    <row r="9" spans="1:256" s="4" customFormat="1">
      <c r="A9" s="6" t="s">
        <v>15</v>
      </c>
      <c r="B9" s="4" t="s">
        <v>8</v>
      </c>
      <c r="C9" s="4" t="s">
        <v>8</v>
      </c>
      <c r="D9" s="4" t="s">
        <v>8</v>
      </c>
      <c r="E9" s="4" t="s">
        <v>8</v>
      </c>
      <c r="F9" s="5">
        <v>517000000</v>
      </c>
      <c r="G9" s="4" t="s">
        <v>8</v>
      </c>
    </row>
    <row r="10" spans="1:256" s="4" customFormat="1">
      <c r="A10" s="6" t="s">
        <v>16</v>
      </c>
      <c r="B10" s="4" t="s">
        <v>8</v>
      </c>
      <c r="C10" s="4" t="s">
        <v>8</v>
      </c>
      <c r="D10" s="4" t="s">
        <v>8</v>
      </c>
      <c r="E10" s="4" t="s">
        <v>8</v>
      </c>
      <c r="F10" s="5">
        <v>263000000</v>
      </c>
      <c r="G10" s="4" t="s">
        <v>8</v>
      </c>
    </row>
    <row r="11" spans="1:256" s="4" customFormat="1">
      <c r="A11" s="6" t="s">
        <v>17</v>
      </c>
      <c r="B11" s="4" t="s">
        <v>8</v>
      </c>
      <c r="C11" s="5">
        <v>50000000</v>
      </c>
      <c r="D11" s="5">
        <v>-216000000</v>
      </c>
      <c r="E11" s="5">
        <v>-125000000</v>
      </c>
      <c r="F11" s="5">
        <v>-48000000</v>
      </c>
      <c r="G11" s="5">
        <v>-33000000</v>
      </c>
    </row>
    <row r="12" spans="1:256" s="4" customFormat="1">
      <c r="A12" s="6" t="s">
        <v>18</v>
      </c>
      <c r="B12" s="5">
        <v>-83000000</v>
      </c>
      <c r="C12" s="5">
        <v>-280000000</v>
      </c>
      <c r="D12" s="5">
        <v>-289000000</v>
      </c>
      <c r="E12" s="5">
        <v>-344000000</v>
      </c>
      <c r="F12" s="5">
        <v>-25000000</v>
      </c>
      <c r="G12" s="5">
        <v>-76000000</v>
      </c>
    </row>
    <row r="13" spans="1:256" s="4" customFormat="1">
      <c r="A13" s="6" t="s">
        <v>19</v>
      </c>
      <c r="B13" s="5">
        <v>1000000</v>
      </c>
      <c r="C13" s="5">
        <v>-2000000</v>
      </c>
      <c r="D13" s="5">
        <v>26000000</v>
      </c>
      <c r="E13" s="5">
        <v>46000000</v>
      </c>
      <c r="F13" s="5">
        <v>-68000000</v>
      </c>
      <c r="G13" s="5">
        <v>-79000000</v>
      </c>
    </row>
    <row r="14" spans="1:256" s="4" customFormat="1">
      <c r="A14" s="6" t="s">
        <v>20</v>
      </c>
      <c r="B14" s="4" t="s">
        <v>8</v>
      </c>
      <c r="C14" s="4" t="s">
        <v>8</v>
      </c>
      <c r="D14" s="5">
        <v>-123000000</v>
      </c>
      <c r="E14" s="5">
        <v>-33000000</v>
      </c>
      <c r="F14" s="5">
        <v>-29000000</v>
      </c>
      <c r="G14" s="5">
        <v>-19000000</v>
      </c>
    </row>
    <row r="15" spans="1:256" s="4" customFormat="1">
      <c r="A15" s="6" t="s">
        <v>21</v>
      </c>
      <c r="B15" s="5">
        <v>1000000</v>
      </c>
      <c r="C15" s="5">
        <v>-2000000</v>
      </c>
      <c r="D15" s="5">
        <v>49000000</v>
      </c>
      <c r="E15" s="5">
        <v>-23000000</v>
      </c>
      <c r="F15" s="5">
        <v>-55000000</v>
      </c>
      <c r="G15" s="5">
        <v>-79000000</v>
      </c>
    </row>
    <row r="16" spans="1:256" s="4" customFormat="1">
      <c r="A16" s="6" t="s">
        <v>22</v>
      </c>
      <c r="B16" s="4" t="s">
        <v>8</v>
      </c>
      <c r="C16" s="4" t="s">
        <v>8</v>
      </c>
      <c r="D16" s="5">
        <v>100000000</v>
      </c>
      <c r="E16" s="5">
        <v>102000000</v>
      </c>
      <c r="F16" s="5">
        <v>16000000</v>
      </c>
      <c r="G16" s="5">
        <v>19000000</v>
      </c>
    </row>
    <row r="17" spans="1:7" s="4" customFormat="1">
      <c r="A17" s="6" t="s">
        <v>23</v>
      </c>
      <c r="B17" s="5">
        <v>-106000000</v>
      </c>
      <c r="C17" s="5">
        <v>438000000</v>
      </c>
      <c r="D17" s="5">
        <v>-2231000000</v>
      </c>
      <c r="E17" s="5">
        <v>-77000000</v>
      </c>
      <c r="F17" s="5">
        <v>-217000000</v>
      </c>
      <c r="G17" s="5">
        <v>-119000000</v>
      </c>
    </row>
    <row r="18" spans="1:7" s="4" customFormat="1">
      <c r="A18" s="6" t="s">
        <v>24</v>
      </c>
      <c r="B18" s="5">
        <v>-106000000</v>
      </c>
      <c r="C18" s="5">
        <v>-35000000</v>
      </c>
      <c r="D18" s="5">
        <v>-2231000000</v>
      </c>
      <c r="E18" s="5">
        <v>-77000000</v>
      </c>
      <c r="F18" s="5">
        <v>-217000000</v>
      </c>
      <c r="G18" s="5">
        <v>-119000000</v>
      </c>
    </row>
    <row r="19" spans="1:7" s="4" customFormat="1">
      <c r="A19" s="6" t="s">
        <v>25</v>
      </c>
      <c r="B19" s="5">
        <v>-51000000</v>
      </c>
      <c r="C19" s="5">
        <v>-37000000</v>
      </c>
      <c r="D19" s="5">
        <v>-38000000</v>
      </c>
      <c r="E19" s="5">
        <v>-84000000</v>
      </c>
      <c r="F19" s="5">
        <v>-116000000</v>
      </c>
      <c r="G19" s="5">
        <v>-119000000</v>
      </c>
    </row>
    <row r="20" spans="1:7" s="4" customFormat="1">
      <c r="A20" s="6" t="s">
        <v>26</v>
      </c>
      <c r="B20" s="5">
        <v>-55000000</v>
      </c>
      <c r="C20" s="5">
        <v>2000000</v>
      </c>
      <c r="D20" s="5">
        <v>-2193000000</v>
      </c>
      <c r="E20" s="5">
        <v>7000000</v>
      </c>
      <c r="F20" s="5">
        <v>-101000000</v>
      </c>
      <c r="G20" s="5">
        <v>0</v>
      </c>
    </row>
    <row r="21" spans="1:7" s="4" customFormat="1">
      <c r="A21" s="6" t="s">
        <v>27</v>
      </c>
      <c r="B21" s="4" t="s">
        <v>8</v>
      </c>
      <c r="C21" s="5">
        <v>162000000</v>
      </c>
      <c r="D21" s="5">
        <v>0</v>
      </c>
      <c r="E21" s="5">
        <v>0</v>
      </c>
      <c r="F21" s="4" t="s">
        <v>8</v>
      </c>
      <c r="G21" s="4" t="s">
        <v>8</v>
      </c>
    </row>
    <row r="22" spans="1:7" s="4" customFormat="1">
      <c r="A22" s="6" t="s">
        <v>28</v>
      </c>
      <c r="B22" s="4" t="s">
        <v>8</v>
      </c>
      <c r="C22" s="5">
        <v>311000000</v>
      </c>
      <c r="D22" s="5">
        <v>0</v>
      </c>
      <c r="E22" s="5">
        <v>0</v>
      </c>
      <c r="F22" s="4" t="s">
        <v>8</v>
      </c>
      <c r="G22" s="4" t="s">
        <v>8</v>
      </c>
    </row>
    <row r="23" spans="1:7" s="4" customFormat="1">
      <c r="A23" s="6" t="s">
        <v>29</v>
      </c>
      <c r="B23" s="5">
        <v>362000000</v>
      </c>
      <c r="C23" s="5">
        <v>13000000</v>
      </c>
      <c r="D23" s="5">
        <v>117000000</v>
      </c>
      <c r="E23" s="5">
        <v>66000000</v>
      </c>
      <c r="F23" s="5">
        <v>158000000</v>
      </c>
      <c r="G23" s="5">
        <v>274000000</v>
      </c>
    </row>
    <row r="24" spans="1:7" s="4" customFormat="1">
      <c r="A24" s="6" t="s">
        <v>30</v>
      </c>
      <c r="B24" s="5">
        <v>46000000</v>
      </c>
      <c r="C24" s="5">
        <v>44000000</v>
      </c>
      <c r="D24" s="4" t="s">
        <v>8</v>
      </c>
      <c r="E24" s="4" t="s">
        <v>8</v>
      </c>
      <c r="F24" s="4" t="s">
        <v>8</v>
      </c>
      <c r="G24" s="4" t="s">
        <v>8</v>
      </c>
    </row>
    <row r="25" spans="1:7" s="4" customFormat="1">
      <c r="A25" s="6" t="s">
        <v>31</v>
      </c>
      <c r="B25" s="5">
        <v>-372000000</v>
      </c>
      <c r="C25" s="5">
        <v>352000000</v>
      </c>
      <c r="D25" s="5">
        <v>308000000</v>
      </c>
      <c r="E25" s="5">
        <v>-1683000000</v>
      </c>
      <c r="F25" s="5">
        <v>-127000000</v>
      </c>
      <c r="G25" s="5">
        <v>369000000</v>
      </c>
    </row>
    <row r="26" spans="1:7" s="4" customFormat="1">
      <c r="A26" s="6" t="s">
        <v>32</v>
      </c>
      <c r="B26" s="5">
        <v>-182000000</v>
      </c>
      <c r="C26" s="5">
        <v>196000000</v>
      </c>
      <c r="D26" s="5">
        <v>-771000000</v>
      </c>
      <c r="E26" s="5">
        <v>-1599000000</v>
      </c>
      <c r="F26" s="5">
        <v>-3000000</v>
      </c>
      <c r="G26" s="5">
        <v>11000000</v>
      </c>
    </row>
    <row r="27" spans="1:7" s="4" customFormat="1">
      <c r="A27" s="6" t="s">
        <v>33</v>
      </c>
      <c r="B27" s="5">
        <v>-202000000</v>
      </c>
      <c r="C27" s="5">
        <v>-100000000</v>
      </c>
      <c r="D27" s="5">
        <v>-142000000</v>
      </c>
      <c r="E27" s="5">
        <v>-831000000</v>
      </c>
      <c r="F27" s="5">
        <v>-661000000</v>
      </c>
      <c r="G27" s="5">
        <v>208000000</v>
      </c>
    </row>
    <row r="28" spans="1:7" s="4" customFormat="1">
      <c r="A28" s="6" t="s">
        <v>34</v>
      </c>
      <c r="B28" s="5">
        <v>-202000000</v>
      </c>
      <c r="C28" s="5">
        <v>-100000000</v>
      </c>
      <c r="D28" s="5">
        <v>-142000000</v>
      </c>
      <c r="E28" s="5">
        <v>-831000000</v>
      </c>
      <c r="F28" s="5">
        <v>-661000000</v>
      </c>
      <c r="G28" s="5">
        <v>208000000</v>
      </c>
    </row>
    <row r="29" spans="1:7" s="4" customFormat="1">
      <c r="A29" s="6" t="s">
        <v>35</v>
      </c>
      <c r="B29" s="5">
        <v>54000000</v>
      </c>
      <c r="C29" s="5">
        <v>-105000000</v>
      </c>
      <c r="D29" s="5">
        <v>1113000000</v>
      </c>
      <c r="E29" s="5">
        <v>531000000</v>
      </c>
      <c r="F29" s="5">
        <v>148000000</v>
      </c>
      <c r="G29" s="5">
        <v>-67000000</v>
      </c>
    </row>
    <row r="30" spans="1:7" s="4" customFormat="1">
      <c r="A30" s="6" t="s">
        <v>36</v>
      </c>
      <c r="B30" s="5">
        <v>130000000</v>
      </c>
      <c r="C30" s="5">
        <v>-13000000</v>
      </c>
      <c r="D30" s="5">
        <v>659000000</v>
      </c>
      <c r="E30" s="5">
        <v>395000000</v>
      </c>
      <c r="F30" s="5">
        <v>-106000000</v>
      </c>
      <c r="G30" s="5">
        <v>10000000</v>
      </c>
    </row>
    <row r="31" spans="1:7" s="4" customFormat="1">
      <c r="A31" s="6" t="s">
        <v>37</v>
      </c>
      <c r="B31" s="5">
        <v>130000000</v>
      </c>
      <c r="C31" s="5">
        <v>-13000000</v>
      </c>
      <c r="D31" s="5">
        <v>659000000</v>
      </c>
      <c r="E31" s="5">
        <v>395000000</v>
      </c>
      <c r="F31" s="5">
        <v>-106000000</v>
      </c>
      <c r="G31" s="5">
        <v>10000000</v>
      </c>
    </row>
    <row r="32" spans="1:7" s="4" customFormat="1">
      <c r="A32" s="6" t="s">
        <v>38</v>
      </c>
      <c r="B32" s="5">
        <v>-76000000</v>
      </c>
      <c r="C32" s="5">
        <v>-92000000</v>
      </c>
      <c r="D32" s="5">
        <v>454000000</v>
      </c>
      <c r="E32" s="5">
        <v>136000000</v>
      </c>
      <c r="F32" s="5">
        <v>254000000</v>
      </c>
      <c r="G32" s="5">
        <v>-77000000</v>
      </c>
    </row>
    <row r="33" spans="1:7" s="4" customFormat="1">
      <c r="A33" s="6" t="s">
        <v>39</v>
      </c>
      <c r="B33" s="5">
        <v>-36000000</v>
      </c>
      <c r="C33" s="5">
        <v>243000000</v>
      </c>
      <c r="D33" s="5">
        <v>-48000000</v>
      </c>
      <c r="E33" s="5">
        <v>-70000000</v>
      </c>
      <c r="F33" s="5">
        <v>211000000</v>
      </c>
      <c r="G33" s="5">
        <v>61000000</v>
      </c>
    </row>
    <row r="34" spans="1:7" s="4" customFormat="1">
      <c r="A34" s="6" t="s">
        <v>40</v>
      </c>
      <c r="B34" s="5">
        <v>-6000000</v>
      </c>
      <c r="C34" s="5">
        <v>118000000</v>
      </c>
      <c r="D34" s="5">
        <v>156000000</v>
      </c>
      <c r="E34" s="5">
        <v>286000000</v>
      </c>
      <c r="F34" s="5">
        <v>178000000</v>
      </c>
      <c r="G34" s="5">
        <v>156000000</v>
      </c>
    </row>
    <row r="35" spans="1:7" s="4" customFormat="1">
      <c r="A35" s="6" t="s">
        <v>41</v>
      </c>
      <c r="B35" s="4" t="s">
        <v>8</v>
      </c>
      <c r="C35" s="4" t="s">
        <v>8</v>
      </c>
      <c r="D35" s="4" t="s">
        <v>8</v>
      </c>
      <c r="E35" s="4" t="s">
        <v>8</v>
      </c>
      <c r="F35" s="4" t="s">
        <v>8</v>
      </c>
      <c r="G35" s="4" t="s">
        <v>8</v>
      </c>
    </row>
    <row r="36" spans="1:7" s="4" customFormat="1">
      <c r="A36" s="6" t="s">
        <v>42</v>
      </c>
      <c r="B36" s="5">
        <v>426000000</v>
      </c>
      <c r="C36" s="5">
        <v>-182000000</v>
      </c>
      <c r="D36" s="5">
        <v>-8000000</v>
      </c>
      <c r="E36" s="5">
        <v>-47000000</v>
      </c>
      <c r="F36" s="5">
        <v>-11000000</v>
      </c>
      <c r="G36" s="4" t="s">
        <v>8</v>
      </c>
    </row>
    <row r="37" spans="1:7" s="4" customFormat="1">
      <c r="A37" s="6" t="s">
        <v>43</v>
      </c>
      <c r="B37" s="5">
        <v>-815000000</v>
      </c>
      <c r="C37" s="5">
        <v>6760000000</v>
      </c>
      <c r="D37" s="5">
        <v>2307000000</v>
      </c>
      <c r="E37" s="5">
        <v>981000000</v>
      </c>
      <c r="F37" s="5">
        <v>-1615000000</v>
      </c>
      <c r="G37" s="5">
        <v>-1311000000</v>
      </c>
    </row>
    <row r="38" spans="1:7" s="4" customFormat="1">
      <c r="A38" s="6" t="s">
        <v>44</v>
      </c>
      <c r="B38" s="5">
        <v>-651000000</v>
      </c>
      <c r="C38" s="5">
        <v>-2272000000</v>
      </c>
      <c r="D38" s="5">
        <v>2671000000</v>
      </c>
      <c r="E38" s="5">
        <v>1207000000</v>
      </c>
      <c r="F38" s="5">
        <v>-1592000000</v>
      </c>
      <c r="G38" s="5">
        <v>-1310000000</v>
      </c>
    </row>
    <row r="39" spans="1:7" s="4" customFormat="1">
      <c r="A39" s="6" t="s">
        <v>45</v>
      </c>
      <c r="B39" s="4" t="s">
        <v>8</v>
      </c>
      <c r="C39" s="4" t="s">
        <v>8</v>
      </c>
      <c r="D39" s="4" t="s">
        <v>8</v>
      </c>
      <c r="E39" s="5">
        <v>320000000</v>
      </c>
      <c r="F39" s="5">
        <v>3000000</v>
      </c>
      <c r="G39" s="5">
        <v>-15000000</v>
      </c>
    </row>
    <row r="40" spans="1:7" s="4" customFormat="1">
      <c r="A40" s="6" t="s">
        <v>46</v>
      </c>
      <c r="B40" s="5">
        <v>-680000000</v>
      </c>
      <c r="C40" s="5">
        <v>-580000000</v>
      </c>
      <c r="D40" s="5">
        <v>-727000000</v>
      </c>
      <c r="E40" s="5">
        <v>-635000000</v>
      </c>
      <c r="F40" s="5">
        <v>-623000000</v>
      </c>
      <c r="G40" s="5">
        <v>-680000000</v>
      </c>
    </row>
    <row r="41" spans="1:7" s="4" customFormat="1">
      <c r="A41" s="6" t="s">
        <v>47</v>
      </c>
      <c r="B41" s="5">
        <v>-762000000</v>
      </c>
      <c r="C41" s="5">
        <v>-694000000</v>
      </c>
      <c r="D41" s="5">
        <v>-820000000</v>
      </c>
      <c r="E41" s="5">
        <v>-762000000</v>
      </c>
      <c r="F41" s="5">
        <v>-770000000</v>
      </c>
      <c r="G41" s="5">
        <v>-826000000</v>
      </c>
    </row>
    <row r="42" spans="1:7" s="4" customFormat="1">
      <c r="A42" s="6" t="s">
        <v>48</v>
      </c>
      <c r="B42" s="5">
        <v>82000000</v>
      </c>
      <c r="C42" s="5">
        <v>114000000</v>
      </c>
      <c r="D42" s="5">
        <v>93000000</v>
      </c>
      <c r="E42" s="5">
        <v>127000000</v>
      </c>
      <c r="F42" s="5">
        <v>147000000</v>
      </c>
      <c r="G42" s="5">
        <v>146000000</v>
      </c>
    </row>
    <row r="43" spans="1:7" s="4" customFormat="1">
      <c r="A43" s="6" t="s">
        <v>49</v>
      </c>
      <c r="B43" s="5">
        <v>47000000</v>
      </c>
      <c r="C43" s="5">
        <v>-257000000</v>
      </c>
      <c r="D43" s="5">
        <v>2717000000</v>
      </c>
      <c r="E43" s="5">
        <v>1253000000</v>
      </c>
      <c r="F43" s="5">
        <v>328000000</v>
      </c>
      <c r="G43" s="5">
        <v>-374000000</v>
      </c>
    </row>
    <row r="44" spans="1:7" s="4" customFormat="1">
      <c r="A44" s="6" t="s">
        <v>50</v>
      </c>
      <c r="B44" s="5">
        <v>-22000000</v>
      </c>
      <c r="C44" s="5">
        <v>-257000000</v>
      </c>
      <c r="D44" s="5">
        <v>-241000000</v>
      </c>
      <c r="E44" s="5">
        <v>-288000000</v>
      </c>
      <c r="F44" s="5">
        <v>-225000000</v>
      </c>
      <c r="G44" s="5">
        <v>-375000000</v>
      </c>
    </row>
    <row r="45" spans="1:7" s="4" customFormat="1">
      <c r="A45" s="6" t="s">
        <v>51</v>
      </c>
      <c r="B45" s="5">
        <v>69000000</v>
      </c>
      <c r="C45" s="4" t="s">
        <v>8</v>
      </c>
      <c r="D45" s="5">
        <v>2958000000</v>
      </c>
      <c r="E45" s="5">
        <v>1541000000</v>
      </c>
      <c r="F45" s="5">
        <v>553000000</v>
      </c>
      <c r="G45" s="4" t="s">
        <v>8</v>
      </c>
    </row>
    <row r="46" spans="1:7" s="4" customFormat="1">
      <c r="A46" s="6" t="s">
        <v>52</v>
      </c>
      <c r="B46" s="5">
        <v>81000000</v>
      </c>
      <c r="C46" s="5">
        <v>-1581000000</v>
      </c>
      <c r="D46" s="5">
        <v>704000000</v>
      </c>
      <c r="E46" s="5">
        <v>283000000</v>
      </c>
      <c r="F46" s="5">
        <v>-1307000000</v>
      </c>
      <c r="G46" s="5">
        <v>-237000000</v>
      </c>
    </row>
    <row r="47" spans="1:7" s="4" customFormat="1">
      <c r="A47" s="6" t="s">
        <v>53</v>
      </c>
      <c r="B47" s="5">
        <v>-748000000</v>
      </c>
      <c r="C47" s="5">
        <v>-5933000000</v>
      </c>
      <c r="D47" s="5">
        <v>-1649000000</v>
      </c>
      <c r="E47" s="5">
        <v>-487000000</v>
      </c>
      <c r="F47" s="5">
        <v>-2066000000</v>
      </c>
      <c r="G47" s="5">
        <v>-2098000000</v>
      </c>
    </row>
    <row r="48" spans="1:7" s="4" customFormat="1">
      <c r="A48" s="6" t="s">
        <v>54</v>
      </c>
      <c r="B48" s="5">
        <v>829000000</v>
      </c>
      <c r="C48" s="5">
        <v>4352000000</v>
      </c>
      <c r="D48" s="5">
        <v>2353000000</v>
      </c>
      <c r="E48" s="5">
        <v>770000000</v>
      </c>
      <c r="F48" s="5">
        <v>759000000</v>
      </c>
      <c r="G48" s="5">
        <v>1861000000</v>
      </c>
    </row>
    <row r="49" spans="1:7" s="4" customFormat="1">
      <c r="A49" s="6" t="s">
        <v>55</v>
      </c>
      <c r="B49" s="5">
        <v>-99000000</v>
      </c>
      <c r="C49" s="5">
        <v>146000000</v>
      </c>
      <c r="D49" s="5">
        <v>-23000000</v>
      </c>
      <c r="E49" s="5">
        <v>-14000000</v>
      </c>
      <c r="F49" s="5">
        <v>7000000</v>
      </c>
      <c r="G49" s="5">
        <v>-4000000</v>
      </c>
    </row>
    <row r="50" spans="1:7" s="4" customFormat="1">
      <c r="A50" s="6" t="s">
        <v>56</v>
      </c>
      <c r="B50" s="5">
        <v>-164000000</v>
      </c>
      <c r="C50" s="5">
        <v>9032000000</v>
      </c>
      <c r="D50" s="5">
        <v>-364000000</v>
      </c>
      <c r="E50" s="5">
        <v>-226000000</v>
      </c>
      <c r="F50" s="5">
        <v>-23000000</v>
      </c>
      <c r="G50" s="4" t="s">
        <v>8</v>
      </c>
    </row>
    <row r="51" spans="1:7" s="4" customFormat="1">
      <c r="A51" s="6" t="s">
        <v>57</v>
      </c>
      <c r="B51" s="5">
        <v>-1383000000</v>
      </c>
      <c r="C51" s="5">
        <v>-8175000000</v>
      </c>
      <c r="D51" s="5">
        <v>-4968000000</v>
      </c>
      <c r="E51" s="5">
        <v>-2394000000</v>
      </c>
      <c r="F51" s="5">
        <v>-2897000000</v>
      </c>
      <c r="G51" s="5">
        <v>-4253000000</v>
      </c>
    </row>
    <row r="52" spans="1:7" s="4" customFormat="1">
      <c r="A52" s="6" t="s">
        <v>58</v>
      </c>
      <c r="B52" s="5">
        <v>-1328000000</v>
      </c>
      <c r="C52" s="5">
        <v>-8206000000</v>
      </c>
      <c r="D52" s="5">
        <v>-4968000000</v>
      </c>
      <c r="E52" s="5">
        <v>-2394000000</v>
      </c>
      <c r="F52" s="5">
        <v>-2897000000</v>
      </c>
      <c r="G52" s="5">
        <v>-4253000000</v>
      </c>
    </row>
    <row r="53" spans="1:7" s="4" customFormat="1">
      <c r="A53" s="6" t="s">
        <v>59</v>
      </c>
      <c r="B53" s="5">
        <v>10000000</v>
      </c>
      <c r="C53" s="5">
        <v>-2636000000</v>
      </c>
      <c r="D53" s="5">
        <v>-2882000000</v>
      </c>
      <c r="E53" s="5">
        <v>-2943000000</v>
      </c>
      <c r="F53" s="5">
        <v>-1104000000</v>
      </c>
      <c r="G53" s="5">
        <v>-1080000000</v>
      </c>
    </row>
    <row r="54" spans="1:7" s="4" customFormat="1">
      <c r="A54" s="6" t="s">
        <v>60</v>
      </c>
      <c r="B54" s="5">
        <v>10000000</v>
      </c>
      <c r="C54" s="5">
        <v>412000000</v>
      </c>
      <c r="D54" s="5">
        <v>826000000</v>
      </c>
      <c r="E54" s="5">
        <v>610000000</v>
      </c>
      <c r="F54" s="5">
        <v>154000000</v>
      </c>
      <c r="G54" s="5">
        <v>112000000</v>
      </c>
    </row>
    <row r="55" spans="1:7" s="4" customFormat="1">
      <c r="A55" s="6" t="s">
        <v>61</v>
      </c>
      <c r="B55" s="5">
        <v>0</v>
      </c>
      <c r="C55" s="5">
        <v>-3048000000</v>
      </c>
      <c r="D55" s="5">
        <v>-3708000000</v>
      </c>
      <c r="E55" s="5">
        <v>-3553000000</v>
      </c>
      <c r="F55" s="5">
        <v>-1258000000</v>
      </c>
      <c r="G55" s="5">
        <v>-1192000000</v>
      </c>
    </row>
    <row r="56" spans="1:7" s="4" customFormat="1">
      <c r="A56" s="6" t="s">
        <v>62</v>
      </c>
      <c r="B56" s="5">
        <v>414000000</v>
      </c>
      <c r="C56" s="5">
        <v>-3703000000</v>
      </c>
      <c r="D56" s="5">
        <v>-221000000</v>
      </c>
      <c r="E56" s="5">
        <v>2512000000</v>
      </c>
      <c r="F56" s="5">
        <v>-346000000</v>
      </c>
      <c r="G56" s="5">
        <v>-1626000000</v>
      </c>
    </row>
    <row r="57" spans="1:7" s="4" customFormat="1">
      <c r="A57" s="6" t="s">
        <v>63</v>
      </c>
      <c r="B57" s="5">
        <v>164000000</v>
      </c>
      <c r="C57" s="5">
        <v>-587000000</v>
      </c>
      <c r="D57" s="5">
        <v>-83000000</v>
      </c>
      <c r="E57" s="5">
        <v>1366000000</v>
      </c>
      <c r="F57" s="5">
        <v>-1365000000</v>
      </c>
      <c r="G57" s="5">
        <v>-375000000</v>
      </c>
    </row>
    <row r="58" spans="1:7" s="4" customFormat="1">
      <c r="A58" s="6" t="s">
        <v>64</v>
      </c>
      <c r="B58" s="5">
        <v>250000000</v>
      </c>
      <c r="C58" s="5">
        <v>-3116000000</v>
      </c>
      <c r="D58" s="5">
        <v>-138000000</v>
      </c>
      <c r="E58" s="5">
        <v>1146000000</v>
      </c>
      <c r="F58" s="5">
        <v>1019000000</v>
      </c>
      <c r="G58" s="5">
        <v>-1251000000</v>
      </c>
    </row>
    <row r="59" spans="1:7" s="4" customFormat="1">
      <c r="A59" s="6" t="s">
        <v>65</v>
      </c>
      <c r="B59" s="5">
        <v>2406000000</v>
      </c>
      <c r="C59" s="5">
        <v>343000000</v>
      </c>
      <c r="D59" s="5">
        <v>1400000000</v>
      </c>
      <c r="E59" s="5">
        <v>3849000000</v>
      </c>
      <c r="F59" s="5">
        <v>2586000000</v>
      </c>
      <c r="G59" s="5">
        <v>1366000000</v>
      </c>
    </row>
    <row r="60" spans="1:7" s="4" customFormat="1">
      <c r="A60" s="6" t="s">
        <v>66</v>
      </c>
      <c r="B60" s="5">
        <v>-2156000000</v>
      </c>
      <c r="C60" s="5">
        <v>-3459000000</v>
      </c>
      <c r="D60" s="5">
        <v>-1538000000</v>
      </c>
      <c r="E60" s="5">
        <v>-2703000000</v>
      </c>
      <c r="F60" s="5">
        <v>-1567000000</v>
      </c>
      <c r="G60" s="5">
        <v>-2617000000</v>
      </c>
    </row>
    <row r="61" spans="1:7" s="4" customFormat="1">
      <c r="A61" s="6" t="s">
        <v>67</v>
      </c>
      <c r="B61" s="4" t="s">
        <v>8</v>
      </c>
      <c r="C61" s="4" t="s">
        <v>8</v>
      </c>
      <c r="D61" s="4" t="s">
        <v>8</v>
      </c>
      <c r="E61" s="4" t="s">
        <v>8</v>
      </c>
      <c r="F61" s="5">
        <v>328000000</v>
      </c>
      <c r="G61" s="4" t="s">
        <v>8</v>
      </c>
    </row>
    <row r="62" spans="1:7" s="4" customFormat="1">
      <c r="A62" s="6" t="s">
        <v>68</v>
      </c>
      <c r="B62" s="5">
        <v>-1675000000</v>
      </c>
      <c r="C62" s="5">
        <v>-1736000000</v>
      </c>
      <c r="D62" s="5">
        <v>-1726000000</v>
      </c>
      <c r="E62" s="5">
        <v>-1698000000</v>
      </c>
      <c r="F62" s="5">
        <v>-1713000000</v>
      </c>
      <c r="G62" s="5">
        <v>-1769000000</v>
      </c>
    </row>
    <row r="63" spans="1:7" s="4" customFormat="1">
      <c r="A63" s="6" t="s">
        <v>69</v>
      </c>
      <c r="B63" s="5">
        <v>-1675000000</v>
      </c>
      <c r="C63" s="5">
        <v>-1736000000</v>
      </c>
      <c r="D63" s="5">
        <v>-1726000000</v>
      </c>
      <c r="E63" s="5">
        <v>-1698000000</v>
      </c>
      <c r="F63" s="5">
        <v>-1713000000</v>
      </c>
      <c r="G63" s="5">
        <v>-1769000000</v>
      </c>
    </row>
    <row r="64" spans="1:7" s="4" customFormat="1">
      <c r="A64" s="6" t="s">
        <v>70</v>
      </c>
      <c r="B64" s="5">
        <v>-1675000000</v>
      </c>
      <c r="C64" s="5">
        <v>-1736000000</v>
      </c>
      <c r="D64" s="4" t="s">
        <v>8</v>
      </c>
      <c r="E64" s="5">
        <v>-1698000000</v>
      </c>
      <c r="F64" s="5">
        <v>-1713000000</v>
      </c>
      <c r="G64" s="4" t="s">
        <v>8</v>
      </c>
    </row>
    <row r="65" spans="1:7" s="4" customFormat="1">
      <c r="A65" s="6" t="s">
        <v>71</v>
      </c>
      <c r="B65" s="5">
        <v>-90000000</v>
      </c>
      <c r="C65" s="5">
        <v>-82000000</v>
      </c>
      <c r="D65" s="5">
        <v>-98000000</v>
      </c>
      <c r="E65" s="5">
        <v>-99000000</v>
      </c>
      <c r="F65" s="5">
        <v>-93000000</v>
      </c>
      <c r="G65" s="5">
        <v>-107000000</v>
      </c>
    </row>
    <row r="66" spans="1:7" s="4" customFormat="1">
      <c r="A66" s="6" t="s">
        <v>72</v>
      </c>
      <c r="B66" s="5">
        <v>13000000</v>
      </c>
      <c r="C66" s="5">
        <v>-49000000</v>
      </c>
      <c r="D66" s="5">
        <v>-41000000</v>
      </c>
      <c r="E66" s="5">
        <v>-166000000</v>
      </c>
      <c r="F66" s="5">
        <v>31000000</v>
      </c>
      <c r="G66" s="5">
        <v>1000000</v>
      </c>
    </row>
    <row r="67" spans="1:7" s="4" customFormat="1">
      <c r="A67" s="6" t="s">
        <v>73</v>
      </c>
      <c r="B67" s="5">
        <v>-55000000</v>
      </c>
      <c r="C67" s="5">
        <v>31000000</v>
      </c>
      <c r="D67" s="5">
        <v>0</v>
      </c>
      <c r="E67" s="5">
        <v>0</v>
      </c>
      <c r="F67" s="5">
        <v>0</v>
      </c>
      <c r="G67" s="4" t="s">
        <v>8</v>
      </c>
    </row>
    <row r="68" spans="1:7" s="4" customFormat="1">
      <c r="A68" s="6" t="s">
        <v>74</v>
      </c>
      <c r="B68" s="5">
        <v>3544000000</v>
      </c>
      <c r="C68" s="5">
        <v>3901000000</v>
      </c>
      <c r="D68" s="5">
        <v>4489000000</v>
      </c>
      <c r="E68" s="5">
        <v>4174000000</v>
      </c>
      <c r="F68" s="5">
        <v>3909000000</v>
      </c>
      <c r="G68" s="5">
        <v>3283000000</v>
      </c>
    </row>
    <row r="69" spans="1:7" s="4" customFormat="1">
      <c r="A69" s="6" t="s">
        <v>75</v>
      </c>
      <c r="B69" s="5">
        <v>127000000</v>
      </c>
      <c r="C69" s="5">
        <v>278000000</v>
      </c>
      <c r="D69" s="5">
        <v>669000000</v>
      </c>
      <c r="E69" s="5">
        <v>-126000000</v>
      </c>
      <c r="F69" s="5">
        <v>-222000000</v>
      </c>
      <c r="G69" s="5">
        <v>-529000000</v>
      </c>
    </row>
    <row r="70" spans="1:7" s="4" customFormat="1">
      <c r="A70" s="6" t="s">
        <v>76</v>
      </c>
      <c r="B70" s="5">
        <v>-28000000</v>
      </c>
      <c r="C70" s="5">
        <v>79000000</v>
      </c>
      <c r="D70" s="5">
        <v>-81000000</v>
      </c>
      <c r="E70" s="5">
        <v>-189000000</v>
      </c>
      <c r="F70" s="5">
        <v>-43000000</v>
      </c>
      <c r="G70" s="5">
        <v>-75000000</v>
      </c>
    </row>
    <row r="71" spans="1:7" s="4" customFormat="1">
      <c r="A71" s="6" t="s">
        <v>77</v>
      </c>
      <c r="B71" s="5">
        <v>3445000000</v>
      </c>
      <c r="C71" s="5">
        <v>3544000000</v>
      </c>
      <c r="D71" s="5">
        <v>3901000000</v>
      </c>
      <c r="E71" s="5">
        <v>4489000000</v>
      </c>
      <c r="F71" s="5">
        <v>4174000000</v>
      </c>
      <c r="G71" s="5">
        <v>3887000000</v>
      </c>
    </row>
    <row r="72" spans="1:7" s="4" customFormat="1">
      <c r="A72" s="6" t="s">
        <v>78</v>
      </c>
      <c r="B72" s="4" t="s">
        <v>8</v>
      </c>
      <c r="C72" s="4" t="s">
        <v>8</v>
      </c>
      <c r="D72" s="4" t="s">
        <v>8</v>
      </c>
      <c r="E72" s="4" t="s">
        <v>8</v>
      </c>
      <c r="F72" s="4" t="s">
        <v>8</v>
      </c>
      <c r="G72" s="4" t="s">
        <v>8</v>
      </c>
    </row>
    <row r="73" spans="1:7" s="4" customFormat="1">
      <c r="A73" s="6" t="s">
        <v>79</v>
      </c>
      <c r="B73" s="5">
        <v>99000000</v>
      </c>
      <c r="C73" s="5">
        <v>357000000</v>
      </c>
      <c r="D73" s="5">
        <v>588000000</v>
      </c>
      <c r="E73" s="5">
        <v>-315000000</v>
      </c>
      <c r="F73" s="5">
        <v>-265000000</v>
      </c>
      <c r="G73" s="5">
        <v>-604000000</v>
      </c>
    </row>
    <row r="74" spans="1:7" s="4" customFormat="1">
      <c r="A74" s="6" t="s">
        <v>80</v>
      </c>
      <c r="B74" s="5">
        <v>-1005000000</v>
      </c>
      <c r="C74" s="5">
        <v>-905000000</v>
      </c>
      <c r="D74" s="5">
        <v>-1292000000</v>
      </c>
      <c r="E74" s="5">
        <v>-1188000000</v>
      </c>
      <c r="F74" s="5">
        <v>-1147000000</v>
      </c>
      <c r="G74" s="5">
        <v>-1234000000</v>
      </c>
    </row>
    <row r="75" spans="1:7" s="4" customFormat="1">
      <c r="A75" s="6" t="s">
        <v>81</v>
      </c>
      <c r="B75" s="5">
        <v>-284000000</v>
      </c>
      <c r="C75" s="5">
        <v>-189000000</v>
      </c>
      <c r="D75" s="5">
        <v>-132000000</v>
      </c>
      <c r="E75" s="5">
        <v>-90000000</v>
      </c>
      <c r="F75" s="5">
        <v>-250000000</v>
      </c>
      <c r="G75" s="5">
        <v>-300000000</v>
      </c>
    </row>
    <row r="76" spans="1:7" s="4" customFormat="1">
      <c r="A76" s="6" t="s">
        <v>82</v>
      </c>
    </row>
    <row r="77" spans="1:7" s="4" customFormat="1"/>
    <row r="78" spans="1:7" s="4" customFormat="1"/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6"/>
  <sheetViews>
    <sheetView workbookViewId="0">
      <selection sqref="A1:XFD1"/>
    </sheetView>
  </sheetViews>
  <sheetFormatPr defaultRowHeight="12.75"/>
  <cols>
    <col min="1" max="1" width="59.5703125" style="139" customWidth="1"/>
    <col min="2" max="2" width="16.85546875" customWidth="1"/>
    <col min="3" max="3" width="16.28515625" customWidth="1"/>
    <col min="4" max="4" width="16.5703125" customWidth="1"/>
    <col min="5" max="5" width="13.140625" customWidth="1"/>
    <col min="6" max="6" width="17.140625" customWidth="1"/>
  </cols>
  <sheetData>
    <row r="1" spans="1:6">
      <c r="A1" s="138" t="s">
        <v>83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39" t="s">
        <v>84</v>
      </c>
      <c r="B2" s="7">
        <v>46108000000</v>
      </c>
      <c r="C2" s="7">
        <v>41088000000</v>
      </c>
      <c r="D2" s="7">
        <v>40260000000</v>
      </c>
      <c r="E2" s="7">
        <v>39148000000</v>
      </c>
      <c r="F2" s="7">
        <v>40940000000</v>
      </c>
    </row>
    <row r="3" spans="1:6">
      <c r="A3" s="139" t="s">
        <v>85</v>
      </c>
      <c r="B3" s="7">
        <v>26458000000</v>
      </c>
      <c r="C3" s="7">
        <v>19226000000</v>
      </c>
      <c r="D3" s="7">
        <v>18695000000</v>
      </c>
      <c r="E3" s="7">
        <v>19570000000</v>
      </c>
      <c r="F3" s="7">
        <v>21277000000</v>
      </c>
    </row>
    <row r="4" spans="1:6">
      <c r="A4" s="139" t="s">
        <v>86</v>
      </c>
      <c r="B4" s="7">
        <v>4110000000</v>
      </c>
      <c r="C4" s="7">
        <v>5386000000</v>
      </c>
      <c r="D4" s="7">
        <v>5329000000</v>
      </c>
      <c r="E4" s="7">
        <v>4881000000</v>
      </c>
      <c r="F4" s="7">
        <v>5819000000</v>
      </c>
    </row>
    <row r="5" spans="1:6">
      <c r="A5" s="139" t="s">
        <v>87</v>
      </c>
      <c r="B5" s="7">
        <v>3544000000</v>
      </c>
      <c r="C5" s="7">
        <v>3278000000</v>
      </c>
      <c r="D5" s="7">
        <v>4159000000</v>
      </c>
      <c r="E5" s="7">
        <v>4156000000</v>
      </c>
      <c r="F5" s="7">
        <v>3891000000</v>
      </c>
    </row>
    <row r="6" spans="1:6">
      <c r="B6" s="7">
        <v>2111000000</v>
      </c>
      <c r="C6" t="s">
        <v>8</v>
      </c>
      <c r="D6" t="s">
        <v>8</v>
      </c>
      <c r="E6" t="s">
        <v>8</v>
      </c>
      <c r="F6" t="s">
        <v>8</v>
      </c>
    </row>
    <row r="7" spans="1:6">
      <c r="A7" s="139" t="s">
        <v>88</v>
      </c>
      <c r="B7" s="7">
        <v>1433000000</v>
      </c>
      <c r="C7" t="s">
        <v>8</v>
      </c>
      <c r="D7" t="s">
        <v>8</v>
      </c>
      <c r="E7" t="s">
        <v>8</v>
      </c>
      <c r="F7" t="s">
        <v>8</v>
      </c>
    </row>
    <row r="8" spans="1:6">
      <c r="A8" s="139" t="s">
        <v>89</v>
      </c>
      <c r="B8" s="7">
        <v>566000000</v>
      </c>
      <c r="C8" s="7">
        <v>2108000000</v>
      </c>
      <c r="D8" s="7">
        <v>1170000000</v>
      </c>
      <c r="E8" s="7">
        <v>725000000</v>
      </c>
      <c r="F8" s="7">
        <v>1928000000</v>
      </c>
    </row>
    <row r="9" spans="1:6">
      <c r="A9" s="139" t="s">
        <v>90</v>
      </c>
      <c r="B9" t="s">
        <v>8</v>
      </c>
      <c r="C9" t="s">
        <v>8</v>
      </c>
      <c r="D9" t="s">
        <v>8</v>
      </c>
      <c r="E9" s="7">
        <v>370000000</v>
      </c>
      <c r="F9" s="7">
        <v>183000000</v>
      </c>
    </row>
    <row r="10" spans="1:6">
      <c r="A10" s="139" t="s">
        <v>91</v>
      </c>
      <c r="B10" t="s">
        <v>8</v>
      </c>
      <c r="C10" t="s">
        <v>8</v>
      </c>
      <c r="D10" t="s">
        <v>8</v>
      </c>
      <c r="E10" s="7">
        <v>355000000</v>
      </c>
      <c r="F10" s="7">
        <v>1745000000</v>
      </c>
    </row>
    <row r="11" spans="1:6">
      <c r="A11" s="139" t="s">
        <v>92</v>
      </c>
      <c r="B11" t="s">
        <v>8</v>
      </c>
      <c r="C11" s="7">
        <v>323000000</v>
      </c>
      <c r="D11" s="7">
        <v>30000000</v>
      </c>
      <c r="E11" s="7">
        <v>18000000</v>
      </c>
      <c r="F11" s="7">
        <v>18000000</v>
      </c>
    </row>
    <row r="12" spans="1:6">
      <c r="A12" s="139" t="s">
        <v>93</v>
      </c>
      <c r="B12" s="7">
        <v>4184000000</v>
      </c>
      <c r="C12" s="7">
        <v>4469000000</v>
      </c>
      <c r="D12" s="7">
        <v>4880000000</v>
      </c>
      <c r="E12" s="7">
        <v>6028000000</v>
      </c>
      <c r="F12" s="7">
        <v>6149000000</v>
      </c>
    </row>
    <row r="13" spans="1:6">
      <c r="A13" s="139" t="s">
        <v>94</v>
      </c>
      <c r="B13" s="7">
        <v>1866000000</v>
      </c>
      <c r="C13" s="7">
        <v>1950000000</v>
      </c>
      <c r="D13" s="7">
        <v>2291000000</v>
      </c>
      <c r="E13" s="7">
        <v>2803000000</v>
      </c>
      <c r="F13" s="7">
        <v>2773000000</v>
      </c>
    </row>
    <row r="14" spans="1:6">
      <c r="A14" s="139" t="s">
        <v>95</v>
      </c>
      <c r="B14" s="7">
        <v>819000000</v>
      </c>
      <c r="C14" s="7">
        <v>1020000000</v>
      </c>
      <c r="D14" s="7">
        <v>995000000</v>
      </c>
      <c r="E14" s="7">
        <v>1189000000</v>
      </c>
      <c r="F14" s="7">
        <v>1284000000</v>
      </c>
    </row>
    <row r="15" spans="1:6">
      <c r="A15" s="139" t="s">
        <v>96</v>
      </c>
      <c r="B15" s="7">
        <v>1499000000</v>
      </c>
      <c r="C15" s="7">
        <v>1499000000</v>
      </c>
      <c r="D15" s="7">
        <v>1594000000</v>
      </c>
      <c r="E15" s="7">
        <v>2036000000</v>
      </c>
      <c r="F15" s="7">
        <v>2092000000</v>
      </c>
    </row>
    <row r="16" spans="1:6">
      <c r="A16" s="139" t="s">
        <v>97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</row>
    <row r="17" spans="1:6">
      <c r="A17" s="139" t="s">
        <v>98</v>
      </c>
      <c r="B17" s="7">
        <v>7459000000</v>
      </c>
      <c r="C17" s="7">
        <v>7805000000</v>
      </c>
      <c r="D17" s="7">
        <v>7541000000</v>
      </c>
      <c r="E17" s="7">
        <v>7812000000</v>
      </c>
      <c r="F17" s="7">
        <v>8536000000</v>
      </c>
    </row>
    <row r="18" spans="1:6">
      <c r="A18" s="139" t="s">
        <v>99</v>
      </c>
      <c r="B18" s="7">
        <v>5967000000</v>
      </c>
      <c r="C18" s="7">
        <v>6417000000</v>
      </c>
      <c r="D18" s="7">
        <v>6206000000</v>
      </c>
      <c r="E18" s="7">
        <v>6478000000</v>
      </c>
      <c r="F18" s="7">
        <v>7107000000</v>
      </c>
    </row>
    <row r="19" spans="1:6">
      <c r="A19" s="139" t="s">
        <v>100</v>
      </c>
      <c r="B19" s="7">
        <v>1025000000</v>
      </c>
      <c r="C19" s="7">
        <v>985000000</v>
      </c>
      <c r="D19" s="7">
        <v>990000000</v>
      </c>
      <c r="E19" s="7">
        <v>954000000</v>
      </c>
      <c r="F19" s="7">
        <v>1090000000</v>
      </c>
    </row>
    <row r="20" spans="1:6">
      <c r="A20" s="139" t="s">
        <v>101</v>
      </c>
      <c r="B20" s="7">
        <v>695000000</v>
      </c>
      <c r="C20" s="7">
        <v>760000000</v>
      </c>
      <c r="D20" s="7">
        <v>684000000</v>
      </c>
      <c r="E20" s="7">
        <v>688000000</v>
      </c>
      <c r="F20" s="7">
        <v>646000000</v>
      </c>
    </row>
    <row r="21" spans="1:6">
      <c r="A21" s="139" t="s">
        <v>102</v>
      </c>
      <c r="B21" s="7">
        <v>-228000000</v>
      </c>
      <c r="C21" s="7">
        <v>-357000000</v>
      </c>
      <c r="D21" s="7">
        <v>-339000000</v>
      </c>
      <c r="E21" s="7">
        <v>-308000000</v>
      </c>
      <c r="F21" s="7">
        <v>-307000000</v>
      </c>
    </row>
    <row r="22" spans="1:6">
      <c r="A22" s="139" t="s">
        <v>103</v>
      </c>
      <c r="B22" s="7">
        <v>191000000</v>
      </c>
      <c r="C22" s="7">
        <v>201000000</v>
      </c>
      <c r="D22" s="7">
        <v>206000000</v>
      </c>
      <c r="E22" s="7">
        <v>230000000</v>
      </c>
      <c r="F22" s="7">
        <v>235000000</v>
      </c>
    </row>
    <row r="23" spans="1:6">
      <c r="A23" s="139" t="s">
        <v>104</v>
      </c>
      <c r="B23" s="7">
        <v>674000000</v>
      </c>
      <c r="C23" s="7">
        <v>760000000</v>
      </c>
      <c r="D23" s="7">
        <v>573000000</v>
      </c>
      <c r="E23" s="7">
        <v>505000000</v>
      </c>
      <c r="F23" s="7">
        <v>520000000</v>
      </c>
    </row>
    <row r="24" spans="1:6">
      <c r="A24" s="139" t="s">
        <v>105</v>
      </c>
      <c r="B24" s="7">
        <v>9840000000</v>
      </c>
      <c r="C24" s="7">
        <v>282000000</v>
      </c>
      <c r="D24" s="7">
        <v>136000000</v>
      </c>
      <c r="E24" s="7">
        <v>96000000</v>
      </c>
      <c r="F24" t="s">
        <v>8</v>
      </c>
    </row>
    <row r="25" spans="1:6">
      <c r="A25" s="139" t="s">
        <v>106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</row>
    <row r="26" spans="1:6">
      <c r="A26" s="139" t="s">
        <v>107</v>
      </c>
      <c r="B26" s="7">
        <v>19650000000</v>
      </c>
      <c r="C26" s="7">
        <v>21862000000</v>
      </c>
      <c r="D26" s="7">
        <v>21565000000</v>
      </c>
      <c r="E26" s="7">
        <v>19578000000</v>
      </c>
      <c r="F26" s="7">
        <v>19663000000</v>
      </c>
    </row>
    <row r="27" spans="1:6">
      <c r="A27" s="139" t="s">
        <v>108</v>
      </c>
      <c r="B27" s="7">
        <v>4966000000</v>
      </c>
      <c r="C27" s="7">
        <v>5143000000</v>
      </c>
      <c r="D27" s="7">
        <v>4940000000</v>
      </c>
      <c r="E27" s="7">
        <v>4752000000</v>
      </c>
      <c r="F27" s="7">
        <v>5035000000</v>
      </c>
    </row>
    <row r="28" spans="1:6">
      <c r="A28" s="139" t="s">
        <v>109</v>
      </c>
      <c r="B28" s="7">
        <v>10682000000</v>
      </c>
      <c r="C28" s="7">
        <v>11507000000</v>
      </c>
      <c r="D28" s="7">
        <v>11127000000</v>
      </c>
      <c r="E28" s="7">
        <v>10544000000</v>
      </c>
      <c r="F28" s="7">
        <v>11271000000</v>
      </c>
    </row>
    <row r="29" spans="1:6">
      <c r="A29" s="139" t="s">
        <v>110</v>
      </c>
      <c r="B29" s="7">
        <v>3568000000</v>
      </c>
      <c r="C29" s="7">
        <v>3889000000</v>
      </c>
      <c r="D29" s="7">
        <v>3925000000</v>
      </c>
      <c r="E29" s="7">
        <v>3622000000</v>
      </c>
      <c r="F29" s="7">
        <v>3818000000</v>
      </c>
    </row>
    <row r="30" spans="1:6">
      <c r="A30" s="139" t="s">
        <v>111</v>
      </c>
      <c r="B30" s="7">
        <v>5620000000</v>
      </c>
      <c r="C30" s="7">
        <v>6144000000</v>
      </c>
      <c r="D30" s="7">
        <v>5785000000</v>
      </c>
      <c r="E30" s="7">
        <v>5495000000</v>
      </c>
      <c r="F30" s="7">
        <v>5847000000</v>
      </c>
    </row>
    <row r="31" spans="1:6">
      <c r="A31" s="139" t="s">
        <v>112</v>
      </c>
      <c r="B31" s="7">
        <v>500000000</v>
      </c>
      <c r="C31" s="7">
        <v>505000000</v>
      </c>
      <c r="D31" s="7">
        <v>522000000</v>
      </c>
      <c r="E31" s="7">
        <v>586000000</v>
      </c>
      <c r="F31" s="7">
        <v>713000000</v>
      </c>
    </row>
    <row r="32" spans="1:6">
      <c r="A32" s="139" t="s">
        <v>113</v>
      </c>
      <c r="B32" s="7">
        <v>994000000</v>
      </c>
      <c r="C32" s="7">
        <v>969000000</v>
      </c>
      <c r="D32" s="7">
        <v>895000000</v>
      </c>
      <c r="E32" s="7">
        <v>841000000</v>
      </c>
      <c r="F32" s="7">
        <v>893000000</v>
      </c>
    </row>
    <row r="33" spans="1:6">
      <c r="A33" s="139" t="s">
        <v>114</v>
      </c>
      <c r="B33" s="7">
        <v>-5716000000</v>
      </c>
      <c r="C33" s="7">
        <v>-6364000000</v>
      </c>
      <c r="D33" s="7">
        <v>-6187000000</v>
      </c>
      <c r="E33" s="7">
        <v>-5792000000</v>
      </c>
      <c r="F33" s="7">
        <v>-6236000000</v>
      </c>
    </row>
    <row r="34" spans="1:6">
      <c r="A34" s="139" t="s">
        <v>115</v>
      </c>
      <c r="B34" s="7">
        <v>-5716000000</v>
      </c>
      <c r="C34" s="7">
        <v>-6364000000</v>
      </c>
      <c r="D34" s="7">
        <v>-6187000000</v>
      </c>
      <c r="E34" s="7">
        <v>-5792000000</v>
      </c>
      <c r="F34" s="7">
        <v>-6236000000</v>
      </c>
    </row>
    <row r="35" spans="1:6">
      <c r="A35" s="139" t="s">
        <v>116</v>
      </c>
      <c r="B35" s="7">
        <v>13077000000</v>
      </c>
      <c r="C35" s="7">
        <v>12928000000</v>
      </c>
      <c r="D35" s="7">
        <v>12043000000</v>
      </c>
      <c r="E35" s="7">
        <v>11917000000</v>
      </c>
      <c r="F35" s="7">
        <v>11784000000</v>
      </c>
    </row>
    <row r="36" spans="1:6">
      <c r="A36" s="139" t="s">
        <v>117</v>
      </c>
      <c r="B36" s="7">
        <v>15773000000</v>
      </c>
      <c r="C36" s="7">
        <v>15993000000</v>
      </c>
      <c r="D36" s="7">
        <v>14735000000</v>
      </c>
      <c r="E36" s="7">
        <v>14660000000</v>
      </c>
      <c r="F36" s="7">
        <v>14744000000</v>
      </c>
    </row>
    <row r="37" spans="1:6">
      <c r="A37" s="139" t="s">
        <v>118</v>
      </c>
      <c r="B37" s="7">
        <v>10825000000</v>
      </c>
      <c r="C37" s="7">
        <v>10850000000</v>
      </c>
      <c r="D37" s="7">
        <v>10482000000</v>
      </c>
      <c r="E37" s="7">
        <v>10511000000</v>
      </c>
      <c r="F37" s="7">
        <v>10561000000</v>
      </c>
    </row>
    <row r="38" spans="1:6">
      <c r="A38" s="139" t="s">
        <v>119</v>
      </c>
      <c r="B38" s="7">
        <v>4948000000</v>
      </c>
      <c r="C38" s="7">
        <v>5143000000</v>
      </c>
      <c r="D38" s="7">
        <v>4253000000</v>
      </c>
      <c r="E38" s="7">
        <v>4149000000</v>
      </c>
      <c r="F38" s="7">
        <v>4183000000</v>
      </c>
    </row>
    <row r="39" spans="1:6">
      <c r="A39" s="139" t="s">
        <v>120</v>
      </c>
      <c r="B39" s="7">
        <v>1875000000</v>
      </c>
      <c r="C39" s="7">
        <v>2031000000</v>
      </c>
      <c r="D39" s="7">
        <v>1988000000</v>
      </c>
      <c r="E39" s="7">
        <v>1853000000</v>
      </c>
      <c r="F39" s="7">
        <v>1964000000</v>
      </c>
    </row>
    <row r="40" spans="1:6">
      <c r="A40" s="139" t="s">
        <v>121</v>
      </c>
      <c r="B40" s="7">
        <v>2513000000</v>
      </c>
      <c r="C40" s="7">
        <v>2557000000</v>
      </c>
      <c r="D40" s="7">
        <v>1716000000</v>
      </c>
      <c r="E40" s="7">
        <v>1743000000</v>
      </c>
      <c r="F40" s="7">
        <v>1632000000</v>
      </c>
    </row>
    <row r="41" spans="1:6">
      <c r="A41" s="139" t="s">
        <v>122</v>
      </c>
      <c r="B41" s="7">
        <v>560000000</v>
      </c>
      <c r="C41" s="7">
        <v>555000000</v>
      </c>
      <c r="D41" s="7">
        <v>549000000</v>
      </c>
      <c r="E41" s="7">
        <v>553000000</v>
      </c>
      <c r="F41" s="7">
        <v>587000000</v>
      </c>
    </row>
    <row r="42" spans="1:6">
      <c r="A42" s="139" t="s">
        <v>123</v>
      </c>
      <c r="B42" s="7">
        <v>-2696000000</v>
      </c>
      <c r="C42" s="7">
        <v>-3065000000</v>
      </c>
      <c r="D42" s="7">
        <v>-2692000000</v>
      </c>
      <c r="E42" s="7">
        <v>-2743000000</v>
      </c>
      <c r="F42" s="7">
        <v>-2960000000</v>
      </c>
    </row>
    <row r="43" spans="1:6">
      <c r="A43" s="139" t="s">
        <v>124</v>
      </c>
      <c r="B43" s="7">
        <v>-2696000000</v>
      </c>
      <c r="C43" s="7">
        <v>-3065000000</v>
      </c>
      <c r="D43" s="7">
        <v>-2692000000</v>
      </c>
      <c r="E43" s="7">
        <v>-2743000000</v>
      </c>
      <c r="F43" s="7">
        <v>-2960000000</v>
      </c>
    </row>
    <row r="44" spans="1:6">
      <c r="A44" s="139" t="s">
        <v>125</v>
      </c>
      <c r="B44" s="7">
        <v>-2696000000</v>
      </c>
      <c r="C44" s="7">
        <v>-3065000000</v>
      </c>
      <c r="D44" s="7">
        <v>-2692000000</v>
      </c>
      <c r="E44" s="7">
        <v>-2743000000</v>
      </c>
      <c r="F44" s="7">
        <v>-2960000000</v>
      </c>
    </row>
    <row r="45" spans="1:6">
      <c r="A45" s="139" t="s">
        <v>126</v>
      </c>
      <c r="B45" s="7">
        <v>-1379000000</v>
      </c>
      <c r="C45" s="7">
        <v>-1624000000</v>
      </c>
      <c r="D45" s="7">
        <v>-1629000000</v>
      </c>
      <c r="E45" s="7">
        <v>-1558000000</v>
      </c>
      <c r="F45" s="7">
        <v>-1633000000</v>
      </c>
    </row>
    <row r="46" spans="1:6">
      <c r="A46" s="139" t="s">
        <v>127</v>
      </c>
      <c r="B46" s="7">
        <v>-1005000000</v>
      </c>
      <c r="C46" s="7">
        <v>-1104000000</v>
      </c>
      <c r="D46" s="7">
        <v>-707000000</v>
      </c>
      <c r="E46" s="7">
        <v>-808000000</v>
      </c>
      <c r="F46" s="7">
        <v>-894000000</v>
      </c>
    </row>
    <row r="47" spans="1:6">
      <c r="A47" s="139" t="s">
        <v>128</v>
      </c>
      <c r="B47" s="7">
        <v>-312000000</v>
      </c>
      <c r="C47" s="7">
        <v>-337000000</v>
      </c>
      <c r="D47" s="7">
        <v>-356000000</v>
      </c>
      <c r="E47" s="7">
        <v>-377000000</v>
      </c>
      <c r="F47" s="7">
        <v>-433000000</v>
      </c>
    </row>
    <row r="48" spans="1:6">
      <c r="A48" s="139" t="s">
        <v>129</v>
      </c>
      <c r="B48" s="7">
        <v>33000000</v>
      </c>
      <c r="C48" s="7">
        <v>1784000000</v>
      </c>
      <c r="D48" s="7">
        <v>1670000000</v>
      </c>
      <c r="E48" s="7">
        <v>130000000</v>
      </c>
      <c r="F48" s="7">
        <v>187000000</v>
      </c>
    </row>
    <row r="49" spans="1:6">
      <c r="A49" s="139" t="s">
        <v>130</v>
      </c>
      <c r="B49" s="7">
        <v>33000000</v>
      </c>
      <c r="C49" s="7">
        <v>1784000000</v>
      </c>
      <c r="D49" s="7">
        <v>1670000000</v>
      </c>
      <c r="E49" s="7">
        <v>130000000</v>
      </c>
      <c r="F49" s="7">
        <v>187000000</v>
      </c>
    </row>
    <row r="50" spans="1:6">
      <c r="A50" s="139" t="s">
        <v>131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</row>
    <row r="51" spans="1:6">
      <c r="A51" s="139" t="s">
        <v>132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</row>
    <row r="52" spans="1:6">
      <c r="A52" s="139" t="s">
        <v>133</v>
      </c>
      <c r="B52" s="7">
        <v>910000000</v>
      </c>
      <c r="C52" s="7">
        <v>843000000</v>
      </c>
      <c r="D52" s="7">
        <v>1177000000</v>
      </c>
      <c r="E52" s="7">
        <v>1396000000</v>
      </c>
      <c r="F52" s="7">
        <v>1381000000</v>
      </c>
    </row>
    <row r="53" spans="1:6">
      <c r="A53" s="139" t="s">
        <v>134</v>
      </c>
      <c r="B53" s="7">
        <v>133000000</v>
      </c>
      <c r="C53" s="7">
        <v>360000000</v>
      </c>
      <c r="D53" s="7">
        <v>892000000</v>
      </c>
      <c r="E53" s="7">
        <v>916000000</v>
      </c>
      <c r="F53" s="7">
        <v>780000000</v>
      </c>
    </row>
    <row r="54" spans="1:6">
      <c r="A54" s="139" t="s">
        <v>135</v>
      </c>
      <c r="B54" s="7">
        <v>531000000</v>
      </c>
      <c r="C54" s="7">
        <v>504000000</v>
      </c>
      <c r="D54" s="7">
        <v>543000000</v>
      </c>
      <c r="E54" s="7">
        <v>467000000</v>
      </c>
      <c r="F54" s="7">
        <v>496000000</v>
      </c>
    </row>
    <row r="55" spans="1:6">
      <c r="A55" s="139" t="s">
        <v>136</v>
      </c>
      <c r="B55" t="s">
        <v>8</v>
      </c>
      <c r="C55" s="7">
        <v>300000000</v>
      </c>
      <c r="D55" s="7">
        <v>300000000</v>
      </c>
      <c r="E55" s="7">
        <v>0</v>
      </c>
      <c r="F55" t="s">
        <v>8</v>
      </c>
    </row>
    <row r="56" spans="1:6">
      <c r="A56" s="139" t="s">
        <v>137</v>
      </c>
      <c r="B56" s="7">
        <v>0</v>
      </c>
      <c r="C56" t="s">
        <v>8</v>
      </c>
      <c r="D56" t="s">
        <v>8</v>
      </c>
      <c r="E56" t="s">
        <v>8</v>
      </c>
      <c r="F56" t="s">
        <v>8</v>
      </c>
    </row>
    <row r="57" spans="1:6">
      <c r="A57" s="139" t="s">
        <v>138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</row>
    <row r="58" spans="1:6">
      <c r="A58" s="139" t="s">
        <v>139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</row>
    <row r="59" spans="1:6">
      <c r="A59" s="139" t="s">
        <v>140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</row>
    <row r="60" spans="1:6">
      <c r="A60" s="139" t="s">
        <v>141</v>
      </c>
      <c r="B60" s="7">
        <v>32128000000</v>
      </c>
      <c r="C60" s="7">
        <v>25089000000</v>
      </c>
      <c r="D60" s="7">
        <v>24303000000</v>
      </c>
      <c r="E60" s="7">
        <v>25876000000</v>
      </c>
      <c r="F60" s="7">
        <v>26794000000</v>
      </c>
    </row>
    <row r="61" spans="1:6">
      <c r="A61" s="139" t="s">
        <v>142</v>
      </c>
      <c r="B61" s="7">
        <v>20266000000</v>
      </c>
      <c r="C61" s="7">
        <v>15416000000</v>
      </c>
      <c r="D61" s="7">
        <v>15568000000</v>
      </c>
      <c r="E61" s="7">
        <v>16529000000</v>
      </c>
      <c r="F61" s="7">
        <v>18004000000</v>
      </c>
    </row>
    <row r="62" spans="1:6">
      <c r="A62" s="139" t="s">
        <v>143</v>
      </c>
      <c r="B62" s="7">
        <v>6355000000</v>
      </c>
      <c r="C62" s="7">
        <v>6870000000</v>
      </c>
      <c r="D62" s="7">
        <v>7359000000</v>
      </c>
      <c r="E62" s="7">
        <v>7407000000</v>
      </c>
      <c r="F62" s="7">
        <v>7913000000</v>
      </c>
    </row>
    <row r="63" spans="1:6">
      <c r="A63" s="139" t="s">
        <v>144</v>
      </c>
      <c r="B63" s="7">
        <v>5476000000</v>
      </c>
      <c r="C63" s="7">
        <v>5903000000</v>
      </c>
      <c r="D63" s="7">
        <v>6269000000</v>
      </c>
      <c r="E63" s="7">
        <v>6220000000</v>
      </c>
      <c r="F63" s="7">
        <v>6611000000</v>
      </c>
    </row>
    <row r="64" spans="1:6">
      <c r="A64" s="139" t="s">
        <v>145</v>
      </c>
      <c r="B64" s="7">
        <v>4353000000</v>
      </c>
      <c r="C64" s="7">
        <v>4571000000</v>
      </c>
      <c r="D64" s="7">
        <v>4921000000</v>
      </c>
      <c r="E64" s="7">
        <v>4904000000</v>
      </c>
      <c r="F64" s="7">
        <v>4847000000</v>
      </c>
    </row>
    <row r="65" spans="1:6">
      <c r="A65" s="139" t="s">
        <v>146</v>
      </c>
      <c r="B65" s="7">
        <v>44000000</v>
      </c>
      <c r="C65" s="7">
        <v>29000000</v>
      </c>
      <c r="D65" s="7">
        <v>28000000</v>
      </c>
      <c r="E65" s="7">
        <v>38000000</v>
      </c>
      <c r="F65" s="7">
        <v>105000000</v>
      </c>
    </row>
    <row r="66" spans="1:6">
      <c r="A66" s="139" t="s">
        <v>147</v>
      </c>
      <c r="B66" s="7">
        <v>637000000</v>
      </c>
      <c r="C66" s="7">
        <v>681000000</v>
      </c>
      <c r="D66" s="7">
        <v>676000000</v>
      </c>
      <c r="E66" s="7">
        <v>597000000</v>
      </c>
      <c r="F66" s="7">
        <v>1028000000</v>
      </c>
    </row>
    <row r="67" spans="1:6">
      <c r="A67" s="139" t="s">
        <v>148</v>
      </c>
      <c r="B67" s="7">
        <v>442000000</v>
      </c>
      <c r="C67" s="7">
        <v>622000000</v>
      </c>
      <c r="D67" s="7">
        <v>644000000</v>
      </c>
      <c r="E67" s="7">
        <v>681000000</v>
      </c>
      <c r="F67" s="7">
        <v>631000000</v>
      </c>
    </row>
    <row r="68" spans="1:6">
      <c r="A68" s="139" t="s">
        <v>149</v>
      </c>
      <c r="B68" s="7">
        <v>879000000</v>
      </c>
      <c r="C68" s="7">
        <v>967000000</v>
      </c>
      <c r="D68" s="7">
        <v>1090000000</v>
      </c>
      <c r="E68" s="7">
        <v>1187000000</v>
      </c>
      <c r="F68" s="7">
        <v>1302000000</v>
      </c>
    </row>
    <row r="69" spans="1:6">
      <c r="A69" s="139" t="s">
        <v>150</v>
      </c>
      <c r="B69" s="7">
        <v>2735000000</v>
      </c>
      <c r="C69" s="7">
        <v>1708000000</v>
      </c>
      <c r="D69" s="7">
        <v>1747000000</v>
      </c>
      <c r="E69" s="7">
        <v>2876000000</v>
      </c>
      <c r="F69" s="7">
        <v>3086000000</v>
      </c>
    </row>
    <row r="70" spans="1:6">
      <c r="A70" s="139" t="s">
        <v>151</v>
      </c>
      <c r="B70" s="7">
        <v>2592000000</v>
      </c>
      <c r="C70" s="7">
        <v>1563000000</v>
      </c>
      <c r="D70" s="7">
        <v>1614000000</v>
      </c>
      <c r="E70" s="7">
        <v>2755000000</v>
      </c>
      <c r="F70" s="7">
        <v>2856000000</v>
      </c>
    </row>
    <row r="71" spans="1:6">
      <c r="A71" s="139" t="s">
        <v>152</v>
      </c>
      <c r="B71" s="7">
        <v>838000000</v>
      </c>
      <c r="C71" s="7">
        <v>153000000</v>
      </c>
      <c r="D71" s="7">
        <v>78000000</v>
      </c>
      <c r="E71" s="7">
        <v>1448000000</v>
      </c>
      <c r="F71" s="7">
        <v>87000000</v>
      </c>
    </row>
    <row r="72" spans="1:6">
      <c r="A72" s="139" t="s">
        <v>153</v>
      </c>
      <c r="B72" s="7">
        <v>1754000000</v>
      </c>
      <c r="C72" s="7">
        <v>1410000000</v>
      </c>
      <c r="D72" s="7">
        <v>1536000000</v>
      </c>
      <c r="E72" s="7">
        <v>1307000000</v>
      </c>
      <c r="F72" s="7">
        <v>2769000000</v>
      </c>
    </row>
    <row r="73" spans="1:6">
      <c r="A73" s="139" t="s">
        <v>154</v>
      </c>
      <c r="B73" s="7">
        <v>1449000000</v>
      </c>
      <c r="C73" s="7">
        <v>1140000000</v>
      </c>
      <c r="D73" s="7">
        <v>1306000000</v>
      </c>
      <c r="E73" s="7">
        <v>1087000000</v>
      </c>
      <c r="F73" s="7">
        <v>2520000000</v>
      </c>
    </row>
    <row r="74" spans="1:6">
      <c r="A74" s="139" t="s">
        <v>155</v>
      </c>
      <c r="B74" s="7">
        <v>305000000</v>
      </c>
      <c r="C74" s="7">
        <v>270000000</v>
      </c>
      <c r="D74" s="7">
        <v>230000000</v>
      </c>
      <c r="E74" s="7">
        <v>220000000</v>
      </c>
      <c r="F74" s="7">
        <v>249000000</v>
      </c>
    </row>
    <row r="75" spans="1:6">
      <c r="A75" s="139" t="s">
        <v>156</v>
      </c>
      <c r="B75" s="7">
        <v>143000000</v>
      </c>
      <c r="C75" s="7">
        <v>145000000</v>
      </c>
      <c r="D75" s="7">
        <v>133000000</v>
      </c>
      <c r="E75" s="7">
        <v>121000000</v>
      </c>
      <c r="F75" s="7">
        <v>230000000</v>
      </c>
    </row>
    <row r="76" spans="1:6">
      <c r="A76" s="139" t="s">
        <v>157</v>
      </c>
      <c r="B76" s="7">
        <v>3623000000</v>
      </c>
      <c r="C76" s="7">
        <v>4063000000</v>
      </c>
      <c r="D76" s="7">
        <v>3979000000</v>
      </c>
      <c r="E76" s="7">
        <v>3727000000</v>
      </c>
      <c r="F76" s="7">
        <v>3977000000</v>
      </c>
    </row>
    <row r="77" spans="1:6">
      <c r="A77" s="139" t="s">
        <v>158</v>
      </c>
      <c r="B77" s="7">
        <v>1432000000</v>
      </c>
      <c r="C77" s="7">
        <v>1509000000</v>
      </c>
      <c r="D77" s="7">
        <v>1588000000</v>
      </c>
      <c r="E77" s="7">
        <v>1528000000</v>
      </c>
      <c r="F77" s="7">
        <v>1566000000</v>
      </c>
    </row>
    <row r="78" spans="1:6">
      <c r="A78" s="139" t="s">
        <v>159</v>
      </c>
      <c r="B78" s="7">
        <v>1396000000</v>
      </c>
      <c r="C78" s="7">
        <v>1467000000</v>
      </c>
      <c r="D78" s="7">
        <v>1547000000</v>
      </c>
      <c r="E78" s="7">
        <v>1490000000</v>
      </c>
      <c r="F78" s="7">
        <v>1566000000</v>
      </c>
    </row>
    <row r="79" spans="1:6">
      <c r="A79" s="139" t="s">
        <v>160</v>
      </c>
      <c r="B79" s="7">
        <v>36000000</v>
      </c>
      <c r="C79" s="7">
        <v>42000000</v>
      </c>
      <c r="D79" s="7">
        <v>41000000</v>
      </c>
      <c r="E79" s="7">
        <v>38000000</v>
      </c>
      <c r="F79" t="s">
        <v>8</v>
      </c>
    </row>
    <row r="80" spans="1:6">
      <c r="A80" s="139" t="s">
        <v>161</v>
      </c>
      <c r="B80" s="7">
        <v>2191000000</v>
      </c>
      <c r="C80" s="7">
        <v>2554000000</v>
      </c>
      <c r="D80" s="7">
        <v>2391000000</v>
      </c>
      <c r="E80" s="7">
        <v>2199000000</v>
      </c>
      <c r="F80" s="7">
        <v>2411000000</v>
      </c>
    </row>
    <row r="81" spans="1:6">
      <c r="A81" s="139" t="s">
        <v>162</v>
      </c>
      <c r="B81" s="7">
        <v>1744000000</v>
      </c>
      <c r="C81" s="7">
        <v>2033000000</v>
      </c>
      <c r="D81" s="7">
        <v>1989000000</v>
      </c>
      <c r="E81" s="7">
        <v>2318000000</v>
      </c>
      <c r="F81" s="7">
        <v>2844000000</v>
      </c>
    </row>
    <row r="82" spans="1:6">
      <c r="A82" s="139" t="s">
        <v>163</v>
      </c>
      <c r="B82" s="7">
        <v>1744000000</v>
      </c>
      <c r="C82" s="7">
        <v>2033000000</v>
      </c>
      <c r="D82" s="7">
        <v>1989000000</v>
      </c>
      <c r="E82" s="7">
        <v>2318000000</v>
      </c>
      <c r="F82" s="7">
        <v>2844000000</v>
      </c>
    </row>
    <row r="83" spans="1:6">
      <c r="A83" s="139" t="s">
        <v>164</v>
      </c>
      <c r="B83" s="7">
        <v>159000000</v>
      </c>
      <c r="C83" s="7">
        <v>98000000</v>
      </c>
      <c r="D83" s="7">
        <v>113000000</v>
      </c>
      <c r="E83" s="7">
        <v>69000000</v>
      </c>
      <c r="F83" s="7">
        <v>184000000</v>
      </c>
    </row>
    <row r="84" spans="1:6">
      <c r="A84" s="139" t="s">
        <v>165</v>
      </c>
      <c r="B84" s="7">
        <v>5650000000</v>
      </c>
      <c r="C84" s="7">
        <v>644000000</v>
      </c>
      <c r="D84" s="7">
        <v>381000000</v>
      </c>
      <c r="E84" s="7">
        <v>132000000</v>
      </c>
      <c r="F84" t="s">
        <v>8</v>
      </c>
    </row>
    <row r="85" spans="1:6">
      <c r="A85" s="139" t="s">
        <v>166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</row>
    <row r="86" spans="1:6">
      <c r="A86" s="139" t="s">
        <v>167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</row>
    <row r="87" spans="1:6">
      <c r="A87" s="139" t="s">
        <v>168</v>
      </c>
      <c r="B87" s="7">
        <v>11862000000</v>
      </c>
      <c r="C87" s="7">
        <v>9673000000</v>
      </c>
      <c r="D87" s="7">
        <v>8735000000</v>
      </c>
      <c r="E87" s="7">
        <v>9347000000</v>
      </c>
      <c r="F87" s="7">
        <v>8790000000</v>
      </c>
    </row>
    <row r="88" spans="1:6">
      <c r="A88" s="139" t="s">
        <v>169</v>
      </c>
      <c r="B88" s="7">
        <v>7512000000</v>
      </c>
      <c r="C88" s="7">
        <v>5605000000</v>
      </c>
      <c r="D88" s="7">
        <v>4996000000</v>
      </c>
      <c r="E88" s="7">
        <v>6161000000</v>
      </c>
      <c r="F88" s="7">
        <v>6133000000</v>
      </c>
    </row>
    <row r="89" spans="1:6">
      <c r="A89" s="139" t="s">
        <v>170</v>
      </c>
      <c r="B89" s="7">
        <v>7489000000</v>
      </c>
      <c r="C89" s="7">
        <v>5559000000</v>
      </c>
      <c r="D89" s="7">
        <v>4866000000</v>
      </c>
      <c r="E89" s="7">
        <v>5794000000</v>
      </c>
      <c r="F89" s="7">
        <v>5887000000</v>
      </c>
    </row>
    <row r="90" spans="1:6">
      <c r="A90" s="139" t="s">
        <v>171</v>
      </c>
      <c r="B90" s="7">
        <v>6772000000</v>
      </c>
      <c r="C90" s="7">
        <v>4828000000</v>
      </c>
      <c r="D90" s="7">
        <v>4177000000</v>
      </c>
      <c r="E90" s="7">
        <v>5143000000</v>
      </c>
      <c r="F90" s="7">
        <v>5221000000</v>
      </c>
    </row>
    <row r="91" spans="1:6">
      <c r="A91" s="139" t="s">
        <v>172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</row>
    <row r="92" spans="1:6">
      <c r="A92" s="139" t="s">
        <v>173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</row>
    <row r="93" spans="1:6">
      <c r="A93" s="139" t="s">
        <v>174</v>
      </c>
      <c r="B93" s="7">
        <v>717000000</v>
      </c>
      <c r="C93" s="7">
        <v>731000000</v>
      </c>
      <c r="D93" s="7">
        <v>689000000</v>
      </c>
      <c r="E93" s="7">
        <v>651000000</v>
      </c>
      <c r="F93" s="7">
        <v>666000000</v>
      </c>
    </row>
    <row r="94" spans="1:6">
      <c r="A94" s="139" t="s">
        <v>175</v>
      </c>
      <c r="B94" s="7">
        <v>23000000</v>
      </c>
      <c r="C94" s="7">
        <v>46000000</v>
      </c>
      <c r="D94" s="7">
        <v>130000000</v>
      </c>
      <c r="E94" s="7">
        <v>367000000</v>
      </c>
      <c r="F94" s="7">
        <v>246000000</v>
      </c>
    </row>
    <row r="95" spans="1:6">
      <c r="A95" s="139" t="s">
        <v>176</v>
      </c>
      <c r="B95" s="7">
        <v>2025000000</v>
      </c>
      <c r="C95" s="7">
        <v>1459000000</v>
      </c>
      <c r="D95" s="7">
        <v>1252000000</v>
      </c>
      <c r="E95" s="7">
        <v>873000000</v>
      </c>
      <c r="F95" s="7">
        <v>846000000</v>
      </c>
    </row>
    <row r="96" spans="1:6">
      <c r="A96" s="139" t="s">
        <v>177</v>
      </c>
      <c r="B96" s="7">
        <v>1865000000</v>
      </c>
      <c r="C96" s="7">
        <v>1301000000</v>
      </c>
      <c r="D96" s="7">
        <v>1084000000</v>
      </c>
      <c r="E96" s="7">
        <v>764000000</v>
      </c>
      <c r="F96" s="7">
        <v>686000000</v>
      </c>
    </row>
    <row r="97" spans="1:6">
      <c r="A97" s="139" t="s">
        <v>178</v>
      </c>
      <c r="B97" s="7">
        <v>1793000000</v>
      </c>
      <c r="C97" s="7">
        <v>1231000000</v>
      </c>
      <c r="D97" s="7">
        <v>1025000000</v>
      </c>
      <c r="E97" s="7">
        <v>719000000</v>
      </c>
      <c r="F97" s="7">
        <v>686000000</v>
      </c>
    </row>
    <row r="98" spans="1:6">
      <c r="A98" s="139" t="s">
        <v>179</v>
      </c>
      <c r="B98" s="7">
        <v>72000000</v>
      </c>
      <c r="C98" s="7">
        <v>70000000</v>
      </c>
      <c r="D98" s="7">
        <v>59000000</v>
      </c>
      <c r="E98" s="7">
        <v>45000000</v>
      </c>
      <c r="F98" t="s">
        <v>8</v>
      </c>
    </row>
    <row r="99" spans="1:6">
      <c r="A99" s="139" t="s">
        <v>180</v>
      </c>
      <c r="B99" s="7">
        <v>112000000</v>
      </c>
      <c r="C99" s="7">
        <v>120000000</v>
      </c>
      <c r="D99" s="7">
        <v>129000000</v>
      </c>
      <c r="E99" s="7">
        <v>67000000</v>
      </c>
      <c r="F99" s="7">
        <v>160000000</v>
      </c>
    </row>
    <row r="100" spans="1:6">
      <c r="A100" s="139" t="s">
        <v>181</v>
      </c>
      <c r="B100" s="7">
        <v>48000000</v>
      </c>
      <c r="C100" s="7">
        <v>38000000</v>
      </c>
      <c r="D100" s="7">
        <v>39000000</v>
      </c>
      <c r="E100" s="7">
        <v>42000000</v>
      </c>
      <c r="F100" t="s">
        <v>8</v>
      </c>
    </row>
    <row r="101" spans="1:6">
      <c r="A101" s="139" t="s">
        <v>182</v>
      </c>
      <c r="B101" s="7">
        <v>911000000</v>
      </c>
      <c r="C101" s="7">
        <v>661000000</v>
      </c>
      <c r="D101" s="7">
        <v>685000000</v>
      </c>
      <c r="E101" s="7">
        <v>729000000</v>
      </c>
      <c r="F101" s="7">
        <v>669000000</v>
      </c>
    </row>
    <row r="102" spans="1:6">
      <c r="A102" s="139" t="s">
        <v>183</v>
      </c>
      <c r="B102" s="7">
        <v>911000000</v>
      </c>
      <c r="C102" s="7">
        <v>661000000</v>
      </c>
      <c r="D102" s="7">
        <v>685000000</v>
      </c>
      <c r="E102" s="7">
        <v>729000000</v>
      </c>
      <c r="F102" s="7">
        <v>669000000</v>
      </c>
    </row>
    <row r="103" spans="1:6">
      <c r="A103" s="139" t="s">
        <v>184</v>
      </c>
      <c r="B103" s="7">
        <v>1218000000</v>
      </c>
      <c r="C103" s="7">
        <v>1423000000</v>
      </c>
      <c r="D103" s="7">
        <v>1458000000</v>
      </c>
      <c r="E103" s="7">
        <v>1287000000</v>
      </c>
      <c r="F103" s="7">
        <v>813000000</v>
      </c>
    </row>
    <row r="104" spans="1:6">
      <c r="A104" s="139" t="s">
        <v>185</v>
      </c>
      <c r="B104" s="7">
        <v>1218000000</v>
      </c>
      <c r="C104" s="7">
        <v>1423000000</v>
      </c>
      <c r="D104" s="7">
        <v>1458000000</v>
      </c>
      <c r="E104" s="7">
        <v>1287000000</v>
      </c>
      <c r="F104" s="7">
        <v>813000000</v>
      </c>
    </row>
    <row r="105" spans="1:6">
      <c r="A105" s="139" t="s">
        <v>186</v>
      </c>
      <c r="B105" s="7">
        <v>1218000000</v>
      </c>
      <c r="C105" s="7">
        <v>1423000000</v>
      </c>
      <c r="D105" s="7">
        <v>1458000000</v>
      </c>
      <c r="E105" s="7">
        <v>1287000000</v>
      </c>
      <c r="F105" s="7">
        <v>813000000</v>
      </c>
    </row>
    <row r="106" spans="1:6">
      <c r="A106" s="139" t="s">
        <v>187</v>
      </c>
      <c r="B106" s="7">
        <v>189000000</v>
      </c>
      <c r="C106" s="7">
        <v>190000000</v>
      </c>
      <c r="D106" s="7">
        <v>227000000</v>
      </c>
      <c r="E106" s="7">
        <v>185000000</v>
      </c>
      <c r="F106" s="7">
        <v>329000000</v>
      </c>
    </row>
    <row r="107" spans="1:6">
      <c r="A107" s="139" t="s">
        <v>188</v>
      </c>
      <c r="B107" s="7">
        <v>7000000</v>
      </c>
      <c r="C107" s="7">
        <v>138000000</v>
      </c>
      <c r="D107" s="7">
        <v>74000000</v>
      </c>
      <c r="E107" s="7">
        <v>92000000</v>
      </c>
      <c r="F107" t="s">
        <v>8</v>
      </c>
    </row>
    <row r="108" spans="1:6">
      <c r="A108" s="139" t="s">
        <v>189</v>
      </c>
      <c r="B108" s="7">
        <v>7000000</v>
      </c>
      <c r="C108" s="7">
        <v>138000000</v>
      </c>
      <c r="D108" s="7">
        <v>74000000</v>
      </c>
      <c r="E108" s="7">
        <v>92000000</v>
      </c>
      <c r="F108" t="s">
        <v>8</v>
      </c>
    </row>
    <row r="109" spans="1:6">
      <c r="A109" s="139" t="s">
        <v>190</v>
      </c>
      <c r="B109" s="7">
        <v>0</v>
      </c>
      <c r="C109" s="7">
        <v>197000000</v>
      </c>
      <c r="D109" s="7">
        <v>43000000</v>
      </c>
      <c r="E109" s="7">
        <v>20000000</v>
      </c>
      <c r="F109" t="s">
        <v>8</v>
      </c>
    </row>
    <row r="110" spans="1:6">
      <c r="A110" s="139" t="s">
        <v>191</v>
      </c>
      <c r="B110" s="7">
        <v>13980000000</v>
      </c>
      <c r="C110" s="7">
        <v>15999000000</v>
      </c>
      <c r="D110" s="7">
        <v>15957000000</v>
      </c>
      <c r="E110" s="7">
        <v>13272000000</v>
      </c>
      <c r="F110" s="7">
        <v>14146000000</v>
      </c>
    </row>
    <row r="111" spans="1:6">
      <c r="A111" s="139" t="s">
        <v>192</v>
      </c>
      <c r="B111" s="7">
        <v>13526000000</v>
      </c>
      <c r="C111" s="7">
        <v>15685000000</v>
      </c>
      <c r="D111" s="7">
        <v>15579000000</v>
      </c>
      <c r="E111" s="7">
        <v>12777000000</v>
      </c>
      <c r="F111" s="7">
        <v>13410000000</v>
      </c>
    </row>
    <row r="112" spans="1:6">
      <c r="A112" s="139" t="s">
        <v>193</v>
      </c>
      <c r="B112" s="7">
        <v>-524000000</v>
      </c>
      <c r="C112" s="7">
        <v>-3259000000</v>
      </c>
      <c r="D112" s="7">
        <v>-2810000000</v>
      </c>
      <c r="E112" s="7">
        <v>-2749000000</v>
      </c>
      <c r="F112" s="7">
        <v>-1244000000</v>
      </c>
    </row>
    <row r="113" spans="1:6">
      <c r="A113" s="139" t="s">
        <v>194</v>
      </c>
      <c r="B113" s="7">
        <v>261000000</v>
      </c>
      <c r="C113" s="7">
        <v>271000000</v>
      </c>
      <c r="D113" s="7">
        <v>200000000</v>
      </c>
      <c r="E113" s="7">
        <v>312000000</v>
      </c>
      <c r="F113" s="7">
        <v>170000000</v>
      </c>
    </row>
    <row r="114" spans="1:6">
      <c r="A114" s="139" t="s">
        <v>195</v>
      </c>
      <c r="B114" s="7">
        <v>188000000</v>
      </c>
      <c r="C114" s="7">
        <v>188000000</v>
      </c>
      <c r="D114" s="7">
        <v>178000000</v>
      </c>
      <c r="E114" s="7">
        <v>171000000</v>
      </c>
      <c r="F114" s="7">
        <v>163000000</v>
      </c>
    </row>
    <row r="115" spans="1:6">
      <c r="A115" s="139" t="s">
        <v>196</v>
      </c>
      <c r="B115" s="7">
        <v>73000000</v>
      </c>
      <c r="C115" s="7">
        <v>83000000</v>
      </c>
      <c r="D115" s="7">
        <v>22000000</v>
      </c>
      <c r="E115" s="7">
        <v>141000000</v>
      </c>
      <c r="F115" s="7">
        <v>7000000</v>
      </c>
    </row>
    <row r="116" spans="1:6">
      <c r="A116" s="139" t="s">
        <v>197</v>
      </c>
      <c r="B116" s="7">
        <v>-785000000</v>
      </c>
      <c r="C116" s="7">
        <v>-3530000000</v>
      </c>
      <c r="D116" s="7">
        <v>-3010000000</v>
      </c>
      <c r="E116" s="7">
        <v>-3061000000</v>
      </c>
      <c r="F116" s="7">
        <v>-1414000000</v>
      </c>
    </row>
    <row r="117" spans="1:6">
      <c r="A117" s="139" t="s">
        <v>198</v>
      </c>
      <c r="B117" s="7">
        <v>19640000000</v>
      </c>
      <c r="C117" s="7">
        <v>22946000000</v>
      </c>
      <c r="D117" s="7">
        <v>22477000000</v>
      </c>
      <c r="E117" s="7">
        <v>20082000000</v>
      </c>
      <c r="F117" s="7">
        <v>19724000000</v>
      </c>
    </row>
    <row r="118" spans="1:6">
      <c r="A118" s="139" t="s">
        <v>199</v>
      </c>
      <c r="B118" s="7">
        <v>-5590000000</v>
      </c>
      <c r="C118" s="7">
        <v>-4002000000</v>
      </c>
      <c r="D118" s="7">
        <v>-4088000000</v>
      </c>
      <c r="E118" s="7">
        <v>-4556000000</v>
      </c>
      <c r="F118" s="7">
        <v>-5070000000</v>
      </c>
    </row>
    <row r="119" spans="1:6">
      <c r="A119" s="139" t="s">
        <v>200</v>
      </c>
      <c r="B119" s="7">
        <v>-5590000000</v>
      </c>
      <c r="C119" s="7">
        <v>-4002000000</v>
      </c>
      <c r="D119" s="7">
        <v>-4088000000</v>
      </c>
      <c r="E119" s="7">
        <v>-4556000000</v>
      </c>
      <c r="F119" s="7">
        <v>-5070000000</v>
      </c>
    </row>
    <row r="120" spans="1:6">
      <c r="A120" s="139" t="s">
        <v>201</v>
      </c>
      <c r="B120" s="7">
        <v>454000000</v>
      </c>
      <c r="C120" s="7">
        <v>314000000</v>
      </c>
      <c r="D120" s="7">
        <v>378000000</v>
      </c>
      <c r="E120" s="7">
        <v>495000000</v>
      </c>
      <c r="F120" s="7">
        <v>736000000</v>
      </c>
    </row>
    <row r="121" spans="1:6">
      <c r="A121" s="139" t="s">
        <v>202</v>
      </c>
      <c r="B121" s="7">
        <v>8888000000</v>
      </c>
      <c r="C121" s="7">
        <v>5730000000</v>
      </c>
      <c r="D121" s="7">
        <v>5400000000</v>
      </c>
      <c r="E121" s="7">
        <v>7476000000</v>
      </c>
      <c r="F121" s="7">
        <v>7828000000</v>
      </c>
    </row>
    <row r="122" spans="1:6">
      <c r="A122" s="139" t="s">
        <v>203</v>
      </c>
      <c r="B122" s="7">
        <v>1433000000</v>
      </c>
      <c r="C122" s="7">
        <v>1108000000</v>
      </c>
      <c r="D122" s="7">
        <v>1271000000</v>
      </c>
      <c r="E122" s="7">
        <v>1058000000</v>
      </c>
      <c r="F122" s="7">
        <v>2507000000</v>
      </c>
    </row>
    <row r="123" spans="1:6">
      <c r="A123" s="139" t="s">
        <v>204</v>
      </c>
      <c r="B123" s="7">
        <v>1273000000</v>
      </c>
      <c r="C123" s="7">
        <v>1255000000</v>
      </c>
      <c r="D123" s="7">
        <v>794000000</v>
      </c>
      <c r="E123" s="7">
        <v>2387000000</v>
      </c>
      <c r="F123" s="7">
        <v>187000000</v>
      </c>
    </row>
    <row r="124" spans="1:6">
      <c r="A124" s="139" t="s">
        <v>205</v>
      </c>
      <c r="B124" s="7">
        <v>1259000000</v>
      </c>
      <c r="C124" s="7">
        <v>860000000</v>
      </c>
      <c r="D124" s="7">
        <v>1156000000</v>
      </c>
      <c r="E124" s="7">
        <v>193000000</v>
      </c>
      <c r="F124" s="7">
        <v>389000000</v>
      </c>
    </row>
    <row r="125" spans="1:6">
      <c r="A125" s="139" t="s">
        <v>206</v>
      </c>
      <c r="B125" s="7">
        <v>1237000000</v>
      </c>
      <c r="C125" s="7">
        <v>1238000000</v>
      </c>
      <c r="D125" s="7">
        <v>56000000</v>
      </c>
      <c r="E125" t="s">
        <v>8</v>
      </c>
      <c r="F125" s="7">
        <v>1062000000</v>
      </c>
    </row>
    <row r="126" spans="1:6">
      <c r="A126" s="139" t="s">
        <v>207</v>
      </c>
      <c r="B126" s="7">
        <v>1136000000</v>
      </c>
      <c r="C126" s="7">
        <v>83000000</v>
      </c>
      <c r="D126" t="s">
        <v>8</v>
      </c>
      <c r="E126" s="7">
        <v>461000000</v>
      </c>
      <c r="F126" s="7">
        <v>562000000</v>
      </c>
    </row>
    <row r="127" spans="1:6">
      <c r="A127" s="139" t="s">
        <v>208</v>
      </c>
      <c r="B127" s="7">
        <v>1681000000</v>
      </c>
      <c r="C127" s="7">
        <v>1186000000</v>
      </c>
      <c r="D127" s="7">
        <v>2085000000</v>
      </c>
      <c r="E127" s="7">
        <v>2194000000</v>
      </c>
      <c r="F127" s="7">
        <v>3037000000</v>
      </c>
    </row>
    <row r="128" spans="1:6">
      <c r="A128" s="139" t="s">
        <v>209</v>
      </c>
      <c r="B128" s="7">
        <v>869000000</v>
      </c>
      <c r="C128" t="s">
        <v>8</v>
      </c>
      <c r="D128" s="7">
        <v>38000000</v>
      </c>
      <c r="E128" s="7">
        <v>1183000000</v>
      </c>
      <c r="F128" s="7">
        <v>84000000</v>
      </c>
    </row>
    <row r="129" spans="1:6">
      <c r="A129" s="139" t="s">
        <v>210</v>
      </c>
      <c r="B129" s="7">
        <v>171000000</v>
      </c>
      <c r="C129" s="7">
        <v>187000000</v>
      </c>
      <c r="D129" s="7">
        <v>161000000</v>
      </c>
      <c r="E129" s="7">
        <v>202000000</v>
      </c>
      <c r="F129" s="7">
        <v>192000000</v>
      </c>
    </row>
    <row r="130" spans="1:6">
      <c r="A130" s="139" t="s">
        <v>211</v>
      </c>
      <c r="B130" s="7">
        <v>37000000</v>
      </c>
      <c r="C130" s="7">
        <v>38000000</v>
      </c>
      <c r="D130" s="7">
        <v>36000000</v>
      </c>
      <c r="E130" s="7">
        <v>44000000</v>
      </c>
      <c r="F130" s="7">
        <v>38000000</v>
      </c>
    </row>
    <row r="131" spans="1:6">
      <c r="A131" s="139" t="s">
        <v>212</v>
      </c>
      <c r="B131" s="7">
        <v>35000000</v>
      </c>
      <c r="C131" s="7">
        <v>34000000</v>
      </c>
      <c r="D131" s="7">
        <v>33000000</v>
      </c>
      <c r="E131" s="7">
        <v>41000000</v>
      </c>
      <c r="F131" s="7">
        <v>33000000</v>
      </c>
    </row>
    <row r="132" spans="1:6">
      <c r="A132" s="139" t="s">
        <v>213</v>
      </c>
      <c r="B132" s="7">
        <v>31000000</v>
      </c>
      <c r="C132" s="7">
        <v>29000000</v>
      </c>
      <c r="D132" s="7">
        <v>27000000</v>
      </c>
      <c r="E132" s="7">
        <v>38000000</v>
      </c>
      <c r="F132" s="7">
        <v>24000000</v>
      </c>
    </row>
    <row r="133" spans="1:6">
      <c r="A133" s="139" t="s">
        <v>214</v>
      </c>
      <c r="B133" s="7">
        <v>24000000</v>
      </c>
      <c r="C133" s="7">
        <v>25000000</v>
      </c>
      <c r="D133" s="7">
        <v>23000000</v>
      </c>
      <c r="E133" s="7">
        <v>23000000</v>
      </c>
      <c r="F133" s="7">
        <v>23000000</v>
      </c>
    </row>
    <row r="134" spans="1:6">
      <c r="A134" s="139" t="s">
        <v>215</v>
      </c>
      <c r="B134" s="7">
        <v>22000000</v>
      </c>
      <c r="C134" s="7">
        <v>24000000</v>
      </c>
      <c r="D134" s="7">
        <v>17000000</v>
      </c>
      <c r="E134" s="7">
        <v>18000000</v>
      </c>
      <c r="F134" s="7">
        <v>19000000</v>
      </c>
    </row>
    <row r="135" spans="1:6">
      <c r="A135" s="139" t="s">
        <v>216</v>
      </c>
      <c r="B135" s="7">
        <v>84000000</v>
      </c>
      <c r="C135" s="7">
        <v>80000000</v>
      </c>
      <c r="D135" s="7">
        <v>54000000</v>
      </c>
      <c r="E135" s="7">
        <v>68000000</v>
      </c>
      <c r="F135" s="7">
        <v>92000000</v>
      </c>
    </row>
    <row r="136" spans="1:6">
      <c r="A136" s="139" t="s">
        <v>217</v>
      </c>
      <c r="B136" s="7">
        <v>-62000000</v>
      </c>
      <c r="C136" s="7">
        <v>-43000000</v>
      </c>
      <c r="D136" s="7">
        <v>-29000000</v>
      </c>
      <c r="E136" s="7">
        <v>-30000000</v>
      </c>
      <c r="F136" s="7">
        <v>-37000000</v>
      </c>
    </row>
    <row r="137" spans="1:6">
      <c r="A137" s="139" t="s">
        <v>218</v>
      </c>
      <c r="B137" s="7">
        <v>1022000000</v>
      </c>
      <c r="C137" s="7">
        <v>1001000000</v>
      </c>
      <c r="D137" s="7">
        <v>919000000</v>
      </c>
      <c r="E137" s="7">
        <v>871000000</v>
      </c>
      <c r="F137" s="7">
        <v>915000000</v>
      </c>
    </row>
    <row r="138" spans="1:6">
      <c r="A138" s="139" t="s">
        <v>219</v>
      </c>
      <c r="B138" s="7">
        <v>308000000</v>
      </c>
      <c r="C138" s="7">
        <v>282000000</v>
      </c>
      <c r="D138" s="7">
        <v>268000000</v>
      </c>
      <c r="E138" s="7">
        <v>257000000</v>
      </c>
      <c r="F138" s="7">
        <v>273000000</v>
      </c>
    </row>
    <row r="139" spans="1:6">
      <c r="A139" s="139" t="s">
        <v>220</v>
      </c>
      <c r="B139" s="7">
        <v>219000000</v>
      </c>
      <c r="C139" s="7">
        <v>211000000</v>
      </c>
      <c r="D139" s="7">
        <v>203000000</v>
      </c>
      <c r="E139" s="7">
        <v>202000000</v>
      </c>
      <c r="F139" s="7">
        <v>226000000</v>
      </c>
    </row>
    <row r="140" spans="1:6">
      <c r="A140" s="139" t="s">
        <v>221</v>
      </c>
      <c r="B140" s="7">
        <v>158000000</v>
      </c>
      <c r="C140" s="7">
        <v>160000000</v>
      </c>
      <c r="D140" s="7">
        <v>155000000</v>
      </c>
      <c r="E140" s="7">
        <v>156000000</v>
      </c>
      <c r="F140" s="7">
        <v>170000000</v>
      </c>
    </row>
    <row r="141" spans="1:6">
      <c r="A141" s="139" t="s">
        <v>222</v>
      </c>
      <c r="B141" s="7">
        <v>115000000</v>
      </c>
      <c r="C141" s="7">
        <v>119000000</v>
      </c>
      <c r="D141" s="7">
        <v>118000000</v>
      </c>
      <c r="E141" s="7">
        <v>110000000</v>
      </c>
      <c r="F141" s="7">
        <v>111000000</v>
      </c>
    </row>
    <row r="142" spans="1:6">
      <c r="A142" s="139" t="s">
        <v>223</v>
      </c>
      <c r="B142" s="7">
        <v>94000000</v>
      </c>
      <c r="C142" s="7">
        <v>91000000</v>
      </c>
      <c r="D142" s="7">
        <v>82000000</v>
      </c>
      <c r="E142" s="7">
        <v>71000000</v>
      </c>
      <c r="F142" s="7">
        <v>70000000</v>
      </c>
    </row>
    <row r="143" spans="1:6">
      <c r="A143" s="139" t="s">
        <v>224</v>
      </c>
      <c r="B143" s="7">
        <v>231000000</v>
      </c>
      <c r="C143" s="7">
        <v>220000000</v>
      </c>
      <c r="D143" s="7">
        <v>155000000</v>
      </c>
      <c r="E143" s="7">
        <v>152000000</v>
      </c>
      <c r="F143" s="7">
        <v>162000000</v>
      </c>
    </row>
    <row r="144" spans="1:6">
      <c r="A144" s="139" t="s">
        <v>224</v>
      </c>
      <c r="B144" s="7">
        <v>-103000000</v>
      </c>
      <c r="C144" s="7">
        <v>-82000000</v>
      </c>
      <c r="D144" s="7">
        <v>-62000000</v>
      </c>
      <c r="E144" s="7">
        <v>-77000000</v>
      </c>
      <c r="F144" s="7">
        <v>-97000000</v>
      </c>
    </row>
    <row r="145" spans="1:6">
      <c r="A145" s="139" t="s">
        <v>225</v>
      </c>
      <c r="B145" s="7">
        <v>1193000000</v>
      </c>
      <c r="C145" s="7">
        <v>1188000000</v>
      </c>
      <c r="D145" s="7">
        <v>1080000000</v>
      </c>
      <c r="E145" s="7">
        <v>1073000000</v>
      </c>
      <c r="F145" s="7">
        <v>1107000000</v>
      </c>
    </row>
    <row r="146" spans="1:6">
      <c r="A146" s="139" t="s">
        <v>226</v>
      </c>
      <c r="B146" s="7">
        <v>345000000</v>
      </c>
      <c r="C146" s="7">
        <v>320000000</v>
      </c>
      <c r="D146" s="7">
        <v>304000000</v>
      </c>
      <c r="E146" s="7">
        <v>301000000</v>
      </c>
      <c r="F146" s="7">
        <v>311000000</v>
      </c>
    </row>
    <row r="147" spans="1:6">
      <c r="A147" s="139" t="s">
        <v>227</v>
      </c>
      <c r="B147" s="7">
        <v>254000000</v>
      </c>
      <c r="C147" s="7">
        <v>245000000</v>
      </c>
      <c r="D147" s="7">
        <v>236000000</v>
      </c>
      <c r="E147" s="7">
        <v>243000000</v>
      </c>
      <c r="F147" s="7">
        <v>259000000</v>
      </c>
    </row>
    <row r="148" spans="1:6">
      <c r="A148" s="139" t="s">
        <v>228</v>
      </c>
      <c r="B148" s="7">
        <v>189000000</v>
      </c>
      <c r="C148" s="7">
        <v>189000000</v>
      </c>
      <c r="D148" s="7">
        <v>182000000</v>
      </c>
      <c r="E148" s="7">
        <v>194000000</v>
      </c>
      <c r="F148" s="7">
        <v>194000000</v>
      </c>
    </row>
    <row r="149" spans="1:6">
      <c r="A149" s="139" t="s">
        <v>229</v>
      </c>
      <c r="B149" s="7">
        <v>139000000</v>
      </c>
      <c r="C149" s="7">
        <v>144000000</v>
      </c>
      <c r="D149" s="7">
        <v>141000000</v>
      </c>
      <c r="E149" s="7">
        <v>133000000</v>
      </c>
      <c r="F149" s="7">
        <v>134000000</v>
      </c>
    </row>
    <row r="150" spans="1:6">
      <c r="A150" s="139" t="s">
        <v>230</v>
      </c>
      <c r="B150" s="7">
        <v>116000000</v>
      </c>
      <c r="C150" s="7">
        <v>115000000</v>
      </c>
      <c r="D150" s="7">
        <v>99000000</v>
      </c>
      <c r="E150" s="7">
        <v>89000000</v>
      </c>
      <c r="F150" s="7">
        <v>89000000</v>
      </c>
    </row>
    <row r="151" spans="1:6">
      <c r="A151" s="139" t="s">
        <v>231</v>
      </c>
      <c r="B151" s="7">
        <v>315000000</v>
      </c>
      <c r="C151" s="7">
        <v>300000000</v>
      </c>
      <c r="D151" s="7">
        <v>209000000</v>
      </c>
      <c r="E151" s="7">
        <v>220000000</v>
      </c>
      <c r="F151" s="7">
        <v>254000000</v>
      </c>
    </row>
    <row r="152" spans="1:6">
      <c r="A152" s="139" t="s">
        <v>232</v>
      </c>
      <c r="B152" s="7">
        <v>-165000000</v>
      </c>
      <c r="C152" s="7">
        <v>-125000000</v>
      </c>
      <c r="D152" s="7">
        <v>-91000000</v>
      </c>
      <c r="E152" s="7">
        <v>-107000000</v>
      </c>
      <c r="F152" s="7">
        <v>-134000000</v>
      </c>
    </row>
    <row r="153" spans="1:6">
      <c r="A153" s="139" t="s">
        <v>233</v>
      </c>
      <c r="B153" s="7">
        <v>14413000000</v>
      </c>
      <c r="C153" s="7">
        <v>11024000000</v>
      </c>
      <c r="D153" s="7">
        <v>6480000000</v>
      </c>
      <c r="E153" s="7">
        <v>8549000000</v>
      </c>
      <c r="F153" s="7">
        <v>8935000000</v>
      </c>
    </row>
    <row r="154" spans="1:6">
      <c r="A154" s="139" t="s">
        <v>234</v>
      </c>
      <c r="B154" s="7">
        <v>4000000000</v>
      </c>
      <c r="C154" s="7">
        <v>4257000000</v>
      </c>
      <c r="D154" s="7">
        <v>1575000000</v>
      </c>
      <c r="E154" s="7">
        <v>1359000000</v>
      </c>
      <c r="F154" s="7">
        <v>2818000000</v>
      </c>
    </row>
    <row r="155" spans="1:6">
      <c r="A155" s="139" t="s">
        <v>235</v>
      </c>
      <c r="B155" s="7">
        <v>1527000000</v>
      </c>
      <c r="C155" s="7">
        <v>1500000000</v>
      </c>
      <c r="D155" s="7">
        <v>1030000000</v>
      </c>
      <c r="E155" s="7">
        <v>2630000000</v>
      </c>
      <c r="F155" s="7">
        <v>446000000</v>
      </c>
    </row>
    <row r="156" spans="1:6">
      <c r="A156" s="139" t="s">
        <v>236</v>
      </c>
      <c r="B156" s="7">
        <v>2123000000</v>
      </c>
      <c r="C156" s="7">
        <v>1655000000</v>
      </c>
      <c r="D156" s="7">
        <v>1338000000</v>
      </c>
      <c r="E156" s="7">
        <v>387000000</v>
      </c>
      <c r="F156" s="7">
        <v>583000000</v>
      </c>
    </row>
    <row r="157" spans="1:6">
      <c r="A157" s="139" t="s">
        <v>237</v>
      </c>
      <c r="B157" s="7">
        <v>1376000000</v>
      </c>
      <c r="C157" s="7">
        <v>1382000000</v>
      </c>
      <c r="D157" s="7">
        <v>197000000</v>
      </c>
      <c r="E157" s="7">
        <v>133000000</v>
      </c>
      <c r="F157" s="7">
        <v>1196000000</v>
      </c>
    </row>
    <row r="158" spans="1:6">
      <c r="A158" s="139" t="s">
        <v>238</v>
      </c>
      <c r="B158" s="7">
        <v>1456000000</v>
      </c>
      <c r="C158" s="7">
        <v>372000000</v>
      </c>
      <c r="D158" s="7">
        <v>99000000</v>
      </c>
      <c r="E158" s="7">
        <v>550000000</v>
      </c>
      <c r="F158" s="7">
        <v>651000000</v>
      </c>
    </row>
    <row r="159" spans="1:6">
      <c r="A159" s="139" t="s">
        <v>239</v>
      </c>
      <c r="B159" s="7">
        <v>3227000000</v>
      </c>
      <c r="C159" s="7">
        <v>1983000000</v>
      </c>
      <c r="D159" s="7">
        <v>2294000000</v>
      </c>
      <c r="E159" s="7">
        <v>2414000000</v>
      </c>
      <c r="F159" s="7">
        <v>3291000000</v>
      </c>
    </row>
    <row r="160" spans="1:6">
      <c r="A160" s="139" t="s">
        <v>240</v>
      </c>
      <c r="B160" s="7">
        <v>704000000</v>
      </c>
      <c r="C160" s="7">
        <v>-125000000</v>
      </c>
      <c r="D160" s="7">
        <v>-53000000</v>
      </c>
      <c r="E160" s="7">
        <v>1076000000</v>
      </c>
      <c r="F160" s="7">
        <v>-50000000</v>
      </c>
    </row>
    <row r="161" spans="1:6">
      <c r="A161" s="139" t="s">
        <v>241</v>
      </c>
      <c r="B161" s="7">
        <v>4332000000</v>
      </c>
      <c r="C161" s="7">
        <v>4106000000</v>
      </c>
      <c r="D161" t="s">
        <v>8</v>
      </c>
      <c r="E161" t="s">
        <v>8</v>
      </c>
      <c r="F161" t="s">
        <v>8</v>
      </c>
    </row>
    <row r="162" spans="1:6">
      <c r="A162" s="139" t="s">
        <v>242</v>
      </c>
      <c r="B162" s="7">
        <v>2222000000</v>
      </c>
      <c r="C162" s="7">
        <v>2829000000</v>
      </c>
      <c r="D162" t="s">
        <v>8</v>
      </c>
      <c r="E162" t="s">
        <v>8</v>
      </c>
      <c r="F162" t="s">
        <v>8</v>
      </c>
    </row>
    <row r="163" spans="1:6">
      <c r="A163" s="139" t="s">
        <v>243</v>
      </c>
      <c r="B163" s="7">
        <v>675000000</v>
      </c>
      <c r="C163" s="7">
        <v>606000000</v>
      </c>
      <c r="D163" t="s">
        <v>8</v>
      </c>
      <c r="E163" t="s">
        <v>8</v>
      </c>
      <c r="F163" t="s">
        <v>8</v>
      </c>
    </row>
    <row r="164" spans="1:6">
      <c r="A164" s="139" t="s">
        <v>244</v>
      </c>
      <c r="B164" s="7">
        <v>204000000</v>
      </c>
      <c r="C164" s="7">
        <v>174000000</v>
      </c>
      <c r="D164" t="s">
        <v>8</v>
      </c>
      <c r="E164" t="s">
        <v>8</v>
      </c>
      <c r="F164" t="s">
        <v>8</v>
      </c>
    </row>
    <row r="165" spans="1:6">
      <c r="A165" s="139" t="s">
        <v>245</v>
      </c>
      <c r="B165" s="7">
        <v>1231000000</v>
      </c>
      <c r="C165" s="7">
        <v>497000000</v>
      </c>
      <c r="D165" t="s">
        <v>8</v>
      </c>
      <c r="E165" t="s">
        <v>8</v>
      </c>
      <c r="F165" t="s">
        <v>8</v>
      </c>
    </row>
    <row r="166" spans="1:6">
      <c r="A166" s="139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opLeftCell="A19" workbookViewId="0">
      <selection activeCell="A16" sqref="A16:XFD16"/>
    </sheetView>
  </sheetViews>
  <sheetFormatPr defaultColWidth="66.28515625" defaultRowHeight="12.75"/>
  <cols>
    <col min="1" max="1" width="60.5703125" style="139" customWidth="1"/>
    <col min="2" max="2" width="20.42578125" customWidth="1"/>
    <col min="3" max="3" width="18.5703125" customWidth="1"/>
    <col min="4" max="4" width="17.140625" customWidth="1"/>
    <col min="5" max="5" width="20.7109375" customWidth="1"/>
    <col min="6" max="6" width="18.5703125" customWidth="1"/>
    <col min="7" max="7" width="17.28515625" customWidth="1"/>
  </cols>
  <sheetData>
    <row r="1" spans="1:7">
      <c r="A1" s="138" t="s">
        <v>246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39" t="s">
        <v>247</v>
      </c>
      <c r="B2" s="7">
        <v>8906000000</v>
      </c>
      <c r="C2" s="7">
        <v>7878000000</v>
      </c>
      <c r="D2" s="7">
        <v>9467000000</v>
      </c>
      <c r="E2" s="7">
        <v>9710000000</v>
      </c>
      <c r="F2" s="7">
        <v>11214000000</v>
      </c>
      <c r="G2" s="7">
        <v>12073000000</v>
      </c>
    </row>
    <row r="3" spans="1:7">
      <c r="A3" s="139" t="s">
        <v>248</v>
      </c>
      <c r="B3" s="7">
        <v>27978000000</v>
      </c>
      <c r="C3" s="7">
        <v>26134000000</v>
      </c>
      <c r="D3" s="7">
        <v>28945000000</v>
      </c>
      <c r="E3" s="7">
        <v>29446000000</v>
      </c>
      <c r="F3" s="7">
        <v>32235000000</v>
      </c>
      <c r="G3" s="7">
        <v>32505000000</v>
      </c>
    </row>
    <row r="4" spans="1:7">
      <c r="A4" s="139" t="s">
        <v>249</v>
      </c>
      <c r="B4" s="7">
        <v>27978000000</v>
      </c>
      <c r="C4" s="7">
        <v>26134000000</v>
      </c>
      <c r="D4" s="7">
        <v>28945000000</v>
      </c>
      <c r="E4" s="7">
        <v>29446000000</v>
      </c>
      <c r="F4" s="7">
        <v>32235000000</v>
      </c>
      <c r="G4" s="7">
        <v>32505000000</v>
      </c>
    </row>
    <row r="5" spans="1:7">
      <c r="A5" s="139" t="s">
        <v>250</v>
      </c>
      <c r="B5" s="7">
        <v>-19072000000</v>
      </c>
      <c r="C5" s="7">
        <v>-18256000000</v>
      </c>
      <c r="D5" s="7">
        <v>-19478000000</v>
      </c>
      <c r="E5" s="7">
        <v>-19736000000</v>
      </c>
      <c r="F5" s="7">
        <v>-21021000000</v>
      </c>
      <c r="G5" s="7">
        <v>-20432000000</v>
      </c>
    </row>
    <row r="6" spans="1:7">
      <c r="A6" s="139" t="s">
        <v>251</v>
      </c>
      <c r="B6" s="7">
        <v>-19072000000</v>
      </c>
      <c r="C6" s="7">
        <v>-18256000000</v>
      </c>
      <c r="D6" s="7">
        <v>-19478000000</v>
      </c>
      <c r="E6" s="7">
        <v>-19736000000</v>
      </c>
      <c r="F6" s="7">
        <v>-21021000000</v>
      </c>
      <c r="G6" s="7">
        <v>-20432000000</v>
      </c>
    </row>
    <row r="7" spans="1:7">
      <c r="A7" s="139" t="s">
        <v>252</v>
      </c>
      <c r="B7" s="7">
        <v>-6645000000</v>
      </c>
      <c r="C7" s="7">
        <v>-6022000000</v>
      </c>
      <c r="D7" s="7">
        <v>-6381000000</v>
      </c>
      <c r="E7" s="7">
        <v>-6298000000</v>
      </c>
      <c r="F7" s="7">
        <v>-6860000000</v>
      </c>
      <c r="G7" s="7">
        <v>-7572000000</v>
      </c>
    </row>
    <row r="8" spans="1:7">
      <c r="A8" s="139" t="s">
        <v>253</v>
      </c>
      <c r="B8" s="7">
        <v>-5447000000</v>
      </c>
      <c r="C8" s="7">
        <v>-4895000000</v>
      </c>
      <c r="D8" s="7">
        <v>-5162000000</v>
      </c>
      <c r="E8" s="7">
        <v>-5132000000</v>
      </c>
      <c r="F8" s="7">
        <v>-5543000000</v>
      </c>
      <c r="G8" s="7">
        <v>-5690000000</v>
      </c>
    </row>
    <row r="9" spans="1:7">
      <c r="A9" s="139" t="s">
        <v>254</v>
      </c>
      <c r="B9" s="7">
        <v>-2064000000</v>
      </c>
      <c r="C9" s="7">
        <v>-1808000000</v>
      </c>
      <c r="D9" s="7">
        <v>-1881000000</v>
      </c>
      <c r="E9" s="7">
        <v>-1884000000</v>
      </c>
      <c r="F9" s="7">
        <v>-2128000000</v>
      </c>
      <c r="G9" t="s">
        <v>8</v>
      </c>
    </row>
    <row r="10" spans="1:7">
      <c r="A10" s="139" t="s">
        <v>255</v>
      </c>
      <c r="B10" s="7">
        <v>-3383000000</v>
      </c>
      <c r="C10" s="7">
        <v>-3087000000</v>
      </c>
      <c r="D10" s="7">
        <v>-3281000000</v>
      </c>
      <c r="E10" s="7">
        <v>-3248000000</v>
      </c>
      <c r="F10" s="7">
        <v>-3415000000</v>
      </c>
      <c r="G10" t="s">
        <v>8</v>
      </c>
    </row>
    <row r="11" spans="1:7">
      <c r="A11" s="139" t="s">
        <v>256</v>
      </c>
      <c r="B11" s="7">
        <v>-1198000000</v>
      </c>
      <c r="C11" s="7">
        <v>-1127000000</v>
      </c>
      <c r="D11" s="7">
        <v>-1219000000</v>
      </c>
      <c r="E11" s="7">
        <v>-1166000000</v>
      </c>
      <c r="F11" s="7">
        <v>-1317000000</v>
      </c>
      <c r="G11" s="7">
        <v>-1426000000</v>
      </c>
    </row>
    <row r="12" spans="1:7">
      <c r="A12" s="139" t="s">
        <v>257</v>
      </c>
      <c r="B12" s="7">
        <v>2261000000</v>
      </c>
      <c r="C12" s="7">
        <v>1856000000</v>
      </c>
      <c r="D12" s="7">
        <v>3086000000</v>
      </c>
      <c r="E12" s="7">
        <v>3412000000</v>
      </c>
      <c r="F12" s="7">
        <v>4354000000</v>
      </c>
      <c r="G12" s="7">
        <v>4501000000</v>
      </c>
    </row>
    <row r="13" spans="1:7">
      <c r="A13" s="139" t="s">
        <v>258</v>
      </c>
      <c r="B13" s="7">
        <v>-399000000</v>
      </c>
      <c r="C13" s="7">
        <v>-1015000000</v>
      </c>
      <c r="D13" s="7">
        <v>2701000000</v>
      </c>
      <c r="E13" s="7">
        <v>-18000000</v>
      </c>
      <c r="F13" s="7">
        <v>424000000</v>
      </c>
      <c r="G13" s="7">
        <v>577000000</v>
      </c>
    </row>
    <row r="14" spans="1:7">
      <c r="A14" s="139" t="s">
        <v>259</v>
      </c>
      <c r="B14" s="7">
        <v>-148000000</v>
      </c>
      <c r="C14" s="7">
        <v>-189000000</v>
      </c>
      <c r="D14" s="7">
        <v>-97000000</v>
      </c>
      <c r="E14" s="7">
        <v>-58000000</v>
      </c>
      <c r="F14" s="7">
        <v>-110000000</v>
      </c>
      <c r="G14" s="7">
        <v>27000000</v>
      </c>
    </row>
    <row r="15" spans="1:7">
      <c r="A15" s="139" t="s">
        <v>260</v>
      </c>
      <c r="B15" s="7">
        <v>-148000000</v>
      </c>
      <c r="C15" s="7">
        <v>-189000000</v>
      </c>
      <c r="D15" s="7">
        <v>-97000000</v>
      </c>
      <c r="E15" s="7">
        <v>-58000000</v>
      </c>
      <c r="F15" s="7">
        <v>-110000000</v>
      </c>
      <c r="G15" s="7">
        <v>27000000</v>
      </c>
    </row>
    <row r="16" spans="1:7">
      <c r="A16" s="139" t="s">
        <v>261</v>
      </c>
      <c r="B16" s="7">
        <v>-215000000</v>
      </c>
      <c r="C16" s="7">
        <v>-240000000</v>
      </c>
      <c r="D16" s="7">
        <v>-148000000</v>
      </c>
      <c r="E16" s="7">
        <v>-130000000</v>
      </c>
      <c r="F16" s="7">
        <v>-275000000</v>
      </c>
      <c r="G16" s="7">
        <v>-169000000</v>
      </c>
    </row>
    <row r="17" spans="1:7">
      <c r="A17" s="139" t="s">
        <v>262</v>
      </c>
      <c r="B17" s="7">
        <v>67000000</v>
      </c>
      <c r="C17" s="7">
        <v>51000000</v>
      </c>
      <c r="D17" s="7">
        <v>51000000</v>
      </c>
      <c r="E17" s="7">
        <v>72000000</v>
      </c>
      <c r="F17" s="7">
        <v>165000000</v>
      </c>
      <c r="G17" s="7">
        <v>196000000</v>
      </c>
    </row>
    <row r="18" spans="1:7">
      <c r="A18" s="139" t="s">
        <v>263</v>
      </c>
      <c r="B18" s="7">
        <v>30000000</v>
      </c>
      <c r="C18" s="7">
        <v>5000000</v>
      </c>
      <c r="D18" s="7">
        <v>5000000</v>
      </c>
      <c r="E18" s="7">
        <v>-50000000</v>
      </c>
      <c r="F18" s="7">
        <v>-13000000</v>
      </c>
      <c r="G18" t="s">
        <v>8</v>
      </c>
    </row>
    <row r="19" spans="1:7">
      <c r="A19" s="139" t="s">
        <v>264</v>
      </c>
      <c r="B19" t="s">
        <v>8</v>
      </c>
      <c r="C19" s="7">
        <v>71000000</v>
      </c>
      <c r="D19" s="7">
        <v>105000000</v>
      </c>
      <c r="E19" s="7">
        <v>52000000</v>
      </c>
      <c r="F19" s="7">
        <v>3000000</v>
      </c>
      <c r="G19" t="s">
        <v>8</v>
      </c>
    </row>
    <row r="20" spans="1:7">
      <c r="A20" s="139" t="s">
        <v>265</v>
      </c>
      <c r="B20" s="7">
        <v>30000000</v>
      </c>
      <c r="C20" s="7">
        <v>-66000000</v>
      </c>
      <c r="D20" s="7">
        <v>-100000000</v>
      </c>
      <c r="E20" s="7">
        <v>-102000000</v>
      </c>
      <c r="F20" s="7">
        <v>-16000000</v>
      </c>
      <c r="G20" t="s">
        <v>8</v>
      </c>
    </row>
    <row r="21" spans="1:7">
      <c r="A21" s="139" t="s">
        <v>266</v>
      </c>
      <c r="B21" s="7">
        <v>68000000</v>
      </c>
      <c r="C21" s="7">
        <v>-524000000</v>
      </c>
      <c r="D21" s="7">
        <v>2189000000</v>
      </c>
      <c r="E21" s="7">
        <v>-460000000</v>
      </c>
      <c r="F21" s="7">
        <v>148000000</v>
      </c>
      <c r="G21" s="7">
        <v>148000000</v>
      </c>
    </row>
    <row r="22" spans="1:7">
      <c r="A22" s="139" t="s">
        <v>267</v>
      </c>
      <c r="B22" s="7">
        <v>55000000</v>
      </c>
      <c r="C22" s="7">
        <v>-2000000</v>
      </c>
      <c r="D22" s="7">
        <v>2193000000</v>
      </c>
      <c r="E22" s="7">
        <v>36000000</v>
      </c>
      <c r="F22" s="7">
        <v>101000000</v>
      </c>
      <c r="G22" s="7">
        <v>101000000</v>
      </c>
    </row>
    <row r="23" spans="1:7">
      <c r="A23" s="139" t="s">
        <v>268</v>
      </c>
      <c r="B23" s="7">
        <v>51000000</v>
      </c>
      <c r="C23" s="7">
        <v>37000000</v>
      </c>
      <c r="D23" s="7">
        <v>38000000</v>
      </c>
      <c r="E23" s="7">
        <v>84000000</v>
      </c>
      <c r="F23" s="7">
        <v>116000000</v>
      </c>
      <c r="G23" s="7">
        <v>116000000</v>
      </c>
    </row>
    <row r="24" spans="1:7">
      <c r="A24" s="139" t="s">
        <v>269</v>
      </c>
      <c r="B24" s="7">
        <v>-61000000</v>
      </c>
      <c r="C24" s="7">
        <v>-35000000</v>
      </c>
      <c r="D24" t="s">
        <v>8</v>
      </c>
      <c r="E24" s="7">
        <v>-55000000</v>
      </c>
      <c r="F24" s="7">
        <v>-49000000</v>
      </c>
      <c r="G24" s="7">
        <v>-49000000</v>
      </c>
    </row>
    <row r="25" spans="1:7">
      <c r="A25" s="139" t="s">
        <v>270</v>
      </c>
      <c r="B25" s="7">
        <v>-69000000</v>
      </c>
      <c r="C25" s="7">
        <v>-87000000</v>
      </c>
      <c r="D25" s="7">
        <v>-48000000</v>
      </c>
      <c r="E25" s="7">
        <v>-227000000</v>
      </c>
      <c r="F25" s="7">
        <v>-20000000</v>
      </c>
      <c r="G25" s="7">
        <v>-20000000</v>
      </c>
    </row>
    <row r="26" spans="1:7">
      <c r="A26" s="139" t="s">
        <v>271</v>
      </c>
      <c r="B26" t="s">
        <v>8</v>
      </c>
      <c r="C26" t="s">
        <v>8</v>
      </c>
      <c r="D26" t="s">
        <v>8</v>
      </c>
      <c r="E26" s="7">
        <v>-313000000</v>
      </c>
      <c r="F26" s="7">
        <v>0</v>
      </c>
      <c r="G26" s="7">
        <v>0</v>
      </c>
    </row>
    <row r="27" spans="1:7">
      <c r="A27" s="139" t="s">
        <v>272</v>
      </c>
      <c r="B27" t="s">
        <v>8</v>
      </c>
      <c r="C27" s="7">
        <v>-311000000</v>
      </c>
      <c r="D27" s="7">
        <v>0</v>
      </c>
      <c r="E27" s="7">
        <v>0</v>
      </c>
      <c r="F27" t="s">
        <v>8</v>
      </c>
      <c r="G27" t="s">
        <v>8</v>
      </c>
    </row>
    <row r="28" spans="1:7">
      <c r="A28" s="139" t="s">
        <v>273</v>
      </c>
      <c r="B28" t="s">
        <v>8</v>
      </c>
      <c r="C28" s="7">
        <v>-162000000</v>
      </c>
      <c r="D28" s="7">
        <v>0</v>
      </c>
      <c r="E28" s="7">
        <v>0</v>
      </c>
      <c r="F28" t="s">
        <v>8</v>
      </c>
      <c r="G28" t="s">
        <v>8</v>
      </c>
    </row>
    <row r="29" spans="1:7">
      <c r="A29" s="139" t="s">
        <v>274</v>
      </c>
      <c r="B29" s="7">
        <v>92000000</v>
      </c>
      <c r="C29" s="7">
        <v>36000000</v>
      </c>
      <c r="D29" s="7">
        <v>6000000</v>
      </c>
      <c r="E29" s="7">
        <v>15000000</v>
      </c>
      <c r="F29" t="s">
        <v>8</v>
      </c>
      <c r="G29" t="s">
        <v>8</v>
      </c>
    </row>
    <row r="30" spans="1:7">
      <c r="A30" s="139" t="s">
        <v>275</v>
      </c>
      <c r="B30" s="7">
        <v>-349000000</v>
      </c>
      <c r="C30" s="7">
        <v>-307000000</v>
      </c>
      <c r="D30" s="7">
        <v>604000000</v>
      </c>
      <c r="E30" s="7">
        <v>550000000</v>
      </c>
      <c r="F30" s="7">
        <v>399000000</v>
      </c>
      <c r="G30" s="7">
        <v>415000000</v>
      </c>
    </row>
    <row r="31" spans="1:7">
      <c r="A31" s="139" t="s">
        <v>276</v>
      </c>
      <c r="B31" s="7">
        <v>1862000000</v>
      </c>
      <c r="C31" s="7">
        <v>841000000</v>
      </c>
      <c r="D31" s="7">
        <v>5787000000</v>
      </c>
      <c r="E31" s="7">
        <v>3394000000</v>
      </c>
      <c r="F31" s="7">
        <v>4778000000</v>
      </c>
      <c r="G31" s="7">
        <v>5078000000</v>
      </c>
    </row>
    <row r="32" spans="1:7">
      <c r="A32" s="139" t="s">
        <v>277</v>
      </c>
      <c r="B32" s="7">
        <v>-772000000</v>
      </c>
      <c r="C32" s="7">
        <v>-496000000</v>
      </c>
      <c r="D32" s="7">
        <v>-1057000000</v>
      </c>
      <c r="E32" s="7">
        <v>-757000000</v>
      </c>
      <c r="F32" s="7">
        <v>-930000000</v>
      </c>
      <c r="G32" s="7">
        <v>-1177000000</v>
      </c>
    </row>
    <row r="33" spans="1:7">
      <c r="A33" s="139" t="s">
        <v>278</v>
      </c>
      <c r="B33" s="7">
        <v>1090000000</v>
      </c>
      <c r="C33" s="7">
        <v>345000000</v>
      </c>
      <c r="D33" s="7">
        <v>4730000000</v>
      </c>
      <c r="E33" s="7">
        <v>2637000000</v>
      </c>
      <c r="F33" s="7">
        <v>3848000000</v>
      </c>
      <c r="G33" s="7">
        <v>3901000000</v>
      </c>
    </row>
    <row r="34" spans="1:7">
      <c r="A34" s="139" t="s">
        <v>279</v>
      </c>
      <c r="B34" s="7">
        <v>438000000</v>
      </c>
      <c r="C34" s="7">
        <v>4860000000</v>
      </c>
      <c r="D34" s="7">
        <v>-80000000</v>
      </c>
      <c r="E34" s="7">
        <v>-43000000</v>
      </c>
      <c r="F34" s="7">
        <v>-24000000</v>
      </c>
      <c r="G34" s="7">
        <v>-6000000</v>
      </c>
    </row>
    <row r="35" spans="1:7">
      <c r="A35" s="139" t="s">
        <v>280</v>
      </c>
      <c r="B35" s="7">
        <v>1528000000</v>
      </c>
      <c r="C35" s="7">
        <v>5205000000</v>
      </c>
      <c r="D35" s="7">
        <v>4650000000</v>
      </c>
      <c r="E35" s="7">
        <v>2594000000</v>
      </c>
      <c r="F35" s="7">
        <v>3824000000</v>
      </c>
      <c r="G35" s="7">
        <v>3895000000</v>
      </c>
    </row>
    <row r="36" spans="1:7">
      <c r="A36" s="139" t="s">
        <v>281</v>
      </c>
      <c r="B36" s="7">
        <v>-89000000</v>
      </c>
      <c r="C36" s="7">
        <v>-59000000</v>
      </c>
      <c r="D36" s="7">
        <v>-104000000</v>
      </c>
      <c r="E36" s="7">
        <v>-119000000</v>
      </c>
      <c r="F36" s="7">
        <v>-79000000</v>
      </c>
      <c r="G36" s="7">
        <v>-26000000</v>
      </c>
    </row>
    <row r="37" spans="1:7">
      <c r="A37" s="139" t="s">
        <v>282</v>
      </c>
      <c r="B37" s="7">
        <v>1439000000</v>
      </c>
      <c r="C37" s="7">
        <v>5146000000</v>
      </c>
      <c r="D37" s="7">
        <v>4546000000</v>
      </c>
      <c r="E37" s="7">
        <v>2475000000</v>
      </c>
      <c r="F37" s="7">
        <v>3745000000</v>
      </c>
      <c r="G37" s="7">
        <v>3869000000</v>
      </c>
    </row>
    <row r="38" spans="1:7">
      <c r="A38" s="139" t="s">
        <v>283</v>
      </c>
      <c r="B38" s="7">
        <v>1439000000</v>
      </c>
      <c r="C38" s="7">
        <v>5146000000</v>
      </c>
      <c r="D38" s="7">
        <v>4546000000</v>
      </c>
      <c r="E38" s="7">
        <v>2475000000</v>
      </c>
      <c r="F38" s="7">
        <v>3745000000</v>
      </c>
      <c r="G38" s="7">
        <v>3869000000</v>
      </c>
    </row>
    <row r="39" spans="1:7">
      <c r="A39" s="139" t="s">
        <v>284</v>
      </c>
      <c r="B39" s="7">
        <v>1439000000</v>
      </c>
      <c r="C39" s="7">
        <v>5146000000</v>
      </c>
      <c r="D39" s="7">
        <v>4546000000</v>
      </c>
      <c r="E39" s="7">
        <v>2475000000</v>
      </c>
      <c r="F39" s="7">
        <v>3745000000</v>
      </c>
      <c r="G39" s="7">
        <v>3869000000</v>
      </c>
    </row>
    <row r="40" spans="1:7">
      <c r="A40" s="139" t="s">
        <v>285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</row>
    <row r="41" spans="1:7">
      <c r="A41" s="139" t="s">
        <v>286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</row>
    <row r="42" spans="1:7">
      <c r="A42" s="139" t="s">
        <v>287</v>
      </c>
      <c r="B42" s="7">
        <v>27978000000</v>
      </c>
      <c r="C42" s="7">
        <v>26134000000</v>
      </c>
      <c r="D42" s="7">
        <v>28945000000</v>
      </c>
      <c r="E42" s="7">
        <v>29446000000</v>
      </c>
      <c r="F42" s="7">
        <v>32235000000</v>
      </c>
      <c r="G42" s="7">
        <v>32505000000</v>
      </c>
    </row>
    <row r="43" spans="1:7">
      <c r="A43" s="139" t="s">
        <v>288</v>
      </c>
      <c r="B43" s="7">
        <v>1938000000</v>
      </c>
      <c r="C43" s="7">
        <v>1593000000</v>
      </c>
      <c r="D43" s="7">
        <v>5718000000</v>
      </c>
      <c r="E43" s="7">
        <v>3337000000</v>
      </c>
      <c r="F43" s="7">
        <v>4871000000</v>
      </c>
      <c r="G43" s="7">
        <v>5018000000</v>
      </c>
    </row>
    <row r="44" spans="1:7">
      <c r="A44" s="139" t="s">
        <v>289</v>
      </c>
      <c r="B44" s="7">
        <v>2650000000</v>
      </c>
      <c r="C44" s="7">
        <v>2075000000</v>
      </c>
      <c r="D44" s="7">
        <v>2416000000</v>
      </c>
      <c r="E44" s="7">
        <v>2442000000</v>
      </c>
      <c r="F44" s="7">
        <v>3686000000</v>
      </c>
      <c r="G44" t="s">
        <v>8</v>
      </c>
    </row>
    <row r="45" spans="1:7">
      <c r="A45" s="139" t="s">
        <v>290</v>
      </c>
      <c r="B45" s="7">
        <v>0.41499999999999998</v>
      </c>
      <c r="C45" s="7">
        <v>0.59</v>
      </c>
      <c r="D45" s="7">
        <v>0.183</v>
      </c>
      <c r="E45" s="7">
        <v>0.223</v>
      </c>
      <c r="F45" s="7">
        <v>0.19500000000000001</v>
      </c>
      <c r="G45" t="s">
        <v>8</v>
      </c>
    </row>
    <row r="46" spans="1:7">
      <c r="A46" s="139" t="s">
        <v>291</v>
      </c>
      <c r="B46" s="7">
        <v>3107000000</v>
      </c>
      <c r="C46" s="7">
        <v>2899000000</v>
      </c>
      <c r="D46" s="7">
        <v>4122000000</v>
      </c>
      <c r="E46" s="7">
        <v>4510000000</v>
      </c>
      <c r="F46" s="7">
        <v>5427000000</v>
      </c>
      <c r="G46" s="7">
        <v>2886000000</v>
      </c>
    </row>
    <row r="47" spans="1:7">
      <c r="A47" s="139" t="s">
        <v>292</v>
      </c>
      <c r="B47" s="7">
        <v>0.67</v>
      </c>
      <c r="C47" s="7">
        <v>2.44</v>
      </c>
      <c r="D47" s="7">
        <v>2.27</v>
      </c>
      <c r="E47" s="7">
        <v>1.3</v>
      </c>
      <c r="F47" s="7">
        <v>2.02</v>
      </c>
      <c r="G47" s="7">
        <v>2.1</v>
      </c>
    </row>
    <row r="48" spans="1:7">
      <c r="A48" s="139" t="s">
        <v>293</v>
      </c>
      <c r="B48" s="7">
        <v>0.49</v>
      </c>
      <c r="C48" s="7">
        <v>0.14000000000000001</v>
      </c>
      <c r="D48" s="7">
        <v>2.31</v>
      </c>
      <c r="E48" s="7">
        <v>1.33</v>
      </c>
      <c r="F48" s="7">
        <v>2.0299999999999998</v>
      </c>
      <c r="G48" s="7">
        <v>2.1</v>
      </c>
    </row>
    <row r="49" spans="1:7">
      <c r="A49" s="139" t="s">
        <v>294</v>
      </c>
      <c r="B49" s="7">
        <v>0.19</v>
      </c>
      <c r="C49" s="7">
        <v>2.2999999999999998</v>
      </c>
      <c r="D49" s="7">
        <v>-0.04</v>
      </c>
      <c r="E49" s="7">
        <v>-0.02</v>
      </c>
      <c r="F49" s="7">
        <v>-0.01</v>
      </c>
      <c r="G49" s="7">
        <v>0</v>
      </c>
    </row>
    <row r="50" spans="1:7">
      <c r="A50" s="139" t="s">
        <v>295</v>
      </c>
      <c r="B50" s="7">
        <v>0.67</v>
      </c>
      <c r="C50" s="7">
        <v>2.4300000000000002</v>
      </c>
      <c r="D50" s="7">
        <v>2.25</v>
      </c>
      <c r="E50" s="7">
        <v>1.3</v>
      </c>
      <c r="F50" s="7">
        <v>2.0099999999999998</v>
      </c>
      <c r="G50" s="7">
        <v>2.09</v>
      </c>
    </row>
    <row r="51" spans="1:7">
      <c r="A51" s="139" t="s">
        <v>296</v>
      </c>
      <c r="B51" s="7">
        <v>0.49</v>
      </c>
      <c r="C51" s="7">
        <v>0.14000000000000001</v>
      </c>
      <c r="D51" s="7">
        <v>2.29</v>
      </c>
      <c r="E51" s="7">
        <v>1.32</v>
      </c>
      <c r="F51" s="7">
        <v>2.02</v>
      </c>
      <c r="G51" s="7">
        <v>2.09</v>
      </c>
    </row>
    <row r="52" spans="1:7">
      <c r="A52" s="139" t="s">
        <v>297</v>
      </c>
      <c r="B52" s="7">
        <v>0.19</v>
      </c>
      <c r="C52" s="7">
        <v>2.29</v>
      </c>
      <c r="D52" s="7">
        <v>-0.04</v>
      </c>
      <c r="E52" s="7">
        <v>-0.02</v>
      </c>
      <c r="F52" s="7">
        <v>-0.01</v>
      </c>
      <c r="G52" s="7">
        <v>0</v>
      </c>
    </row>
    <row r="53" spans="1:7">
      <c r="A53" s="139" t="s">
        <v>298</v>
      </c>
      <c r="B53" s="7">
        <v>2133000000</v>
      </c>
      <c r="C53" s="7">
        <v>2111000000</v>
      </c>
      <c r="D53" s="7">
        <v>2001000000</v>
      </c>
      <c r="E53" s="7">
        <v>1899000000</v>
      </c>
      <c r="F53" s="7">
        <v>1855000000</v>
      </c>
      <c r="G53" s="7">
        <v>1844500000</v>
      </c>
    </row>
    <row r="54" spans="1:7">
      <c r="A54" s="139" t="s">
        <v>299</v>
      </c>
      <c r="B54" s="7">
        <v>2135000000</v>
      </c>
      <c r="C54" s="7">
        <v>2119000000</v>
      </c>
      <c r="D54" s="7">
        <v>2019000000</v>
      </c>
      <c r="E54" s="7">
        <v>1910000000</v>
      </c>
      <c r="F54" s="7">
        <v>1867000000</v>
      </c>
      <c r="G54" s="7">
        <v>1853500000</v>
      </c>
    </row>
    <row r="55" spans="1:7">
      <c r="A55" s="139" t="s">
        <v>300</v>
      </c>
      <c r="B55" s="7">
        <v>0.8</v>
      </c>
      <c r="C55" s="7">
        <v>0.83</v>
      </c>
      <c r="D55" s="7">
        <v>0.88</v>
      </c>
      <c r="E55" s="7">
        <v>0.89</v>
      </c>
      <c r="F55" s="7">
        <v>0.91</v>
      </c>
      <c r="G55" s="7">
        <v>0.98</v>
      </c>
    </row>
    <row r="56" spans="1:7">
      <c r="A56" s="139" t="s">
        <v>301</v>
      </c>
      <c r="B56" s="7">
        <v>0.8</v>
      </c>
      <c r="C56" s="7">
        <v>0.83</v>
      </c>
      <c r="D56" s="7">
        <v>0.88</v>
      </c>
      <c r="E56" s="7">
        <v>0.89</v>
      </c>
      <c r="F56" s="7">
        <v>0.91</v>
      </c>
      <c r="G56" s="7">
        <v>0.98</v>
      </c>
    </row>
    <row r="57" spans="1:7">
      <c r="A57" s="139" t="s">
        <v>302</v>
      </c>
      <c r="B57" s="7">
        <v>1.24</v>
      </c>
      <c r="C57" s="7">
        <v>0.98</v>
      </c>
      <c r="D57" t="s">
        <v>8</v>
      </c>
      <c r="E57" t="s">
        <v>8</v>
      </c>
      <c r="F57" t="s">
        <v>8</v>
      </c>
      <c r="G57" t="s">
        <v>8</v>
      </c>
    </row>
    <row r="58" spans="1:7">
      <c r="A58" s="139" t="s">
        <v>292</v>
      </c>
      <c r="B58" s="7">
        <v>0.67</v>
      </c>
      <c r="C58" s="7">
        <v>2.44</v>
      </c>
      <c r="D58" s="7">
        <v>2.27</v>
      </c>
      <c r="E58" s="7">
        <v>1.3</v>
      </c>
      <c r="F58" s="7">
        <v>2.02</v>
      </c>
      <c r="G58" s="7">
        <v>2.1</v>
      </c>
    </row>
    <row r="59" spans="1:7">
      <c r="A59" s="139" t="s">
        <v>295</v>
      </c>
      <c r="B59" s="7">
        <v>0.67</v>
      </c>
      <c r="C59" s="7">
        <v>2.4300000000000002</v>
      </c>
      <c r="D59" s="7">
        <v>2.25</v>
      </c>
      <c r="E59" s="7">
        <v>1.3</v>
      </c>
      <c r="F59" s="7">
        <v>2.0099999999999998</v>
      </c>
      <c r="G59" s="7">
        <v>2.09</v>
      </c>
    </row>
    <row r="60" spans="1:7">
      <c r="A60" s="139" t="s">
        <v>303</v>
      </c>
      <c r="B60" s="7">
        <v>2133000000</v>
      </c>
      <c r="C60" s="7">
        <v>2111000000</v>
      </c>
      <c r="D60" s="7">
        <v>2001000000</v>
      </c>
      <c r="E60" s="7">
        <v>1899000000</v>
      </c>
      <c r="F60" s="7">
        <v>1855000000</v>
      </c>
      <c r="G60" s="7">
        <v>1844500000</v>
      </c>
    </row>
    <row r="61" spans="1:7">
      <c r="A61" s="139" t="s">
        <v>304</v>
      </c>
      <c r="B61" s="7">
        <v>2135000000</v>
      </c>
      <c r="C61" s="7">
        <v>2119000000</v>
      </c>
      <c r="D61" s="7">
        <v>2019000000</v>
      </c>
      <c r="E61" s="7">
        <v>1910000000</v>
      </c>
      <c r="F61" s="7">
        <v>1867000000</v>
      </c>
      <c r="G61" s="7">
        <v>1853500000</v>
      </c>
    </row>
    <row r="62" spans="1:7">
      <c r="A62" s="139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A12" sqref="A12"/>
    </sheetView>
  </sheetViews>
  <sheetFormatPr defaultRowHeight="13.5"/>
  <cols>
    <col min="1" max="1" width="34" style="36" customWidth="1"/>
    <col min="2" max="2" width="29.85546875" style="36" customWidth="1"/>
    <col min="3" max="3" width="19" style="36" customWidth="1"/>
    <col min="4" max="4" width="2.85546875" style="36" hidden="1" customWidth="1"/>
    <col min="5" max="5" width="18" style="36" customWidth="1"/>
    <col min="6" max="6" width="18.85546875" style="36" customWidth="1"/>
    <col min="7" max="8" width="18" style="36" customWidth="1"/>
    <col min="9" max="9" width="18.28515625" style="36" customWidth="1"/>
    <col min="10" max="10" width="17.42578125" style="36" customWidth="1"/>
    <col min="11" max="11" width="18.42578125" style="36" customWidth="1"/>
    <col min="12" max="13" width="16.140625" customWidth="1"/>
    <col min="14" max="14" width="17.7109375" customWidth="1"/>
  </cols>
  <sheetData>
    <row r="1" spans="1:14" ht="16.5">
      <c r="A1" s="8"/>
      <c r="B1" s="9"/>
      <c r="C1" s="9"/>
      <c r="D1" s="10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</row>
    <row r="2" spans="1:14" ht="18">
      <c r="A2" s="11" t="s">
        <v>305</v>
      </c>
      <c r="B2" s="142"/>
      <c r="C2" s="12" t="s">
        <v>306</v>
      </c>
      <c r="D2" s="12" t="str">
        <f t="shared" ref="D2:K2" si="0">CONCATENATE("FY",RIGHT(C2,4)+1)</f>
        <v>FY2018</v>
      </c>
      <c r="E2" s="12" t="str">
        <f>CONCATENATE("FY",RIGHT(D2,4)+1)</f>
        <v>FY2019</v>
      </c>
      <c r="F2" s="12" t="str">
        <f t="shared" si="0"/>
        <v>FY2020</v>
      </c>
      <c r="G2" s="12" t="str">
        <f t="shared" si="0"/>
        <v>FY2021</v>
      </c>
      <c r="H2" s="12" t="str">
        <f t="shared" si="0"/>
        <v>FY2022</v>
      </c>
      <c r="I2" s="12" t="str">
        <f t="shared" si="0"/>
        <v>FY2023</v>
      </c>
      <c r="J2" s="12" t="str">
        <f t="shared" si="0"/>
        <v>FY2024</v>
      </c>
      <c r="K2" s="12" t="str">
        <f t="shared" si="0"/>
        <v>FY2025</v>
      </c>
      <c r="L2" s="12" t="str">
        <f t="shared" ref="L2" si="1">CONCATENATE("FY",RIGHT(K2,4)+1)</f>
        <v>FY2026</v>
      </c>
      <c r="M2" s="12" t="str">
        <f t="shared" ref="M2" si="2">CONCATENATE("FY",RIGHT(L2,4)+1)</f>
        <v>FY2027</v>
      </c>
      <c r="N2" s="12" t="str">
        <f t="shared" ref="N2" si="3">CONCATENATE("FY",RIGHT(M2,4)+1)</f>
        <v>FY2028</v>
      </c>
    </row>
    <row r="3" spans="1:14">
      <c r="A3" s="13"/>
      <c r="B3" s="14"/>
      <c r="C3" s="15"/>
      <c r="D3" s="15"/>
      <c r="E3" s="15"/>
      <c r="F3" s="15"/>
      <c r="G3" s="15"/>
      <c r="H3" s="15"/>
      <c r="I3" s="15"/>
      <c r="J3" s="15"/>
      <c r="K3" s="15"/>
    </row>
    <row r="4" spans="1:14" ht="15.75">
      <c r="A4" s="16" t="s">
        <v>307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6.5">
      <c r="A5" s="145" t="s">
        <v>308</v>
      </c>
      <c r="B5" s="140">
        <f>'Balance Sheet'!F60/'Balance Sheet'!F2</f>
        <v>0.65446995603321934</v>
      </c>
      <c r="C5" s="20"/>
      <c r="D5" s="20"/>
      <c r="E5" s="27">
        <f>'Balance Sheet'!B60/'Balance Sheet'!B2</f>
        <v>0.6967988201613603</v>
      </c>
      <c r="F5" s="27">
        <f>'Balance Sheet'!C60/'Balance Sheet'!C2</f>
        <v>0.61061623831775702</v>
      </c>
      <c r="G5" s="27">
        <f>'Balance Sheet'!D60/'Balance Sheet'!D2</f>
        <v>0.60365126676602088</v>
      </c>
      <c r="H5" s="27">
        <f>'Balance Sheet'!E60/'Balance Sheet'!E2</f>
        <v>0.66097884949422703</v>
      </c>
      <c r="I5" s="27">
        <f>'Balance Sheet'!F60/'Balance Sheet'!F2</f>
        <v>0.65446995603321934</v>
      </c>
      <c r="J5" s="20"/>
      <c r="K5" s="20"/>
    </row>
    <row r="6" spans="1:14" ht="16.5">
      <c r="A6" s="183" t="s">
        <v>645</v>
      </c>
      <c r="B6" s="144">
        <v>0.06</v>
      </c>
      <c r="C6" s="145" t="s">
        <v>644</v>
      </c>
      <c r="D6" s="20"/>
      <c r="E6" s="141">
        <v>2.5000000000000001E-2</v>
      </c>
      <c r="F6" s="141"/>
      <c r="G6" s="141"/>
      <c r="H6" s="141"/>
      <c r="I6" s="141"/>
      <c r="J6" s="20"/>
      <c r="K6" s="20"/>
    </row>
    <row r="7" spans="1:14" ht="16.5">
      <c r="A7" s="145" t="s">
        <v>309</v>
      </c>
      <c r="B7" s="140">
        <f>WACC!D14</f>
        <v>6.1484999999999998E-2</v>
      </c>
      <c r="C7" s="20"/>
      <c r="D7" s="20"/>
      <c r="E7" s="141"/>
      <c r="F7" s="27"/>
      <c r="G7" s="27"/>
      <c r="H7" s="27"/>
      <c r="I7" s="141"/>
      <c r="J7" s="20"/>
      <c r="K7" s="20"/>
    </row>
    <row r="8" spans="1:14" ht="16.5">
      <c r="A8" s="145" t="s">
        <v>310</v>
      </c>
      <c r="B8" s="140">
        <f>-('Income Statement'!G16/'FCFF and FCFE'!B15)</f>
        <v>3.1838733986435566E-2</v>
      </c>
      <c r="C8" s="20"/>
      <c r="D8" s="20"/>
      <c r="E8" s="141">
        <f>'Income Statement'!B16/('Balance Sheet'!B71+'Balance Sheet'!B90)</f>
        <v>-2.8252299605781867E-2</v>
      </c>
      <c r="F8" s="141">
        <f>'Income Statement'!C16/('Balance Sheet'!C71+'Balance Sheet'!C90)</f>
        <v>-4.8183095763902832E-2</v>
      </c>
      <c r="G8" s="141">
        <f>'Income Statement'!D16/('Balance Sheet'!D71+'Balance Sheet'!D90)</f>
        <v>-3.4782608695652174E-2</v>
      </c>
      <c r="H8" s="141">
        <f>'Income Statement'!E16/('Balance Sheet'!E71+'Balance Sheet'!E90)</f>
        <v>-1.9723865877712032E-2</v>
      </c>
      <c r="I8" s="141">
        <f>'Income Statement'!F16/('Balance Sheet'!F71+'Balance Sheet'!F90)</f>
        <v>-5.1808590806330067E-2</v>
      </c>
      <c r="J8" s="20"/>
      <c r="K8" s="20"/>
    </row>
    <row r="9" spans="1:14" ht="16.5">
      <c r="A9" s="145" t="s">
        <v>311</v>
      </c>
      <c r="B9" s="140">
        <f>B8*(1-I18)</f>
        <v>2.5630180859080628E-2</v>
      </c>
      <c r="C9" s="20"/>
      <c r="D9" s="20"/>
      <c r="E9" s="141">
        <f>E8*(1+E18)</f>
        <v>-3.9977003942181344E-2</v>
      </c>
      <c r="F9" s="141">
        <f t="shared" ref="F9:I9" si="4">F8*(1+F18)</f>
        <v>-7.6611122264605494E-2</v>
      </c>
      <c r="G9" s="141">
        <f t="shared" si="4"/>
        <v>-4.1147826086956524E-2</v>
      </c>
      <c r="H9" s="141">
        <f t="shared" si="4"/>
        <v>-2.4122287968441816E-2</v>
      </c>
      <c r="I9" s="141">
        <f t="shared" si="4"/>
        <v>-6.1911266013564434E-2</v>
      </c>
      <c r="J9" s="20"/>
      <c r="K9" s="20"/>
    </row>
    <row r="10" spans="1:14" ht="16.5">
      <c r="A10" s="145" t="s">
        <v>642</v>
      </c>
      <c r="B10" s="140">
        <f>WACC!D21</f>
        <v>5.1702056646448037E-2</v>
      </c>
      <c r="C10" s="20"/>
      <c r="D10" s="20"/>
      <c r="E10" s="20"/>
      <c r="F10" s="20"/>
      <c r="G10" s="20"/>
      <c r="H10" s="20"/>
      <c r="I10" s="141"/>
      <c r="J10" s="20"/>
      <c r="K10" s="20"/>
    </row>
    <row r="11" spans="1:14" ht="16.5">
      <c r="A11" s="146" t="s">
        <v>344</v>
      </c>
      <c r="B11" s="143">
        <v>0.9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4" ht="15.75">
      <c r="A12" s="16" t="s">
        <v>312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6.5">
      <c r="A13" s="18" t="s">
        <v>313</v>
      </c>
      <c r="B13" s="21"/>
      <c r="C13" s="22"/>
      <c r="D13" s="22">
        <f t="shared" ref="D13:J13" si="5">SUM(E25:K25)*(1+$B$10)^D1</f>
        <v>229129765323.32425</v>
      </c>
      <c r="E13" s="22">
        <f t="shared" si="5"/>
        <v>227640823427.43076</v>
      </c>
      <c r="F13" s="22">
        <f t="shared" si="5"/>
        <v>226670527476.43594</v>
      </c>
      <c r="G13" s="22">
        <f t="shared" si="5"/>
        <v>227912831173.28003</v>
      </c>
      <c r="H13" s="22">
        <f t="shared" si="5"/>
        <v>202639269281.05334</v>
      </c>
      <c r="I13" s="22">
        <f t="shared" si="5"/>
        <v>174249166260.21719</v>
      </c>
      <c r="J13" s="22">
        <f t="shared" si="5"/>
        <v>141900667060.44327</v>
      </c>
      <c r="K13" s="22">
        <f t="shared" ref="K13" si="6">SUM(L25:R25)*(1+$B$10)^K1</f>
        <v>109095666474.93484</v>
      </c>
      <c r="L13" s="22">
        <f t="shared" ref="L13" si="7">SUM(M25:S25)*(1+$B$10)^L1</f>
        <v>74870632939.497299</v>
      </c>
      <c r="M13" s="22">
        <f t="shared" ref="M13" si="8">SUM(N25:T25)*(1+$B$10)^M1</f>
        <v>38456406129.191109</v>
      </c>
      <c r="N13" s="22">
        <f t="shared" ref="N13" si="9">SUM(O25:U25)*(1+$B$10)^N1</f>
        <v>0</v>
      </c>
    </row>
    <row r="14" spans="1:14" ht="16.5">
      <c r="A14" s="18" t="s">
        <v>314</v>
      </c>
      <c r="B14" s="21"/>
      <c r="C14" s="22">
        <f>B30</f>
        <v>0</v>
      </c>
      <c r="D14" s="22">
        <f>D13*$B$5</f>
        <v>149958547437.05789</v>
      </c>
      <c r="E14" s="22">
        <f t="shared" ref="E14:M14" si="10">E13*$B$5</f>
        <v>148984079699.91644</v>
      </c>
      <c r="F14" s="22">
        <f t="shared" si="10"/>
        <v>148349050151.52966</v>
      </c>
      <c r="G14" s="22">
        <f t="shared" si="10"/>
        <v>149162100597.38312</v>
      </c>
      <c r="H14" s="22">
        <f t="shared" si="10"/>
        <v>132621313656.97467</v>
      </c>
      <c r="I14" s="22">
        <f t="shared" si="10"/>
        <v>114040844181.14948</v>
      </c>
      <c r="J14" s="22">
        <f t="shared" si="10"/>
        <v>92869723332.132797</v>
      </c>
      <c r="K14" s="22">
        <f t="shared" si="10"/>
        <v>71399836041.265366</v>
      </c>
      <c r="L14" s="22">
        <f t="shared" si="10"/>
        <v>49000579848.092102</v>
      </c>
      <c r="M14" s="22">
        <f t="shared" si="10"/>
        <v>25168562428.567333</v>
      </c>
    </row>
    <row r="15" spans="1:14" s="147" customFormat="1" ht="16.5">
      <c r="A15" s="33" t="s">
        <v>667</v>
      </c>
      <c r="B15" s="176">
        <f>'Balance Sheet'!F71+'Balance Sheet'!F90</f>
        <v>5308000000</v>
      </c>
      <c r="C15" s="27"/>
      <c r="D15" s="27"/>
      <c r="E15" s="27"/>
      <c r="F15" s="27"/>
      <c r="G15" s="27"/>
      <c r="H15" s="27"/>
      <c r="I15" s="27"/>
      <c r="J15" s="27"/>
      <c r="K15" s="27"/>
    </row>
    <row r="16" spans="1:14" ht="15.75">
      <c r="A16" s="16" t="s">
        <v>315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ht="16.5">
      <c r="A17" s="18" t="s">
        <v>316</v>
      </c>
      <c r="B17" s="21"/>
      <c r="C17" s="23"/>
      <c r="D17" s="23">
        <v>102.52560000000011</v>
      </c>
      <c r="E17" s="23">
        <f>'Income Statement'!B3+('Income Statement'!B5)+('Income Statement'!B7)</f>
        <v>2261000000</v>
      </c>
      <c r="F17" s="23">
        <f>'Income Statement'!C3+('Income Statement'!C5)+('Income Statement'!C7)</f>
        <v>1856000000</v>
      </c>
      <c r="G17" s="23">
        <f>'Income Statement'!D3+('Income Statement'!D5)+('Income Statement'!D7)</f>
        <v>3086000000</v>
      </c>
      <c r="H17" s="23">
        <f>'Income Statement'!E3+('Income Statement'!E5)+('Income Statement'!E7)</f>
        <v>3412000000</v>
      </c>
      <c r="I17" s="23">
        <f>'Income Statement'!F3+('Income Statement'!F5)+('Income Statement'!F7)</f>
        <v>4354000000</v>
      </c>
      <c r="J17" s="23">
        <f>'Income Statement'!G3+('Income Statement'!G5)+('Income Statement'!G7)</f>
        <v>4501000000</v>
      </c>
      <c r="K17" s="23">
        <f>J17*(1+($B6))</f>
        <v>4771060000</v>
      </c>
      <c r="L17" s="23">
        <f t="shared" ref="L17:N17" si="11">K17*(1+($B10))</f>
        <v>5017733614.3836031</v>
      </c>
      <c r="M17" s="23">
        <f t="shared" si="11"/>
        <v>5277160761.951251</v>
      </c>
      <c r="N17" s="23">
        <f t="shared" si="11"/>
        <v>5550000826.5980682</v>
      </c>
    </row>
    <row r="18" spans="1:14" ht="16.5">
      <c r="A18" s="18" t="s">
        <v>317</v>
      </c>
      <c r="B18" s="19"/>
      <c r="C18" s="19"/>
      <c r="D18" s="19">
        <v>0.3</v>
      </c>
      <c r="E18" s="19">
        <f>'Income Statement'!B45</f>
        <v>0.41499999999999998</v>
      </c>
      <c r="F18" s="19">
        <f>'Income Statement'!C45</f>
        <v>0.59</v>
      </c>
      <c r="G18" s="19">
        <f>'Income Statement'!D45</f>
        <v>0.183</v>
      </c>
      <c r="H18" s="19">
        <f>'Income Statement'!E45</f>
        <v>0.223</v>
      </c>
      <c r="I18" s="19">
        <f>'Income Statement'!F45</f>
        <v>0.19500000000000001</v>
      </c>
      <c r="J18" s="19">
        <f>-('Income Statement'!G32/'Income Statement'!G31)</f>
        <v>0.23178416699487989</v>
      </c>
      <c r="K18" s="19">
        <f>AVERAGE(E18:J18)</f>
        <v>0.30629736116581335</v>
      </c>
      <c r="L18" s="156">
        <f t="shared" ref="L18:N18" si="12">AVERAGE(F18:K18)</f>
        <v>0.28818025469344882</v>
      </c>
      <c r="M18" s="156">
        <f t="shared" si="12"/>
        <v>0.23787696380902368</v>
      </c>
      <c r="N18" s="156">
        <f t="shared" si="12"/>
        <v>0.24702312444386099</v>
      </c>
    </row>
    <row r="19" spans="1:14" ht="16.5">
      <c r="A19" s="24" t="s">
        <v>318</v>
      </c>
      <c r="B19" s="25"/>
      <c r="C19" s="26"/>
      <c r="D19" s="26">
        <f>D17*(1-D18)</f>
        <v>71.767920000000075</v>
      </c>
      <c r="E19" s="26">
        <f>E17*(1-(E18))</f>
        <v>1322685000</v>
      </c>
      <c r="F19" s="26">
        <f t="shared" ref="F19:N19" si="13">F17*(1-(F18))</f>
        <v>760960000</v>
      </c>
      <c r="G19" s="26">
        <f t="shared" si="13"/>
        <v>2521262000</v>
      </c>
      <c r="H19" s="26">
        <f t="shared" si="13"/>
        <v>2651124000</v>
      </c>
      <c r="I19" s="26">
        <f t="shared" si="13"/>
        <v>3504969999.9999995</v>
      </c>
      <c r="J19" s="26">
        <f t="shared" si="13"/>
        <v>3457739464.3560457</v>
      </c>
      <c r="K19" s="26">
        <f t="shared" si="13"/>
        <v>3309696912.0362349</v>
      </c>
      <c r="L19" s="26">
        <f t="shared" si="13"/>
        <v>3571721863.4066567</v>
      </c>
      <c r="M19" s="26">
        <f t="shared" si="13"/>
        <v>4021845782.3661733</v>
      </c>
      <c r="N19" s="26">
        <f t="shared" si="13"/>
        <v>4179022281.7458024</v>
      </c>
    </row>
    <row r="20" spans="1:14" ht="16.5">
      <c r="A20" s="18" t="s">
        <v>319</v>
      </c>
      <c r="B20" s="21"/>
      <c r="C20" s="27"/>
      <c r="D20" s="23">
        <v>207.5</v>
      </c>
      <c r="E20" s="23">
        <f>SUM('Balance Sheet'!B34:B42)</f>
        <v>41159000000</v>
      </c>
      <c r="F20" s="23">
        <f>SUM('Balance Sheet'!C34:C42)</f>
        <v>40628000000</v>
      </c>
      <c r="G20" s="23">
        <f>SUM('Balance Sheet'!D34:D42)</f>
        <v>36887000000</v>
      </c>
      <c r="H20" s="23">
        <f>SUM('Balance Sheet'!E34:E42)</f>
        <v>36851000000</v>
      </c>
      <c r="I20" s="23">
        <f>SUM('Balance Sheet'!F34:F42)</f>
        <v>36259000000</v>
      </c>
      <c r="J20" s="23">
        <f>AVERAGE(E20:I20)</f>
        <v>38356800000</v>
      </c>
      <c r="K20" s="23">
        <f t="shared" ref="K20:N20" si="14">AVERAGE(F20:J20)</f>
        <v>37796360000</v>
      </c>
      <c r="L20" s="23">
        <f t="shared" si="14"/>
        <v>37230032000</v>
      </c>
      <c r="M20" s="23">
        <f t="shared" si="14"/>
        <v>37298638400</v>
      </c>
      <c r="N20" s="23">
        <f t="shared" si="14"/>
        <v>37388166080</v>
      </c>
    </row>
    <row r="21" spans="1:14" ht="16.5">
      <c r="A21" s="18" t="s">
        <v>320</v>
      </c>
      <c r="B21" s="21"/>
      <c r="C21" s="27"/>
      <c r="D21" s="23">
        <v>-0.30392069999999993</v>
      </c>
      <c r="E21" s="23">
        <f>'Cash Flow statement'!B25</f>
        <v>-372000000</v>
      </c>
      <c r="F21" s="23">
        <f>'Cash Flow statement'!C25</f>
        <v>352000000</v>
      </c>
      <c r="G21" s="23">
        <f>'Cash Flow statement'!D25</f>
        <v>308000000</v>
      </c>
      <c r="H21" s="23">
        <f>'Cash Flow statement'!E25</f>
        <v>-1683000000</v>
      </c>
      <c r="I21" s="23">
        <f>'Cash Flow statement'!F25</f>
        <v>-127000000</v>
      </c>
      <c r="J21" s="23">
        <f>'Cash Flow statement'!G25</f>
        <v>369000000</v>
      </c>
      <c r="K21" s="23">
        <f>AVERAGE(E21:J21)</f>
        <v>-192166666.66666666</v>
      </c>
      <c r="L21" s="23">
        <f t="shared" ref="L21:N21" si="15">AVERAGE(F21:K21)</f>
        <v>-162194444.44444445</v>
      </c>
      <c r="M21" s="23">
        <f t="shared" si="15"/>
        <v>-247893518.51851854</v>
      </c>
      <c r="N21" s="23">
        <f t="shared" si="15"/>
        <v>-340542438.27160496</v>
      </c>
    </row>
    <row r="22" spans="1:14" ht="16.5">
      <c r="A22" s="18" t="s">
        <v>321</v>
      </c>
      <c r="B22" s="28"/>
      <c r="C22" s="27"/>
      <c r="D22" s="23">
        <v>200</v>
      </c>
      <c r="E22" s="23">
        <f>'Cash Flow statement'!B41</f>
        <v>-762000000</v>
      </c>
      <c r="F22" s="23">
        <f>'Cash Flow statement'!C41</f>
        <v>-694000000</v>
      </c>
      <c r="G22" s="23">
        <f>'Cash Flow statement'!D41</f>
        <v>-820000000</v>
      </c>
      <c r="H22" s="23">
        <f>'Cash Flow statement'!E41</f>
        <v>-762000000</v>
      </c>
      <c r="I22" s="23">
        <f>'Cash Flow statement'!F41</f>
        <v>-770000000</v>
      </c>
      <c r="J22" s="23">
        <f>'Cash Flow statement'!G41</f>
        <v>-826000000</v>
      </c>
      <c r="K22" s="23">
        <f>AVERAGE(E22:J22)</f>
        <v>-772333333.33333337</v>
      </c>
      <c r="L22" s="23">
        <f t="shared" ref="L22:N22" si="16">AVERAGE(F22:K22)</f>
        <v>-774055555.55555546</v>
      </c>
      <c r="M22" s="23">
        <f t="shared" si="16"/>
        <v>-787398148.14814818</v>
      </c>
      <c r="N22" s="23">
        <f t="shared" si="16"/>
        <v>-781964506.17283952</v>
      </c>
    </row>
    <row r="23" spans="1:14" ht="18.75">
      <c r="A23" s="152" t="s">
        <v>322</v>
      </c>
      <c r="B23" s="148"/>
      <c r="C23" s="26"/>
      <c r="D23" s="26" t="e">
        <f>D19+D20+#REF!-D21-D22</f>
        <v>#REF!</v>
      </c>
      <c r="E23" s="26">
        <f>SUM(E19:E22)</f>
        <v>41347685000</v>
      </c>
      <c r="F23" s="26">
        <f t="shared" ref="F23:N23" si="17">SUM(F19:F22)</f>
        <v>41046960000</v>
      </c>
      <c r="G23" s="26">
        <f t="shared" si="17"/>
        <v>38896262000</v>
      </c>
      <c r="H23" s="26">
        <f t="shared" si="17"/>
        <v>37057124000</v>
      </c>
      <c r="I23" s="26">
        <f t="shared" si="17"/>
        <v>38866970000</v>
      </c>
      <c r="J23" s="26">
        <f t="shared" si="17"/>
        <v>41357539464.356049</v>
      </c>
      <c r="K23" s="26">
        <f t="shared" si="17"/>
        <v>40141556912.036232</v>
      </c>
      <c r="L23" s="26">
        <f t="shared" si="17"/>
        <v>39865503863.406654</v>
      </c>
      <c r="M23" s="26">
        <f t="shared" si="17"/>
        <v>40285192515.699509</v>
      </c>
      <c r="N23" s="26">
        <f t="shared" si="17"/>
        <v>40444681417.301361</v>
      </c>
    </row>
    <row r="24" spans="1:14" ht="18.75">
      <c r="A24" s="153" t="s">
        <v>323</v>
      </c>
      <c r="B24" s="150">
        <f>J23*(1+(E6))/B10-(E6)</f>
        <v>819918600933.95276</v>
      </c>
      <c r="C24" s="29"/>
      <c r="D24" s="30">
        <v>1</v>
      </c>
      <c r="E24" s="30"/>
      <c r="F24" s="30">
        <v>3</v>
      </c>
      <c r="G24" s="30">
        <v>4</v>
      </c>
      <c r="H24" s="30">
        <v>5</v>
      </c>
      <c r="I24" s="30">
        <v>6</v>
      </c>
      <c r="J24" s="30">
        <v>7</v>
      </c>
      <c r="K24" s="31"/>
    </row>
    <row r="25" spans="1:14" ht="18.75">
      <c r="A25" s="153" t="s">
        <v>655</v>
      </c>
      <c r="B25" s="151">
        <f>SUM(E25:J25)</f>
        <v>200923528341.57611</v>
      </c>
      <c r="C25" s="29"/>
      <c r="D25" s="31" t="e">
        <f t="shared" ref="D25:J25" si="18">D23/(1+$B$10)^D1</f>
        <v>#REF!</v>
      </c>
      <c r="E25" s="31">
        <f t="shared" si="18"/>
        <v>39315017726.45092</v>
      </c>
      <c r="F25" s="31">
        <f t="shared" si="18"/>
        <v>37110392844.122551</v>
      </c>
      <c r="G25" s="31">
        <f t="shared" si="18"/>
        <v>33437184169.118587</v>
      </c>
      <c r="H25" s="31">
        <f t="shared" si="18"/>
        <v>30290107728.826317</v>
      </c>
      <c r="I25" s="31">
        <f t="shared" si="18"/>
        <v>30207658931.881264</v>
      </c>
      <c r="J25" s="31">
        <f t="shared" si="18"/>
        <v>30563166941.176491</v>
      </c>
      <c r="K25" s="31">
        <f>(K24+K23)/(1+$B$10)^K1</f>
        <v>28206236981.74815</v>
      </c>
      <c r="L25" s="31">
        <f t="shared" ref="L25:N25" si="19">(L24+L23)/(1+$B$10)^L1</f>
        <v>26635169933.293697</v>
      </c>
      <c r="M25" s="31">
        <f t="shared" si="19"/>
        <v>25592395262.107872</v>
      </c>
      <c r="N25" s="31">
        <f t="shared" si="19"/>
        <v>24430603022.062218</v>
      </c>
    </row>
    <row r="26" spans="1:14" ht="16.5">
      <c r="A26" s="32"/>
      <c r="B26" s="28"/>
      <c r="C26" s="29"/>
      <c r="D26" s="29"/>
      <c r="E26" s="29"/>
      <c r="F26" s="29"/>
      <c r="G26" s="29"/>
      <c r="H26" s="29"/>
      <c r="I26" s="29"/>
      <c r="J26" s="29"/>
      <c r="K26" s="29"/>
    </row>
    <row r="27" spans="1:14" ht="16.5">
      <c r="A27" s="18"/>
      <c r="B27" s="28"/>
      <c r="C27" s="29"/>
      <c r="D27" s="29"/>
      <c r="E27" s="29"/>
      <c r="F27" s="29"/>
      <c r="G27" s="29"/>
      <c r="H27" s="29"/>
      <c r="I27" s="29"/>
      <c r="J27" s="29"/>
      <c r="K27" s="29"/>
    </row>
    <row r="28" spans="1:14" ht="16.5">
      <c r="A28" s="18"/>
      <c r="B28" s="31"/>
      <c r="C28" s="29"/>
      <c r="D28" s="29"/>
      <c r="E28" s="29"/>
      <c r="F28" s="29"/>
      <c r="G28" s="29"/>
      <c r="H28" s="29"/>
      <c r="I28" s="29"/>
      <c r="J28" s="29"/>
      <c r="K28" s="29"/>
    </row>
    <row r="29" spans="1:14" ht="16.5">
      <c r="A29" s="18"/>
      <c r="B29" s="31"/>
      <c r="C29" s="29"/>
      <c r="D29" s="29"/>
      <c r="E29" s="29"/>
      <c r="F29" s="29"/>
      <c r="G29" s="29"/>
      <c r="H29" s="29"/>
      <c r="I29" s="29"/>
      <c r="J29" s="29"/>
      <c r="K29" s="29"/>
    </row>
    <row r="30" spans="1:14" ht="16.5">
      <c r="A30" s="18"/>
      <c r="B30" s="31"/>
      <c r="C30" s="29"/>
      <c r="D30" s="29"/>
      <c r="E30" s="29"/>
      <c r="F30" s="29"/>
      <c r="G30" s="29"/>
      <c r="H30" s="29"/>
      <c r="I30" s="29"/>
      <c r="J30" s="29"/>
      <c r="K30" s="29"/>
    </row>
    <row r="31" spans="1:14" ht="16.5">
      <c r="A31" s="33"/>
      <c r="B31" s="21"/>
      <c r="C31" s="22"/>
      <c r="D31" s="34"/>
      <c r="E31" s="34"/>
      <c r="F31" s="34"/>
      <c r="G31" s="34"/>
      <c r="H31" s="34"/>
      <c r="I31" s="34"/>
      <c r="J31" s="34"/>
      <c r="K31" s="34"/>
    </row>
    <row r="32" spans="1:14" ht="15.75">
      <c r="A32" s="16" t="s">
        <v>324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6.5">
      <c r="A33" s="18" t="s">
        <v>322</v>
      </c>
      <c r="B33" s="21"/>
      <c r="C33" s="23"/>
      <c r="D33" s="23">
        <v>102.52560000000011</v>
      </c>
      <c r="E33" s="23">
        <f>E23</f>
        <v>41347685000</v>
      </c>
      <c r="F33" s="23">
        <f>F23</f>
        <v>41046960000</v>
      </c>
      <c r="G33" s="23">
        <f t="shared" ref="G33:N33" si="20">G23</f>
        <v>38896262000</v>
      </c>
      <c r="H33" s="23">
        <f t="shared" si="20"/>
        <v>37057124000</v>
      </c>
      <c r="I33" s="23">
        <f t="shared" si="20"/>
        <v>38866970000</v>
      </c>
      <c r="J33" s="23">
        <f t="shared" si="20"/>
        <v>41357539464.356049</v>
      </c>
      <c r="K33" s="23">
        <f t="shared" si="20"/>
        <v>40141556912.036232</v>
      </c>
      <c r="L33" s="23">
        <f t="shared" si="20"/>
        <v>39865503863.406654</v>
      </c>
      <c r="M33" s="23">
        <f t="shared" si="20"/>
        <v>40285192515.699509</v>
      </c>
      <c r="N33" s="23">
        <f t="shared" si="20"/>
        <v>40444681417.301361</v>
      </c>
    </row>
    <row r="34" spans="1:14" ht="16.5">
      <c r="A34" s="175" t="s">
        <v>656</v>
      </c>
      <c r="B34" s="21"/>
      <c r="C34" s="21"/>
      <c r="D34" s="22">
        <f>C14*$B$8</f>
        <v>0</v>
      </c>
      <c r="E34" s="22">
        <f>('Income Statement'!B16)*1-(E18)</f>
        <v>-215000000.41499999</v>
      </c>
      <c r="F34" s="22">
        <f>('Income Statement'!C16)*1-(F18)</f>
        <v>-240000000.59</v>
      </c>
      <c r="G34" s="22">
        <f>('Income Statement'!D16)*1-(G18)</f>
        <v>-148000000.183</v>
      </c>
      <c r="H34" s="22">
        <f>('Income Statement'!E16)*1-(H18)</f>
        <v>-130000000.223</v>
      </c>
      <c r="I34" s="22">
        <f>('Income Statement'!F16)*1-(I18)</f>
        <v>-275000000.19499999</v>
      </c>
      <c r="J34" s="22">
        <f>('Income Statement'!G16)*1-(J18)</f>
        <v>-169000000.23178416</v>
      </c>
      <c r="K34" s="22">
        <f>AVERAGE('Income Statement'!B16:G16)*1-('FCFF and FCFE'!K18)</f>
        <v>-196166666.97296402</v>
      </c>
      <c r="L34" s="22">
        <f>AVERAGE('Income Statement'!C16:H16)*1-('FCFF and FCFE'!L18)</f>
        <v>-192400000.28818026</v>
      </c>
      <c r="M34" s="22">
        <f>AVERAGE('Income Statement'!D16:I16)*1-('FCFF and FCFE'!M18)</f>
        <v>-180500000.23787695</v>
      </c>
      <c r="N34" s="22">
        <f>AVERAGE('Income Statement'!E16:J16)*1-('FCFF and FCFE'!N18)</f>
        <v>-191333333.58035648</v>
      </c>
    </row>
    <row r="35" spans="1:14" ht="16.5">
      <c r="A35" s="18" t="s">
        <v>325</v>
      </c>
      <c r="B35" s="35"/>
      <c r="C35" s="21"/>
      <c r="D35" s="22">
        <f>D14-C14</f>
        <v>149958547437.05789</v>
      </c>
      <c r="E35" s="22">
        <f>'Balance Sheet'!B90</f>
        <v>6772000000</v>
      </c>
      <c r="F35" s="22">
        <f>'Balance Sheet'!C90</f>
        <v>4828000000</v>
      </c>
      <c r="G35" s="22">
        <f>'Balance Sheet'!D90</f>
        <v>4177000000</v>
      </c>
      <c r="H35" s="22">
        <f>'Balance Sheet'!E90</f>
        <v>5143000000</v>
      </c>
      <c r="I35" s="22">
        <f>'Balance Sheet'!F90</f>
        <v>5221000000</v>
      </c>
      <c r="J35" s="22">
        <f>AVERAGE(E35:I35)</f>
        <v>5228200000</v>
      </c>
      <c r="K35" s="22">
        <f t="shared" ref="K35:N35" si="21">AVERAGE(F35:J35)</f>
        <v>4919440000</v>
      </c>
      <c r="L35" s="22">
        <f t="shared" si="21"/>
        <v>4937728000</v>
      </c>
      <c r="M35" s="22">
        <f t="shared" si="21"/>
        <v>5089873600</v>
      </c>
      <c r="N35" s="22">
        <f t="shared" si="21"/>
        <v>5079248320</v>
      </c>
    </row>
    <row r="36" spans="1:14" ht="18.75">
      <c r="A36" s="148" t="s">
        <v>326</v>
      </c>
      <c r="B36" s="148"/>
      <c r="C36" s="25"/>
      <c r="D36" s="26" t="e">
        <f>#REF!+#REF!+#REF!-#REF!-#REF!+D35</f>
        <v>#REF!</v>
      </c>
      <c r="E36" s="26">
        <f t="shared" ref="E36:N36" si="22">SUM(E35:E35)</f>
        <v>6772000000</v>
      </c>
      <c r="F36" s="26">
        <f t="shared" si="22"/>
        <v>4828000000</v>
      </c>
      <c r="G36" s="26">
        <f t="shared" si="22"/>
        <v>4177000000</v>
      </c>
      <c r="H36" s="26">
        <f t="shared" si="22"/>
        <v>5143000000</v>
      </c>
      <c r="I36" s="26">
        <f t="shared" si="22"/>
        <v>5221000000</v>
      </c>
      <c r="J36" s="157">
        <f t="shared" si="22"/>
        <v>5228200000</v>
      </c>
      <c r="K36" s="157">
        <f t="shared" si="22"/>
        <v>4919440000</v>
      </c>
      <c r="L36" s="157">
        <f t="shared" si="22"/>
        <v>4937728000</v>
      </c>
      <c r="M36" s="157">
        <f t="shared" si="22"/>
        <v>5089873600</v>
      </c>
      <c r="N36" s="157">
        <f t="shared" si="22"/>
        <v>5079248320</v>
      </c>
    </row>
    <row r="37" spans="1:14" ht="18.75">
      <c r="A37" s="149" t="s">
        <v>657</v>
      </c>
      <c r="B37" s="150">
        <f>J36*(1+(E6))/B10-(E6)</f>
        <v>103649745244.06792</v>
      </c>
      <c r="C37" s="21"/>
      <c r="D37" s="30"/>
      <c r="E37" s="30"/>
      <c r="F37" s="30"/>
      <c r="G37" s="30"/>
      <c r="H37" s="30"/>
      <c r="I37" s="30"/>
      <c r="J37" s="30"/>
      <c r="K37" s="31"/>
    </row>
    <row r="38" spans="1:14" ht="18.75">
      <c r="A38" s="149" t="s">
        <v>658</v>
      </c>
      <c r="B38" s="151">
        <f>SUM(E38:J38)</f>
        <v>25737077063.723602</v>
      </c>
      <c r="C38" s="21"/>
      <c r="D38" s="31" t="e">
        <f t="shared" ref="D38:N38" si="23">D36/(1+$B$7)^D1</f>
        <v>#REF!</v>
      </c>
      <c r="E38" s="31">
        <f t="shared" si="23"/>
        <v>6379741588.43507</v>
      </c>
      <c r="F38" s="31">
        <f t="shared" si="23"/>
        <v>4284888629.8256092</v>
      </c>
      <c r="G38" s="31">
        <f t="shared" si="23"/>
        <v>3492391245.3215003</v>
      </c>
      <c r="H38" s="31">
        <f t="shared" si="23"/>
        <v>4050989135.6943645</v>
      </c>
      <c r="I38" s="31">
        <f t="shared" si="23"/>
        <v>3874220955.5164847</v>
      </c>
      <c r="J38" s="31">
        <f t="shared" si="23"/>
        <v>3654845508.9305763</v>
      </c>
      <c r="K38" s="31">
        <f t="shared" si="23"/>
        <v>3239803257.886477</v>
      </c>
      <c r="L38" s="31">
        <f t="shared" si="23"/>
        <v>3063488616.9014802</v>
      </c>
      <c r="M38" s="31">
        <f t="shared" si="23"/>
        <v>2974967626.8793969</v>
      </c>
      <c r="N38" s="31">
        <f t="shared" si="23"/>
        <v>2796796264.9135156</v>
      </c>
    </row>
    <row r="39" spans="1:14" ht="16.5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</row>
    <row r="40" spans="1:14" ht="16.5">
      <c r="A40" s="35"/>
      <c r="B40" s="31"/>
      <c r="C40" s="21"/>
      <c r="D40" s="21"/>
      <c r="E40" s="21"/>
      <c r="F40" s="21"/>
      <c r="G40" s="21"/>
      <c r="H40" s="21"/>
      <c r="I40" s="21"/>
      <c r="J40" s="21"/>
      <c r="K40" s="21"/>
    </row>
    <row r="41" spans="1:14" s="182" customFormat="1" ht="16.5">
      <c r="A41" s="16" t="s">
        <v>671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</row>
    <row r="42" spans="1:14">
      <c r="A42" s="184" t="s">
        <v>672</v>
      </c>
    </row>
  </sheetData>
  <hyperlinks>
    <hyperlink ref="A6" location="'FCFF and FCFE'!B42" display="Revenue Growth rate" xr:uid="{CF030A76-52E5-4E97-8063-8DC1B19CEF94}"/>
    <hyperlink ref="A42" r:id="rId1" location=":~:text=We%20target%20comparable%20revenue%20growth,7%25%20through%20the%20economic%20cycle." xr:uid="{4709D1AB-4D99-488F-AFED-7CBC7CE76701}"/>
  </hyperlinks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1"/>
  <sheetViews>
    <sheetView topLeftCell="E27" workbookViewId="0">
      <selection activeCell="N38" sqref="N38"/>
    </sheetView>
  </sheetViews>
  <sheetFormatPr defaultRowHeight="15.75"/>
  <cols>
    <col min="1" max="1" width="3.5703125" style="96" customWidth="1"/>
    <col min="2" max="2" width="12.5703125" style="96" customWidth="1"/>
    <col min="3" max="3" width="12.42578125" style="96" customWidth="1"/>
    <col min="4" max="4" width="19.42578125" style="137" customWidth="1"/>
    <col min="5" max="5" width="19.140625" style="96" customWidth="1"/>
    <col min="6" max="6" width="16.42578125" style="96" customWidth="1"/>
    <col min="7" max="7" width="16.28515625" style="96" customWidth="1"/>
    <col min="8" max="8" width="16" style="96" customWidth="1"/>
    <col min="9" max="9" width="15.28515625" style="96" customWidth="1"/>
    <col min="10" max="10" width="20.42578125" style="96" customWidth="1"/>
    <col min="11" max="13" width="12.5703125" style="96" customWidth="1"/>
    <col min="14" max="14" width="20.85546875" style="96" customWidth="1"/>
    <col min="15" max="16384" width="9.140625" style="96"/>
  </cols>
  <sheetData>
    <row r="1" spans="1:15">
      <c r="A1" s="37"/>
      <c r="B1" s="40"/>
      <c r="C1" s="40"/>
      <c r="D1" s="41"/>
      <c r="E1" s="41"/>
      <c r="F1" s="41"/>
      <c r="G1" s="41"/>
      <c r="H1" s="37"/>
      <c r="I1" s="40"/>
      <c r="J1" s="40"/>
      <c r="K1" s="41"/>
      <c r="L1" s="41"/>
      <c r="M1" s="41"/>
      <c r="N1" s="41"/>
    </row>
    <row r="2" spans="1:15">
      <c r="A2" s="40"/>
      <c r="B2" s="39" t="s">
        <v>355</v>
      </c>
      <c r="C2" s="45"/>
      <c r="D2" s="45"/>
      <c r="E2" s="45"/>
      <c r="F2" s="41"/>
      <c r="G2" s="41"/>
      <c r="H2" s="40"/>
      <c r="I2" s="39"/>
      <c r="J2" s="45"/>
      <c r="K2" s="45"/>
      <c r="L2" s="45"/>
      <c r="M2" s="41"/>
      <c r="N2" s="41"/>
    </row>
    <row r="3" spans="1:15">
      <c r="A3" s="97"/>
      <c r="B3" s="98"/>
      <c r="C3" s="97"/>
      <c r="D3" s="99"/>
      <c r="E3" s="100"/>
      <c r="F3" s="100"/>
      <c r="G3" s="100"/>
      <c r="H3" s="100"/>
      <c r="I3" s="100"/>
      <c r="J3" s="97"/>
      <c r="K3" s="97"/>
      <c r="L3" s="97"/>
      <c r="M3" s="97"/>
      <c r="N3" s="97"/>
      <c r="O3" s="97"/>
    </row>
    <row r="4" spans="1:15">
      <c r="A4" s="97"/>
      <c r="B4" s="101" t="s">
        <v>356</v>
      </c>
      <c r="C4" s="102"/>
      <c r="D4" s="102"/>
      <c r="E4" s="100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1:15">
      <c r="A5" s="97"/>
      <c r="B5" s="103" t="s">
        <v>343</v>
      </c>
      <c r="C5" s="104"/>
      <c r="D5" s="154">
        <f>'Income Statement'!F45</f>
        <v>0.19500000000000001</v>
      </c>
      <c r="E5" s="100"/>
      <c r="F5" s="97"/>
      <c r="G5" s="97"/>
      <c r="H5" s="97"/>
      <c r="I5" s="97"/>
      <c r="J5" s="97"/>
      <c r="K5" s="97"/>
      <c r="L5" s="97"/>
      <c r="M5" s="97"/>
      <c r="N5" s="97"/>
      <c r="O5" s="97"/>
    </row>
    <row r="6" spans="1:15">
      <c r="A6" s="97"/>
      <c r="B6" s="105" t="s">
        <v>357</v>
      </c>
      <c r="C6" s="97"/>
      <c r="D6" s="155">
        <f>WACC!D21</f>
        <v>5.1702056646448037E-2</v>
      </c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1:15">
      <c r="A7" s="97"/>
      <c r="B7" s="180" t="s">
        <v>358</v>
      </c>
      <c r="C7" s="97"/>
      <c r="D7" s="155">
        <f>'Gordon Growth Model'!C6</f>
        <v>0.41071428571428559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</row>
    <row r="8" spans="1:15">
      <c r="A8" s="97"/>
      <c r="B8" s="97" t="s">
        <v>359</v>
      </c>
      <c r="C8" s="97"/>
      <c r="D8" s="106">
        <v>7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</row>
    <row r="9" spans="1:15">
      <c r="A9" s="97"/>
      <c r="B9" s="97" t="s">
        <v>360</v>
      </c>
      <c r="C9" s="97"/>
      <c r="D9" s="107">
        <v>45107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</row>
    <row r="10" spans="1:15">
      <c r="A10" s="97"/>
      <c r="B10" s="97" t="s">
        <v>361</v>
      </c>
      <c r="C10" s="97"/>
      <c r="D10" s="108">
        <v>45473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</row>
    <row r="11" spans="1:15">
      <c r="A11" s="97"/>
      <c r="B11" s="180" t="s">
        <v>362</v>
      </c>
      <c r="C11" s="97"/>
      <c r="D11" s="109">
        <v>55.45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</row>
    <row r="12" spans="1:15">
      <c r="A12" s="97"/>
      <c r="B12" s="97" t="s">
        <v>363</v>
      </c>
      <c r="C12" s="97"/>
      <c r="D12" s="110">
        <f>'Balance Sheet'!F113-('Balance Sheet'!F116)</f>
        <v>1584000000</v>
      </c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1:15">
      <c r="A13" s="97"/>
      <c r="B13" s="97" t="s">
        <v>340</v>
      </c>
      <c r="C13" s="97"/>
      <c r="D13" s="110">
        <f>'FCFF and FCFE'!B15</f>
        <v>5308000000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1:15">
      <c r="A14" s="97"/>
      <c r="B14" s="97" t="s">
        <v>327</v>
      </c>
      <c r="C14" s="97"/>
      <c r="D14" s="110">
        <f>'Balance Sheet'!F4</f>
        <v>5819000000</v>
      </c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5">
      <c r="A15" s="97"/>
      <c r="B15" s="97" t="s">
        <v>364</v>
      </c>
      <c r="C15" s="97"/>
      <c r="D15" s="100">
        <f>'FCFF and FCFE'!I22</f>
        <v>-770000000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1:15">
      <c r="A16" s="97"/>
      <c r="B16" s="97"/>
      <c r="C16" s="97"/>
      <c r="D16" s="107"/>
      <c r="J16" s="97"/>
      <c r="K16" s="97"/>
      <c r="L16" s="97"/>
      <c r="M16" s="97"/>
      <c r="N16" s="97"/>
      <c r="O16" s="97"/>
    </row>
    <row r="17" spans="1:15">
      <c r="A17" s="97"/>
      <c r="B17" s="111" t="s">
        <v>365</v>
      </c>
      <c r="C17" s="112"/>
      <c r="D17" s="113" t="s">
        <v>366</v>
      </c>
      <c r="E17" s="114">
        <f>YEAR(E18)</f>
        <v>2024</v>
      </c>
      <c r="F17" s="114">
        <f>YEAR(F18)</f>
        <v>2025</v>
      </c>
      <c r="G17" s="114">
        <f>YEAR(G18)</f>
        <v>2026</v>
      </c>
      <c r="H17" s="114">
        <f>YEAR(H18)</f>
        <v>2027</v>
      </c>
      <c r="I17" s="114">
        <f>YEAR(I18)</f>
        <v>2028</v>
      </c>
      <c r="J17" s="113" t="s">
        <v>367</v>
      </c>
      <c r="K17" s="97"/>
      <c r="L17" s="111" t="s">
        <v>368</v>
      </c>
      <c r="M17" s="112"/>
      <c r="N17" s="112"/>
      <c r="O17" s="97"/>
    </row>
    <row r="18" spans="1:15">
      <c r="A18" s="97"/>
      <c r="B18" s="115" t="s">
        <v>369</v>
      </c>
      <c r="C18" s="115"/>
      <c r="D18" s="116">
        <f>D9</f>
        <v>45107</v>
      </c>
      <c r="E18" s="117">
        <f>DATE(YEAR($D$10)+E19,6,30)</f>
        <v>45473</v>
      </c>
      <c r="F18" s="117">
        <f>DATE(YEAR($D$10)+F19,6,30)</f>
        <v>45838</v>
      </c>
      <c r="G18" s="117">
        <f>DATE(YEAR($D$10)+G19,6,30)</f>
        <v>46203</v>
      </c>
      <c r="H18" s="117">
        <f>DATE(YEAR($D$10)+H19,6,30)</f>
        <v>46568</v>
      </c>
      <c r="I18" s="117">
        <f>DATE(YEAR($D$10)+I19,6,30)</f>
        <v>46934</v>
      </c>
      <c r="J18" s="118">
        <f>I18</f>
        <v>46934</v>
      </c>
      <c r="K18" s="97"/>
      <c r="L18" s="115"/>
      <c r="M18" s="115"/>
      <c r="N18" s="115"/>
      <c r="O18" s="97"/>
    </row>
    <row r="19" spans="1:15">
      <c r="A19" s="97"/>
      <c r="B19" s="119" t="s">
        <v>370</v>
      </c>
      <c r="C19" s="119"/>
      <c r="D19" s="116"/>
      <c r="E19" s="120">
        <v>0</v>
      </c>
      <c r="F19" s="121">
        <f>E19+1</f>
        <v>1</v>
      </c>
      <c r="G19" s="121">
        <f>F19+1</f>
        <v>2</v>
      </c>
      <c r="H19" s="121">
        <f>G19+1</f>
        <v>3</v>
      </c>
      <c r="I19" s="121">
        <f>H19+1</f>
        <v>4</v>
      </c>
      <c r="J19" s="116"/>
      <c r="K19" s="97"/>
      <c r="L19" s="97"/>
      <c r="M19" s="97"/>
      <c r="N19" s="159">
        <f>(I21+I23)*D8</f>
        <v>382427015786.64215</v>
      </c>
      <c r="O19" s="97"/>
    </row>
    <row r="20" spans="1:15">
      <c r="A20" s="97"/>
      <c r="B20" s="123" t="s">
        <v>371</v>
      </c>
      <c r="C20" s="97"/>
      <c r="D20" s="97"/>
      <c r="E20" s="124">
        <f>YEARFRAC(D18,E18)</f>
        <v>1</v>
      </c>
      <c r="F20" s="124">
        <f>YEARFRAC(E18,F18)</f>
        <v>1</v>
      </c>
      <c r="G20" s="124">
        <f>YEARFRAC(F18,G18)</f>
        <v>1</v>
      </c>
      <c r="H20" s="124">
        <f>YEARFRAC(G18,H18)</f>
        <v>1</v>
      </c>
      <c r="I20" s="124">
        <f>YEARFRAC(H18,I18)</f>
        <v>1</v>
      </c>
      <c r="J20" s="97"/>
      <c r="K20" s="97"/>
      <c r="L20" s="97"/>
      <c r="M20" s="97"/>
      <c r="N20" s="125"/>
      <c r="O20" s="97"/>
    </row>
    <row r="21" spans="1:15">
      <c r="A21" s="97"/>
      <c r="B21" s="97" t="s">
        <v>316</v>
      </c>
      <c r="C21" s="97"/>
      <c r="D21" s="97">
        <f>'FCFF and FCFE'!I17</f>
        <v>4354000000</v>
      </c>
      <c r="E21" s="104">
        <f>'FCFF and FCFE'!I17</f>
        <v>4354000000</v>
      </c>
      <c r="F21" s="104">
        <f>E21*(1+($D7))</f>
        <v>6142249999.999999</v>
      </c>
      <c r="G21" s="104">
        <f t="shared" ref="G21:I21" si="0">F21*(1+($D7))</f>
        <v>8664959821.4285698</v>
      </c>
      <c r="H21" s="104">
        <f t="shared" si="0"/>
        <v>12223782605.229588</v>
      </c>
      <c r="I21" s="104">
        <f t="shared" si="0"/>
        <v>17244264746.663166</v>
      </c>
      <c r="J21" s="97"/>
      <c r="K21" s="97"/>
      <c r="L21" s="97"/>
      <c r="M21" s="97"/>
      <c r="N21" s="97"/>
      <c r="O21" s="97"/>
    </row>
    <row r="22" spans="1:15">
      <c r="A22" s="97"/>
      <c r="B22" s="97" t="s">
        <v>372</v>
      </c>
      <c r="C22" s="97"/>
      <c r="D22" s="122">
        <f>'Cash Flow statement'!F74</f>
        <v>-1147000000</v>
      </c>
      <c r="E22" s="122">
        <f>'Cash Flow statement'!G74</f>
        <v>-1234000000</v>
      </c>
      <c r="F22" s="122">
        <f>F21*$D$5</f>
        <v>1197738749.9999998</v>
      </c>
      <c r="G22" s="122">
        <f>G21*$D$5</f>
        <v>1689667165.1785712</v>
      </c>
      <c r="H22" s="122">
        <f>H21*$D$5</f>
        <v>2383637608.0197697</v>
      </c>
      <c r="I22" s="122">
        <f>I21*$D$5</f>
        <v>3362631625.5993176</v>
      </c>
      <c r="J22" s="97"/>
      <c r="K22" s="97"/>
      <c r="L22" s="97"/>
      <c r="M22" s="97"/>
      <c r="N22" s="97"/>
      <c r="O22" s="97"/>
    </row>
    <row r="23" spans="1:15">
      <c r="A23" s="97"/>
      <c r="B23" s="97" t="s">
        <v>373</v>
      </c>
      <c r="C23" s="97"/>
      <c r="D23" s="97">
        <f>'FCFF and FCFE'!I20</f>
        <v>36259000000</v>
      </c>
      <c r="E23" s="126">
        <f>'FCFF and FCFE'!I20</f>
        <v>36259000000</v>
      </c>
      <c r="F23" s="126">
        <f>'FCFF and FCFE'!K20</f>
        <v>37796360000</v>
      </c>
      <c r="G23" s="126">
        <f>'FCFF and FCFE'!L20</f>
        <v>37230032000</v>
      </c>
      <c r="H23" s="126">
        <f>'FCFF and FCFE'!M20</f>
        <v>37298638400</v>
      </c>
      <c r="I23" s="126">
        <f>'FCFF and FCFE'!N20</f>
        <v>37388166080</v>
      </c>
      <c r="J23" s="97"/>
      <c r="K23" s="97"/>
      <c r="L23" s="97"/>
      <c r="M23" s="97"/>
      <c r="N23" s="97"/>
      <c r="O23" s="97"/>
    </row>
    <row r="24" spans="1:15">
      <c r="A24" s="97"/>
      <c r="B24" s="97" t="s">
        <v>374</v>
      </c>
      <c r="C24" s="97"/>
      <c r="D24" s="97">
        <f>D15</f>
        <v>-770000000</v>
      </c>
      <c r="E24" s="105">
        <f>D15</f>
        <v>-770000000</v>
      </c>
      <c r="F24" s="105">
        <f>$D$15</f>
        <v>-770000000</v>
      </c>
      <c r="G24" s="105">
        <f>$D$15</f>
        <v>-770000000</v>
      </c>
      <c r="H24" s="105">
        <f>$D$15</f>
        <v>-770000000</v>
      </c>
      <c r="I24" s="105">
        <f>$D$15</f>
        <v>-770000000</v>
      </c>
      <c r="J24" s="97"/>
      <c r="K24" s="97"/>
      <c r="L24" s="97"/>
      <c r="M24" s="97"/>
      <c r="N24" s="97"/>
      <c r="O24" s="97"/>
    </row>
    <row r="25" spans="1:15">
      <c r="A25" s="97"/>
      <c r="B25" s="97" t="s">
        <v>375</v>
      </c>
      <c r="C25" s="97"/>
      <c r="D25" s="97">
        <f>'FCFF and FCFE'!I21</f>
        <v>-127000000</v>
      </c>
      <c r="E25" s="100">
        <f>'FCFF and FCFE'!I21</f>
        <v>-127000000</v>
      </c>
      <c r="F25" s="100">
        <f>'FCFF and FCFE'!J21</f>
        <v>369000000</v>
      </c>
      <c r="G25" s="100">
        <f>'FCFF and FCFE'!K21</f>
        <v>-192166666.66666666</v>
      </c>
      <c r="H25" s="100">
        <f>'FCFF and FCFE'!L21</f>
        <v>-162194444.44444445</v>
      </c>
      <c r="I25" s="100">
        <f>'FCFF and FCFE'!M21</f>
        <v>-247893518.51851854</v>
      </c>
      <c r="J25" s="97"/>
      <c r="K25" s="97"/>
      <c r="L25" s="97"/>
      <c r="M25" s="97"/>
      <c r="N25" s="97"/>
      <c r="O25" s="97"/>
    </row>
    <row r="26" spans="1:15">
      <c r="A26" s="97"/>
      <c r="B26" s="97" t="s">
        <v>376</v>
      </c>
      <c r="C26" s="97"/>
      <c r="D26" s="97">
        <f>'FCFF and FCFE'!I23</f>
        <v>38866970000</v>
      </c>
      <c r="E26" s="125">
        <f>E21-E22+E23-E24-E25</f>
        <v>42744000000</v>
      </c>
      <c r="F26" s="125">
        <f>F21-F22+F23-F24-F25</f>
        <v>43141871250</v>
      </c>
      <c r="G26" s="125">
        <f>G21-G22+G23-G24-G25</f>
        <v>45167491322.916664</v>
      </c>
      <c r="H26" s="125">
        <f>H21-H22+H23-H24-H25</f>
        <v>48070977841.654259</v>
      </c>
      <c r="I26" s="125">
        <f>I21-I22+I23-I24-I25</f>
        <v>52287692719.582367</v>
      </c>
      <c r="J26" s="97"/>
      <c r="K26" s="97"/>
      <c r="L26" s="97"/>
      <c r="M26" s="97"/>
      <c r="N26" s="97"/>
      <c r="O26" s="97"/>
    </row>
    <row r="27" spans="1:15">
      <c r="A27" s="97"/>
      <c r="B27" s="97" t="s">
        <v>377</v>
      </c>
      <c r="C27" s="97"/>
      <c r="D27" s="127">
        <f>-I35</f>
        <v>-87321800000</v>
      </c>
      <c r="E27" s="97"/>
      <c r="F27" s="97"/>
      <c r="G27" s="97"/>
      <c r="H27" s="97"/>
      <c r="I27" s="97"/>
      <c r="J27" s="127">
        <f>N19</f>
        <v>382427015786.64215</v>
      </c>
      <c r="K27" s="97"/>
      <c r="L27" s="97"/>
      <c r="M27" s="97"/>
      <c r="N27" s="97"/>
      <c r="O27" s="97"/>
    </row>
    <row r="28" spans="1:15">
      <c r="A28" s="97"/>
      <c r="B28" s="97" t="s">
        <v>378</v>
      </c>
      <c r="C28" s="97"/>
      <c r="D28" s="125">
        <f>D29</f>
        <v>-48454830000</v>
      </c>
      <c r="E28" s="125">
        <f t="shared" ref="E28:J28" si="1">(E27+E26)*E20</f>
        <v>42744000000</v>
      </c>
      <c r="F28" s="125">
        <f t="shared" si="1"/>
        <v>43141871250</v>
      </c>
      <c r="G28" s="125">
        <f t="shared" si="1"/>
        <v>45167491322.916664</v>
      </c>
      <c r="H28" s="125">
        <f t="shared" si="1"/>
        <v>48070977841.654259</v>
      </c>
      <c r="I28" s="125">
        <f t="shared" si="1"/>
        <v>52287692719.582367</v>
      </c>
      <c r="J28" s="125">
        <f t="shared" si="1"/>
        <v>0</v>
      </c>
      <c r="K28" s="97"/>
      <c r="L28" s="97"/>
      <c r="M28" s="97"/>
      <c r="N28" s="97"/>
      <c r="O28" s="97"/>
    </row>
    <row r="29" spans="1:15">
      <c r="A29" s="97"/>
      <c r="B29" s="97" t="s">
        <v>378</v>
      </c>
      <c r="C29" s="97"/>
      <c r="D29" s="115">
        <f>D27+D26</f>
        <v>-48454830000</v>
      </c>
      <c r="E29" s="115">
        <f>(E27+E26)*E20</f>
        <v>42744000000</v>
      </c>
      <c r="F29" s="115">
        <f>(F27+F26)*F20</f>
        <v>43141871250</v>
      </c>
      <c r="G29" s="115">
        <f>(G27+G26)*G20</f>
        <v>45167491322.916664</v>
      </c>
      <c r="H29" s="115">
        <f>(H27+H26)*H20</f>
        <v>48070977841.654259</v>
      </c>
      <c r="I29" s="115">
        <f>(I27+I26)*I20</f>
        <v>52287692719.582367</v>
      </c>
      <c r="J29" s="115">
        <f>J27</f>
        <v>382427015786.64215</v>
      </c>
      <c r="K29" s="97"/>
      <c r="L29" s="97"/>
      <c r="M29" s="97"/>
      <c r="N29" s="97"/>
      <c r="O29" s="97"/>
    </row>
    <row r="30" spans="1:15">
      <c r="A30" s="97"/>
      <c r="B30" s="97"/>
      <c r="C30" s="97"/>
      <c r="D30" s="99"/>
      <c r="E30" s="97"/>
      <c r="G30" s="97"/>
      <c r="H30" s="97"/>
      <c r="I30" s="97"/>
      <c r="J30" s="97"/>
      <c r="L30" s="97"/>
      <c r="M30" s="97"/>
      <c r="N30" s="97"/>
      <c r="O30" s="97"/>
    </row>
    <row r="31" spans="1:15">
      <c r="A31" s="97"/>
      <c r="B31" s="111" t="s">
        <v>379</v>
      </c>
      <c r="C31" s="112"/>
      <c r="D31" s="112"/>
      <c r="E31" s="97"/>
      <c r="G31" s="111" t="s">
        <v>380</v>
      </c>
      <c r="H31" s="112"/>
      <c r="I31" s="112"/>
      <c r="J31" s="97"/>
      <c r="L31" s="111" t="s">
        <v>381</v>
      </c>
      <c r="M31" s="112"/>
      <c r="N31" s="112"/>
      <c r="O31" s="97"/>
    </row>
    <row r="32" spans="1:15">
      <c r="A32" s="97"/>
      <c r="B32" s="115" t="s">
        <v>382</v>
      </c>
      <c r="C32" s="115"/>
      <c r="D32" s="115">
        <f>XNPV(D6,D28:I28,D18:I18)</f>
        <v>149918538588.5137</v>
      </c>
      <c r="E32" s="97"/>
      <c r="G32" s="115" t="s">
        <v>383</v>
      </c>
      <c r="H32" s="115"/>
      <c r="I32" s="115">
        <f>D12*D11</f>
        <v>87832800000</v>
      </c>
      <c r="J32" s="97"/>
      <c r="L32" s="115" t="s">
        <v>384</v>
      </c>
      <c r="M32" s="115"/>
      <c r="N32" s="128">
        <f>D37/I37-1</f>
        <v>0.71268066813893771</v>
      </c>
      <c r="O32" s="97"/>
    </row>
    <row r="33" spans="1:15">
      <c r="A33" s="97"/>
      <c r="B33" s="97" t="s">
        <v>385</v>
      </c>
      <c r="C33" s="97"/>
      <c r="D33" s="97">
        <f>+D14</f>
        <v>5819000000</v>
      </c>
      <c r="E33" s="97"/>
      <c r="G33" s="97" t="s">
        <v>386</v>
      </c>
      <c r="H33" s="97"/>
      <c r="I33" s="97">
        <f>D13</f>
        <v>5308000000</v>
      </c>
      <c r="J33" s="97"/>
      <c r="L33" s="97" t="s">
        <v>387</v>
      </c>
      <c r="M33" s="97"/>
      <c r="N33" s="158">
        <f>XIRR(D28:I28,D18:I18)</f>
        <v>0.86567145586013816</v>
      </c>
      <c r="O33" s="97"/>
    </row>
    <row r="34" spans="1:15">
      <c r="A34" s="97"/>
      <c r="B34" s="97" t="s">
        <v>388</v>
      </c>
      <c r="C34" s="97"/>
      <c r="D34" s="97">
        <f>+D13</f>
        <v>5308000000</v>
      </c>
      <c r="E34" s="97"/>
      <c r="G34" s="97" t="s">
        <v>389</v>
      </c>
      <c r="H34" s="97"/>
      <c r="I34" s="97">
        <f>+D14</f>
        <v>5819000000</v>
      </c>
      <c r="J34" s="97"/>
      <c r="L34" s="97"/>
      <c r="M34" s="97"/>
      <c r="N34" s="97"/>
      <c r="O34" s="97"/>
    </row>
    <row r="35" spans="1:15">
      <c r="A35" s="97"/>
      <c r="B35" s="97" t="s">
        <v>328</v>
      </c>
      <c r="C35" s="97"/>
      <c r="D35" s="125">
        <f>D32+D33-D34</f>
        <v>150429538588.5137</v>
      </c>
      <c r="E35" s="97"/>
      <c r="G35" s="97" t="s">
        <v>382</v>
      </c>
      <c r="H35" s="97"/>
      <c r="I35" s="125">
        <f>I32+I33-I34</f>
        <v>87321800000</v>
      </c>
      <c r="J35" s="97"/>
      <c r="L35" s="111" t="s">
        <v>390</v>
      </c>
      <c r="M35" s="112"/>
      <c r="N35" s="112"/>
      <c r="O35" s="97"/>
    </row>
    <row r="36" spans="1:15">
      <c r="A36" s="97"/>
      <c r="B36" s="97"/>
      <c r="C36" s="97"/>
      <c r="D36" s="97"/>
      <c r="E36" s="97"/>
      <c r="G36" s="97"/>
      <c r="H36" s="97"/>
      <c r="I36" s="129"/>
      <c r="J36" s="97"/>
      <c r="L36" s="97" t="s">
        <v>380</v>
      </c>
      <c r="M36" s="97"/>
      <c r="N36" s="129">
        <f>I37</f>
        <v>55.45</v>
      </c>
      <c r="O36" s="97"/>
    </row>
    <row r="37" spans="1:15">
      <c r="A37" s="97"/>
      <c r="B37" s="193" t="s">
        <v>391</v>
      </c>
      <c r="C37" s="97"/>
      <c r="D37" s="192">
        <f>D35/D12</f>
        <v>94.9681430483041</v>
      </c>
      <c r="E37" s="97"/>
      <c r="G37" s="193" t="s">
        <v>391</v>
      </c>
      <c r="H37" s="97"/>
      <c r="I37" s="192">
        <f>D11</f>
        <v>55.45</v>
      </c>
      <c r="J37" s="97"/>
      <c r="L37" s="97" t="s">
        <v>392</v>
      </c>
      <c r="M37" s="97"/>
      <c r="N37" s="129">
        <f>D37-I37</f>
        <v>39.518143048304097</v>
      </c>
      <c r="O37" s="97"/>
    </row>
    <row r="38" spans="1:15">
      <c r="A38" s="97"/>
      <c r="B38" s="97"/>
      <c r="C38" s="97"/>
      <c r="D38" s="97"/>
      <c r="E38" s="97"/>
      <c r="G38" s="97"/>
      <c r="H38" s="97"/>
      <c r="I38" s="97"/>
      <c r="J38" s="97"/>
      <c r="L38" s="193" t="s">
        <v>379</v>
      </c>
      <c r="M38" s="97"/>
      <c r="N38" s="192">
        <f>SUM(N36:N37)</f>
        <v>94.9681430483041</v>
      </c>
      <c r="O38" s="97"/>
    </row>
    <row r="39" spans="1:15">
      <c r="A39" s="97"/>
      <c r="C39" s="97"/>
      <c r="D39" s="99"/>
      <c r="E39" s="97"/>
      <c r="G39" s="97"/>
      <c r="H39" s="97"/>
      <c r="I39" s="98"/>
      <c r="J39" s="97"/>
      <c r="L39" s="97"/>
      <c r="M39" s="97"/>
      <c r="N39" s="97"/>
      <c r="O39" s="97"/>
    </row>
    <row r="40" spans="1:15">
      <c r="A40" s="97"/>
      <c r="C40" s="97"/>
      <c r="D40" s="99"/>
      <c r="E40" s="97"/>
      <c r="F40" s="97"/>
      <c r="G40" s="97"/>
      <c r="H40" s="98"/>
      <c r="I40" s="97"/>
      <c r="K40" s="97"/>
      <c r="L40" s="97"/>
      <c r="M40" s="97"/>
      <c r="N40" s="97"/>
      <c r="O40" s="97"/>
    </row>
    <row r="41" spans="1:15">
      <c r="A41" s="97"/>
      <c r="B41" s="130" t="s">
        <v>668</v>
      </c>
      <c r="C41" s="131"/>
      <c r="D41" s="132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97"/>
    </row>
    <row r="42" spans="1:15">
      <c r="A42" s="97"/>
      <c r="B42" s="97" t="s">
        <v>669</v>
      </c>
      <c r="C42" s="97"/>
      <c r="D42" s="99"/>
      <c r="E42" s="97"/>
      <c r="F42" s="97"/>
      <c r="G42" s="97"/>
      <c r="H42" s="97"/>
      <c r="N42" s="133"/>
      <c r="O42" s="97"/>
    </row>
    <row r="43" spans="1:15">
      <c r="A43" s="97"/>
      <c r="B43" s="97" t="s">
        <v>670</v>
      </c>
      <c r="C43" s="97"/>
      <c r="D43" s="99"/>
      <c r="E43" s="97"/>
      <c r="F43" s="97"/>
      <c r="G43" s="97"/>
      <c r="H43" s="97"/>
      <c r="N43" s="50"/>
      <c r="O43" s="97"/>
    </row>
    <row r="44" spans="1:15">
      <c r="A44" s="97"/>
      <c r="B44" s="134"/>
      <c r="C44" s="97"/>
      <c r="D44" s="99"/>
      <c r="E44" s="97"/>
      <c r="F44" s="97"/>
      <c r="G44" s="97"/>
      <c r="H44" s="97"/>
      <c r="N44" s="50"/>
      <c r="O44" s="97"/>
    </row>
    <row r="45" spans="1:15">
      <c r="A45" s="97"/>
      <c r="B45" s="134"/>
      <c r="C45" s="97"/>
      <c r="D45" s="99"/>
      <c r="E45" s="97"/>
      <c r="F45" s="97"/>
      <c r="G45" s="97"/>
      <c r="H45" s="97"/>
      <c r="N45" s="50"/>
      <c r="O45" s="97"/>
    </row>
    <row r="46" spans="1:15">
      <c r="A46" s="97"/>
      <c r="B46" s="134"/>
      <c r="C46" s="97"/>
      <c r="D46" s="99"/>
      <c r="E46" s="97"/>
      <c r="F46" s="97"/>
      <c r="G46" s="97"/>
      <c r="H46" s="97"/>
      <c r="N46" s="50"/>
      <c r="O46" s="97"/>
    </row>
    <row r="47" spans="1:15">
      <c r="A47" s="97"/>
      <c r="B47" s="97"/>
      <c r="C47" s="97"/>
      <c r="D47" s="99"/>
      <c r="E47" s="97"/>
      <c r="F47" s="97"/>
      <c r="G47" s="97"/>
      <c r="H47" s="97"/>
      <c r="N47" s="50"/>
      <c r="O47" s="97"/>
    </row>
    <row r="48" spans="1:15">
      <c r="A48" s="97"/>
      <c r="B48" s="97"/>
      <c r="C48" s="97"/>
      <c r="D48" s="99"/>
      <c r="E48" s="97"/>
      <c r="F48" s="97"/>
      <c r="G48" s="97"/>
      <c r="H48" s="97"/>
      <c r="N48" s="135"/>
      <c r="O48" s="97"/>
    </row>
    <row r="49" spans="1:15">
      <c r="A49" s="97"/>
      <c r="B49" s="97"/>
      <c r="C49" s="97"/>
      <c r="D49" s="99"/>
      <c r="E49" s="97"/>
      <c r="F49" s="97"/>
      <c r="G49" s="97"/>
      <c r="H49" s="97"/>
      <c r="N49" s="136"/>
      <c r="O49" s="97"/>
    </row>
    <row r="50" spans="1:15">
      <c r="A50" s="97"/>
      <c r="B50" s="97"/>
      <c r="C50" s="97"/>
      <c r="D50" s="99"/>
      <c r="E50" s="97"/>
      <c r="F50" s="97"/>
      <c r="G50" s="97"/>
      <c r="H50" s="97"/>
      <c r="O50" s="97"/>
    </row>
    <row r="51" spans="1:15">
      <c r="A51" s="97"/>
      <c r="B51" s="97"/>
      <c r="C51" s="97"/>
      <c r="D51" s="99"/>
      <c r="E51" s="97"/>
      <c r="F51" s="97"/>
      <c r="G51" s="97"/>
      <c r="H51" s="97"/>
      <c r="M51" s="97"/>
      <c r="O51" s="97"/>
    </row>
    <row r="52" spans="1:15">
      <c r="A52" s="97"/>
      <c r="B52" s="97"/>
      <c r="C52" s="97"/>
      <c r="D52" s="99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1:15">
      <c r="A53" s="97"/>
      <c r="B53" s="97"/>
      <c r="C53" s="97"/>
      <c r="D53" s="99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1:15">
      <c r="A54" s="97"/>
      <c r="B54" s="97"/>
      <c r="C54" s="97"/>
      <c r="D54" s="9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1:15">
      <c r="A55" s="97"/>
      <c r="B55" s="97"/>
      <c r="C55" s="97"/>
      <c r="D55" s="99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1:15">
      <c r="A56" s="97"/>
      <c r="B56" s="97"/>
      <c r="C56" s="97"/>
      <c r="D56" s="99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1:15">
      <c r="A57" s="97"/>
      <c r="B57" s="97"/>
      <c r="C57" s="97"/>
      <c r="D57" s="99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1:15">
      <c r="A58" s="97"/>
      <c r="B58" s="97"/>
      <c r="C58" s="97"/>
      <c r="D58" s="99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1:15">
      <c r="A59" s="97"/>
      <c r="B59" s="97"/>
      <c r="C59" s="97"/>
      <c r="D59" s="99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1:15">
      <c r="A60" s="97"/>
      <c r="B60" s="97"/>
      <c r="C60" s="97"/>
      <c r="D60" s="99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1:15">
      <c r="B61" s="97"/>
      <c r="C61" s="97"/>
      <c r="D61" s="99"/>
      <c r="E61" s="97"/>
      <c r="F61" s="97"/>
      <c r="G61" s="97"/>
      <c r="H61" s="97"/>
      <c r="I61" s="97"/>
      <c r="J61" s="97"/>
      <c r="K61" s="97"/>
      <c r="L61" s="97"/>
    </row>
  </sheetData>
  <hyperlinks>
    <hyperlink ref="B7" location="'EV &amp; TV'!B42" display="Perpetural Growth Rate" xr:uid="{49D62AD0-C0EC-465E-9221-7E5C220AF418}"/>
    <hyperlink ref="B11" location="'EV &amp; TV'!B43" display="Current Price" xr:uid="{78CFC18C-CEFC-4195-8E5C-C3787DEC289F}"/>
  </hyperlink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C7" sqref="C7"/>
    </sheetView>
  </sheetViews>
  <sheetFormatPr defaultRowHeight="12.75"/>
  <cols>
    <col min="1" max="1" width="9.140625" style="38"/>
    <col min="2" max="2" width="14.85546875" style="38" customWidth="1"/>
    <col min="3" max="3" width="11.42578125" style="38" bestFit="1" customWidth="1"/>
    <col min="4" max="4" width="9.140625" style="38"/>
    <col min="5" max="5" width="11.42578125" style="38" bestFit="1" customWidth="1"/>
    <col min="6" max="6" width="9.140625" style="38"/>
    <col min="7" max="7" width="11.28515625" style="38" bestFit="1" customWidth="1"/>
    <col min="8" max="16384" width="9.140625" style="38"/>
  </cols>
  <sheetData>
    <row r="1" spans="1:8" ht="15">
      <c r="A1" s="37"/>
      <c r="B1" s="40"/>
      <c r="C1" s="40"/>
      <c r="D1" s="41"/>
      <c r="E1" s="41"/>
      <c r="F1" s="41"/>
      <c r="G1" s="41"/>
    </row>
    <row r="2" spans="1:8" ht="15.75">
      <c r="A2" s="40"/>
      <c r="B2" s="39" t="s">
        <v>329</v>
      </c>
      <c r="C2" s="45"/>
      <c r="D2" s="45"/>
      <c r="E2" s="45"/>
      <c r="F2" s="41"/>
      <c r="G2" s="41"/>
    </row>
    <row r="4" spans="1:8">
      <c r="B4" s="46"/>
      <c r="C4" s="47" t="s">
        <v>643</v>
      </c>
      <c r="D4" s="47"/>
      <c r="E4" s="47" t="str">
        <f>WACC!F7</f>
        <v>Schneider Electric</v>
      </c>
      <c r="F4" s="47"/>
      <c r="G4" s="47" t="str">
        <f>WACC!F9</f>
        <v>Emerson</v>
      </c>
      <c r="H4" s="46"/>
    </row>
    <row r="5" spans="1:8">
      <c r="B5" s="46" t="s">
        <v>330</v>
      </c>
      <c r="C5" s="42">
        <f>WACC!D11</f>
        <v>4.3499999999999997E-2</v>
      </c>
      <c r="D5" s="42"/>
      <c r="E5" s="42">
        <v>3.0099999999999998E-2</v>
      </c>
      <c r="F5" s="42"/>
      <c r="G5" s="42">
        <v>4.4400000000000002E-2</v>
      </c>
      <c r="H5" s="46"/>
    </row>
    <row r="6" spans="1:8">
      <c r="B6" s="46" t="s">
        <v>331</v>
      </c>
      <c r="C6" s="46">
        <f>WACC!D13</f>
        <v>1.0900000000000001</v>
      </c>
      <c r="D6" s="46"/>
      <c r="E6" s="46">
        <f>WACC!G7</f>
        <v>0.93</v>
      </c>
      <c r="F6" s="46"/>
      <c r="G6" s="46">
        <f>WACC!G9</f>
        <v>1.34</v>
      </c>
      <c r="H6" s="46"/>
    </row>
    <row r="7" spans="1:8">
      <c r="B7" s="46" t="s">
        <v>332</v>
      </c>
      <c r="C7" s="42">
        <f>WACC!D12</f>
        <v>1.6500000000000001E-2</v>
      </c>
      <c r="D7" s="46"/>
      <c r="E7" s="42">
        <v>5.2999999999999999E-2</v>
      </c>
      <c r="F7" s="46"/>
      <c r="G7" s="42">
        <v>4.5999999999999999E-2</v>
      </c>
      <c r="H7" s="46"/>
    </row>
    <row r="8" spans="1:8">
      <c r="B8" s="48" t="s">
        <v>333</v>
      </c>
      <c r="C8" s="43">
        <f>C5+(C6*C7)</f>
        <v>6.1484999999999998E-2</v>
      </c>
      <c r="D8" s="48"/>
      <c r="E8" s="43">
        <f>E5+(E6*E7)</f>
        <v>7.9390000000000002E-2</v>
      </c>
      <c r="F8" s="48"/>
      <c r="G8" s="43">
        <f>G5+(G6*G7)</f>
        <v>0.10604</v>
      </c>
      <c r="H8" s="46"/>
    </row>
    <row r="13" spans="1:8" ht="15.75">
      <c r="B13" s="49"/>
      <c r="C13" s="50"/>
      <c r="D13" s="50"/>
    </row>
    <row r="14" spans="1:8" ht="15.75">
      <c r="B14" s="50"/>
      <c r="C14" s="50"/>
      <c r="D14" s="50"/>
    </row>
    <row r="15" spans="1:8" ht="15.75">
      <c r="B15" s="50"/>
      <c r="C15" s="50"/>
      <c r="D15" s="50"/>
    </row>
    <row r="16" spans="1:8" ht="15.75">
      <c r="B16" s="50"/>
      <c r="C16" s="50"/>
      <c r="D16" s="50"/>
    </row>
    <row r="17" spans="2:4" ht="15.75">
      <c r="B17" s="50"/>
      <c r="C17" s="50"/>
      <c r="D17" s="50"/>
    </row>
    <row r="18" spans="2:4" ht="15.75">
      <c r="B18" s="50"/>
      <c r="C18" s="50"/>
      <c r="D18" s="50"/>
    </row>
    <row r="19" spans="2:4" ht="15.75">
      <c r="B19" s="50"/>
      <c r="C19" s="50"/>
      <c r="D19" s="50"/>
    </row>
    <row r="20" spans="2:4" ht="15.75">
      <c r="B20" s="50"/>
      <c r="C20" s="51"/>
      <c r="D20" s="51"/>
    </row>
    <row r="21" spans="2:4" ht="15.75">
      <c r="B21" s="44"/>
      <c r="C21" s="52"/>
      <c r="D21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8027-04BA-4CB9-B6F3-94BFEA52E811}">
  <dimension ref="B1:H14"/>
  <sheetViews>
    <sheetView workbookViewId="0">
      <selection activeCell="B2" sqref="B2"/>
    </sheetView>
  </sheetViews>
  <sheetFormatPr defaultColWidth="9" defaultRowHeight="12"/>
  <cols>
    <col min="1" max="1" width="1.85546875" style="161" customWidth="1"/>
    <col min="2" max="2" width="36.42578125" style="161" customWidth="1"/>
    <col min="3" max="3" width="13.140625" style="161" customWidth="1"/>
    <col min="4" max="7" width="11.42578125" style="161" bestFit="1" customWidth="1"/>
    <col min="8" max="16384" width="9" style="161"/>
  </cols>
  <sheetData>
    <row r="1" spans="2:8" ht="15.75">
      <c r="B1" s="160" t="s">
        <v>654</v>
      </c>
      <c r="E1" s="162"/>
      <c r="F1" s="163"/>
      <c r="G1" s="162"/>
    </row>
    <row r="3" spans="2:8" ht="12.75" thickBot="1">
      <c r="B3" s="164" t="s">
        <v>646</v>
      </c>
      <c r="C3" s="165"/>
      <c r="D3" s="166"/>
      <c r="E3" s="166"/>
      <c r="F3" s="167"/>
      <c r="G3" s="166"/>
      <c r="H3" s="166"/>
    </row>
    <row r="4" spans="2:8" ht="12.75" thickTop="1">
      <c r="B4" s="168" t="s">
        <v>647</v>
      </c>
      <c r="C4" s="169">
        <v>0.79</v>
      </c>
      <c r="F4" s="170"/>
    </row>
    <row r="5" spans="2:8">
      <c r="B5" s="161" t="s">
        <v>648</v>
      </c>
      <c r="C5" s="171">
        <v>0.26</v>
      </c>
      <c r="F5" s="170"/>
    </row>
    <row r="6" spans="2:8">
      <c r="B6" s="161" t="s">
        <v>649</v>
      </c>
      <c r="C6" s="172">
        <f>((C13/C14)-1)</f>
        <v>0.41071428571428559</v>
      </c>
      <c r="F6" s="170"/>
    </row>
    <row r="7" spans="2:8">
      <c r="C7" s="172"/>
    </row>
    <row r="8" spans="2:8" ht="12.75" thickBot="1">
      <c r="B8" s="164" t="s">
        <v>650</v>
      </c>
      <c r="C8" s="165"/>
      <c r="D8" s="166"/>
      <c r="E8" s="166"/>
      <c r="F8" s="167"/>
      <c r="G8" s="166"/>
      <c r="H8" s="166"/>
    </row>
    <row r="9" spans="2:8" ht="12.75" thickTop="1">
      <c r="B9" s="168"/>
      <c r="C9" s="173"/>
      <c r="F9" s="170"/>
    </row>
    <row r="11" spans="2:8">
      <c r="B11" s="161" t="s">
        <v>651</v>
      </c>
      <c r="C11" s="174">
        <f>C4*(1+C6)/(C6-C5)</f>
        <v>7.394549763033182</v>
      </c>
      <c r="E11" s="161" t="str">
        <f ca="1">_xlfn.FORMULATEXT(C11)</f>
        <v>=C4*(1+C6)/(C6-C5)</v>
      </c>
    </row>
    <row r="13" spans="2:8">
      <c r="B13" s="161" t="s">
        <v>652</v>
      </c>
      <c r="C13" s="161">
        <v>0.79</v>
      </c>
    </row>
    <row r="14" spans="2:8">
      <c r="B14" s="161" t="s">
        <v>653</v>
      </c>
      <c r="C14" s="161">
        <v>0.56000000000000005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>
      <selection activeCell="K12" sqref="K12"/>
    </sheetView>
  </sheetViews>
  <sheetFormatPr defaultColWidth="9" defaultRowHeight="12.75"/>
  <cols>
    <col min="1" max="1" width="4.7109375" style="46" customWidth="1"/>
    <col min="2" max="2" width="27.28515625" style="46" customWidth="1"/>
    <col min="3" max="3" width="17.140625" style="46" customWidth="1"/>
    <col min="4" max="4" width="25" style="46" customWidth="1"/>
    <col min="5" max="5" width="9" style="46"/>
    <col min="6" max="6" width="17.85546875" style="46" customWidth="1"/>
    <col min="7" max="7" width="13.7109375" style="46" bestFit="1" customWidth="1"/>
    <col min="8" max="9" width="10.7109375" style="46" customWidth="1"/>
    <col min="10" max="10" width="14.28515625" style="46" customWidth="1"/>
    <col min="11" max="11" width="12" style="46" customWidth="1"/>
    <col min="12" max="12" width="15.7109375" style="46" bestFit="1" customWidth="1"/>
    <col min="13" max="16384" width="9" style="46"/>
  </cols>
  <sheetData>
    <row r="1" spans="1:14" s="38" customFormat="1"/>
    <row r="2" spans="1:14" ht="18">
      <c r="A2" s="38"/>
      <c r="B2" s="53" t="s">
        <v>334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38"/>
      <c r="N2" s="54"/>
    </row>
    <row r="3" spans="1:14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</row>
    <row r="4" spans="1:14">
      <c r="B4" s="189" t="s">
        <v>335</v>
      </c>
      <c r="C4" s="189"/>
      <c r="D4" s="189"/>
      <c r="E4" s="55"/>
      <c r="F4" s="57" t="s">
        <v>336</v>
      </c>
      <c r="G4" s="58"/>
      <c r="H4" s="58"/>
      <c r="I4" s="58"/>
      <c r="J4" s="58"/>
      <c r="K4" s="188" t="s">
        <v>674</v>
      </c>
      <c r="L4" s="58"/>
      <c r="N4" s="56"/>
    </row>
    <row r="5" spans="1:14" ht="13.5" thickBot="1">
      <c r="B5" s="190" t="s">
        <v>337</v>
      </c>
      <c r="C5" s="191"/>
      <c r="D5" s="55"/>
      <c r="E5" s="55"/>
      <c r="F5" s="59" t="s">
        <v>338</v>
      </c>
      <c r="G5" s="60" t="s">
        <v>339</v>
      </c>
      <c r="H5" s="60" t="s">
        <v>664</v>
      </c>
      <c r="I5" s="60" t="s">
        <v>341</v>
      </c>
      <c r="J5" s="60" t="s">
        <v>342</v>
      </c>
      <c r="K5" s="60" t="s">
        <v>343</v>
      </c>
      <c r="L5" s="60" t="s">
        <v>344</v>
      </c>
      <c r="M5" s="55"/>
      <c r="N5" s="56"/>
    </row>
    <row r="6" spans="1:14">
      <c r="B6" s="61" t="s">
        <v>345</v>
      </c>
      <c r="C6" s="61"/>
      <c r="D6" s="62">
        <f>'FCFF and FCFE'!B15/WACC!C27</f>
        <v>0.2728487714608821</v>
      </c>
      <c r="E6" s="55"/>
      <c r="F6" s="63" t="s">
        <v>659</v>
      </c>
      <c r="G6" s="64">
        <v>1.05</v>
      </c>
      <c r="H6" s="65">
        <v>10.7</v>
      </c>
      <c r="I6" s="65">
        <v>19.03</v>
      </c>
      <c r="J6" s="66">
        <f>H6/I6</f>
        <v>0.5622700998423541</v>
      </c>
      <c r="K6" s="67">
        <v>0.31</v>
      </c>
      <c r="L6" s="68">
        <f>G6/((1+(1-K6)*J6))</f>
        <v>0.75650247983947305</v>
      </c>
      <c r="M6" s="55"/>
      <c r="N6" s="55"/>
    </row>
    <row r="7" spans="1:14">
      <c r="B7" s="61" t="s">
        <v>346</v>
      </c>
      <c r="C7" s="69"/>
      <c r="D7" s="62">
        <f>C28/C27</f>
        <v>0.72715122853911796</v>
      </c>
      <c r="E7" s="55"/>
      <c r="F7" s="70" t="s">
        <v>660</v>
      </c>
      <c r="G7" s="71">
        <v>0.93</v>
      </c>
      <c r="H7" s="72">
        <v>15.4</v>
      </c>
      <c r="I7" s="72">
        <v>29.4</v>
      </c>
      <c r="J7" s="73">
        <f>H7/I7</f>
        <v>0.52380952380952384</v>
      </c>
      <c r="K7" s="74">
        <v>0.3</v>
      </c>
      <c r="L7" s="75">
        <f>G7/((1+(1-K7)*J7))</f>
        <v>0.68048780487804883</v>
      </c>
      <c r="M7" s="55"/>
      <c r="N7" s="55"/>
    </row>
    <row r="8" spans="1:14">
      <c r="B8" s="76" t="s">
        <v>347</v>
      </c>
      <c r="C8" s="76"/>
      <c r="D8" s="177">
        <f>C29/C28</f>
        <v>0.37522974692492578</v>
      </c>
      <c r="E8" s="55"/>
      <c r="F8" s="70" t="s">
        <v>661</v>
      </c>
      <c r="G8" s="71">
        <v>1.85</v>
      </c>
      <c r="H8" s="72">
        <v>53.52</v>
      </c>
      <c r="I8" s="72">
        <v>71</v>
      </c>
      <c r="J8" s="73">
        <f>H8/I8</f>
        <v>0.75380281690140849</v>
      </c>
      <c r="K8" s="74">
        <v>0.28999999999999998</v>
      </c>
      <c r="L8" s="75">
        <f>G8/((1+(1-K8)*J8))</f>
        <v>1.2050547159979155</v>
      </c>
      <c r="M8" s="55"/>
      <c r="N8" s="55"/>
    </row>
    <row r="9" spans="1:14">
      <c r="B9" s="70"/>
      <c r="C9" s="70"/>
      <c r="D9" s="178"/>
      <c r="E9" s="55"/>
      <c r="F9" s="70" t="s">
        <v>662</v>
      </c>
      <c r="G9" s="71">
        <v>1.34</v>
      </c>
      <c r="H9" s="72">
        <v>7.6</v>
      </c>
      <c r="I9" s="72">
        <v>20.399999999999999</v>
      </c>
      <c r="J9" s="73">
        <f>H9/I9</f>
        <v>0.37254901960784315</v>
      </c>
      <c r="K9" s="74">
        <v>0.33</v>
      </c>
      <c r="L9" s="75">
        <f>G9/((1+(1-K9)*J9))</f>
        <v>1.0723364192687903</v>
      </c>
      <c r="M9" s="55"/>
      <c r="N9" s="55"/>
    </row>
    <row r="10" spans="1:14">
      <c r="B10" s="79" t="s">
        <v>348</v>
      </c>
      <c r="C10" s="79"/>
      <c r="D10" s="80"/>
      <c r="E10" s="55"/>
      <c r="F10" s="81" t="s">
        <v>663</v>
      </c>
      <c r="G10" s="82">
        <v>1.22</v>
      </c>
      <c r="H10" s="83">
        <v>19.899999999999999</v>
      </c>
      <c r="I10" s="83">
        <v>19.5</v>
      </c>
      <c r="J10" s="84">
        <f>H10/I10</f>
        <v>1.0205128205128204</v>
      </c>
      <c r="K10" s="85">
        <v>0.3</v>
      </c>
      <c r="L10" s="86">
        <f>G10/((1+(1-K10)*J10))</f>
        <v>0.71163625486090343</v>
      </c>
      <c r="M10" s="55"/>
      <c r="N10" s="55"/>
    </row>
    <row r="11" spans="1:14">
      <c r="B11" s="87" t="s">
        <v>330</v>
      </c>
      <c r="C11" s="87"/>
      <c r="D11" s="88">
        <v>4.3499999999999997E-2</v>
      </c>
      <c r="E11" s="55"/>
      <c r="F11" s="89" t="s">
        <v>349</v>
      </c>
      <c r="G11" s="90">
        <f>MEDIAN(G6:G10)</f>
        <v>1.22</v>
      </c>
      <c r="H11" s="89"/>
      <c r="I11" s="89"/>
      <c r="J11" s="91">
        <f>MEDIAN(J6:J10)</f>
        <v>0.5622700998423541</v>
      </c>
      <c r="K11" s="89"/>
      <c r="L11" s="90">
        <f>MEDIAN(L6:L10)</f>
        <v>0.75650247983947305</v>
      </c>
      <c r="M11" s="55"/>
      <c r="N11" s="55"/>
    </row>
    <row r="12" spans="1:14">
      <c r="B12" s="61" t="s">
        <v>350</v>
      </c>
      <c r="C12" s="61"/>
      <c r="D12" s="62">
        <f>('FCFF and FCFE'!B6)-(D11)</f>
        <v>1.6500000000000001E-2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B13" s="186" t="s">
        <v>339</v>
      </c>
      <c r="C13" s="69"/>
      <c r="D13" s="92">
        <v>1.0900000000000001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B14" s="76" t="s">
        <v>333</v>
      </c>
      <c r="C14" s="76"/>
      <c r="D14" s="77">
        <f>(D11)+(D13)*('FCFF and FCFE'!B6-WACC!D11)</f>
        <v>6.1484999999999998E-2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B15" s="70"/>
      <c r="C15" s="70"/>
      <c r="D15" s="78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B16" s="79" t="s">
        <v>351</v>
      </c>
      <c r="C16" s="79"/>
      <c r="D16" s="80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14">
      <c r="B17" s="87" t="s">
        <v>352</v>
      </c>
      <c r="C17" s="87"/>
      <c r="D17" s="88">
        <f>'FCFF and FCFE'!B8</f>
        <v>3.1838733986435566E-2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2:14">
      <c r="B18" s="69" t="s">
        <v>343</v>
      </c>
      <c r="C18" s="69"/>
      <c r="D18" s="62">
        <f>'FCFF and FCFE'!I18</f>
        <v>0.19500000000000001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2:14" ht="14.45" customHeight="1">
      <c r="B19" s="76" t="s">
        <v>353</v>
      </c>
      <c r="C19" s="76"/>
      <c r="D19" s="77">
        <f>D17*(1-(D18))</f>
        <v>2.5630180859080628E-2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2:14">
      <c r="B20" s="87"/>
      <c r="C20" s="87"/>
      <c r="D20" s="78"/>
      <c r="E20" s="55"/>
      <c r="F20" s="55"/>
      <c r="G20" s="55"/>
      <c r="H20" s="55"/>
      <c r="I20" s="55"/>
      <c r="J20" s="55"/>
      <c r="K20" s="55"/>
      <c r="L20" s="55"/>
      <c r="M20" s="55"/>
      <c r="N20" s="55"/>
    </row>
    <row r="21" spans="2:14">
      <c r="B21" s="93" t="s">
        <v>354</v>
      </c>
      <c r="C21" s="94"/>
      <c r="D21" s="95">
        <f>(D14*D7)+(D19*D6)</f>
        <v>5.1702056646448037E-2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</row>
    <row r="22" spans="2:14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</row>
    <row r="23" spans="2:14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</row>
    <row r="27" spans="2:14">
      <c r="B27" s="185" t="s">
        <v>665</v>
      </c>
      <c r="C27" s="179">
        <f>SUM(C28:C29)</f>
        <v>19454000000</v>
      </c>
    </row>
    <row r="28" spans="2:14">
      <c r="B28" s="185" t="s">
        <v>191</v>
      </c>
      <c r="C28" s="179">
        <f>'Balance Sheet'!F110</f>
        <v>14146000000</v>
      </c>
    </row>
    <row r="29" spans="2:14">
      <c r="B29" s="185" t="s">
        <v>666</v>
      </c>
      <c r="C29" s="179">
        <f>'FCFF and FCFE'!B15</f>
        <v>5308000000</v>
      </c>
    </row>
    <row r="31" spans="2:14" s="187" customFormat="1"/>
    <row r="32" spans="2:14">
      <c r="B32" s="184" t="s">
        <v>673</v>
      </c>
    </row>
  </sheetData>
  <mergeCells count="2">
    <mergeCell ref="B4:D4"/>
    <mergeCell ref="B5:C5"/>
  </mergeCells>
  <hyperlinks>
    <hyperlink ref="B13" location="WACC!B32" display="Levered Beta" xr:uid="{909B6F25-1221-4067-B4A4-F2D9F8DFADA6}"/>
    <hyperlink ref="B32" r:id="rId1" xr:uid="{2B1A19B4-6957-48C6-9722-11197B29CCDB}"/>
    <hyperlink ref="K4" r:id="rId2" xr:uid="{5870700D-5398-450C-9168-552E141CC41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Cash Flow statement</vt:lpstr>
      <vt:lpstr>Balance Sheet</vt:lpstr>
      <vt:lpstr>Income Statement</vt:lpstr>
      <vt:lpstr>FCFF and FCFE</vt:lpstr>
      <vt:lpstr>EV &amp; TV</vt:lpstr>
      <vt:lpstr>Cost of Equity</vt:lpstr>
      <vt:lpstr>Gordon Growth Model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2025-02-14T13:32:30Z</dcterms:created>
  <dcterms:modified xsi:type="dcterms:W3CDTF">2025-02-16T18:00:40Z</dcterms:modified>
</cp:coreProperties>
</file>