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Excel/"/>
    </mc:Choice>
  </mc:AlternateContent>
  <xr:revisionPtr revIDLastSave="0" documentId="13_ncr:1_{18EE7467-25A4-6846-A341-0DA4D855987B}" xr6:coauthVersionLast="47" xr6:coauthVersionMax="47" xr10:uidLastSave="{00000000-0000-0000-0000-000000000000}"/>
  <bookViews>
    <workbookView xWindow="940" yWindow="460" windowWidth="27640" windowHeight="15820" activeTab="1" xr2:uid="{80163BC8-4201-7841-A269-146FE9CE0AD9}"/>
  </bookViews>
  <sheets>
    <sheet name="Лист1" sheetId="1" r:id="rId1"/>
    <sheet name="Лист2" sheetId="2" r:id="rId2"/>
  </sheets>
  <definedNames>
    <definedName name="_xlchart.v1.0" hidden="1">Лист1!$I$2:$I$2001</definedName>
    <definedName name="_xlchart.v1.1" hidden="1">Лист1!$J$2:$J$2001</definedName>
    <definedName name="_xlchart.v1.2" hidden="1">Лист1!$I$2:$I$2001</definedName>
    <definedName name="_xlchart.v1.3" hidden="1">Лист1!$J$2:$J$2001</definedName>
    <definedName name="_xlchart.v1.4" hidden="1">Лист1!$I$2:$I$2001</definedName>
    <definedName name="_xlchart.v1.5" hidden="1">Лист1!$J$2:$J$2001</definedName>
    <definedName name="_xlchart.v1.6" hidden="1">Лист1!$I$2:$I$2001</definedName>
    <definedName name="_xlchart.v1.7" hidden="1">Лист1!$J$2:$J$2001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AA25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AA24" i="1"/>
  <c r="AA23" i="1"/>
  <c r="AA2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AA19" i="1"/>
  <c r="AA18" i="1"/>
  <c r="AA4" i="1"/>
  <c r="AA3" i="1"/>
  <c r="R3" i="1" s="1"/>
  <c r="AA2" i="1"/>
  <c r="R5" i="1"/>
  <c r="AA28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R4" i="1"/>
  <c r="R8" i="1"/>
  <c r="R12" i="1"/>
  <c r="R16" i="1"/>
  <c r="R20" i="1"/>
  <c r="R23" i="1"/>
  <c r="R28" i="1"/>
  <c r="R31" i="1"/>
  <c r="R32" i="1"/>
  <c r="R38" i="1"/>
  <c r="R39" i="1"/>
  <c r="R42" i="1"/>
  <c r="R44" i="1"/>
  <c r="R47" i="1"/>
  <c r="R48" i="1"/>
  <c r="R52" i="1"/>
  <c r="R54" i="1"/>
  <c r="R55" i="1"/>
  <c r="R59" i="1"/>
  <c r="R60" i="1"/>
  <c r="R63" i="1"/>
  <c r="R66" i="1"/>
  <c r="R68" i="1"/>
  <c r="R70" i="1"/>
  <c r="R74" i="1"/>
  <c r="R75" i="1"/>
  <c r="R76" i="1"/>
  <c r="R80" i="1"/>
  <c r="R82" i="1"/>
  <c r="R84" i="1"/>
  <c r="R87" i="1"/>
  <c r="R90" i="1"/>
  <c r="R91" i="1"/>
  <c r="R95" i="1"/>
  <c r="R96" i="1"/>
  <c r="R98" i="1"/>
  <c r="R102" i="1"/>
  <c r="R103" i="1"/>
  <c r="R106" i="1"/>
  <c r="R108" i="1"/>
  <c r="R111" i="1"/>
  <c r="R112" i="1"/>
  <c r="R116" i="1"/>
  <c r="R118" i="1"/>
  <c r="R119" i="1"/>
  <c r="R123" i="1"/>
  <c r="R124" i="1"/>
  <c r="R127" i="1"/>
  <c r="R130" i="1"/>
  <c r="R132" i="1"/>
  <c r="R134" i="1"/>
  <c r="R138" i="1"/>
  <c r="R139" i="1"/>
  <c r="R140" i="1"/>
  <c r="R144" i="1"/>
  <c r="R146" i="1"/>
  <c r="R148" i="1"/>
  <c r="R151" i="1"/>
  <c r="R154" i="1"/>
  <c r="R155" i="1"/>
  <c r="R159" i="1"/>
  <c r="R160" i="1"/>
  <c r="R162" i="1"/>
  <c r="R166" i="1"/>
  <c r="R167" i="1"/>
  <c r="R170" i="1"/>
  <c r="R172" i="1"/>
  <c r="R175" i="1"/>
  <c r="R176" i="1"/>
  <c r="R180" i="1"/>
  <c r="R182" i="1"/>
  <c r="R183" i="1"/>
  <c r="R187" i="1"/>
  <c r="R188" i="1"/>
  <c r="R191" i="1"/>
  <c r="R194" i="1"/>
  <c r="R196" i="1"/>
  <c r="R198" i="1"/>
  <c r="R202" i="1"/>
  <c r="R203" i="1"/>
  <c r="R204" i="1"/>
  <c r="R208" i="1"/>
  <c r="R210" i="1"/>
  <c r="R212" i="1"/>
  <c r="R215" i="1"/>
  <c r="R218" i="1"/>
  <c r="R219" i="1"/>
  <c r="R223" i="1"/>
  <c r="R224" i="1"/>
  <c r="R226" i="1"/>
  <c r="R230" i="1"/>
  <c r="R231" i="1"/>
  <c r="R234" i="1"/>
  <c r="R236" i="1"/>
  <c r="R239" i="1"/>
  <c r="R240" i="1"/>
  <c r="R244" i="1"/>
  <c r="R246" i="1"/>
  <c r="R247" i="1"/>
  <c r="R251" i="1"/>
  <c r="R252" i="1"/>
  <c r="R255" i="1"/>
  <c r="R258" i="1"/>
  <c r="R260" i="1"/>
  <c r="R262" i="1"/>
  <c r="R266" i="1"/>
  <c r="R267" i="1"/>
  <c r="R268" i="1"/>
  <c r="R272" i="1"/>
  <c r="R274" i="1"/>
  <c r="R276" i="1"/>
  <c r="R279" i="1"/>
  <c r="R282" i="1"/>
  <c r="R283" i="1"/>
  <c r="R287" i="1"/>
  <c r="R288" i="1"/>
  <c r="R290" i="1"/>
  <c r="R294" i="1"/>
  <c r="R295" i="1"/>
  <c r="R298" i="1"/>
  <c r="R300" i="1"/>
  <c r="R303" i="1"/>
  <c r="R304" i="1"/>
  <c r="R308" i="1"/>
  <c r="R310" i="1"/>
  <c r="R311" i="1"/>
  <c r="R315" i="1"/>
  <c r="R316" i="1"/>
  <c r="R319" i="1"/>
  <c r="R322" i="1"/>
  <c r="R324" i="1"/>
  <c r="R326" i="1"/>
  <c r="R330" i="1"/>
  <c r="R331" i="1"/>
  <c r="R332" i="1"/>
  <c r="R336" i="1"/>
  <c r="R338" i="1"/>
  <c r="R340" i="1"/>
  <c r="R343" i="1"/>
  <c r="R345" i="1"/>
  <c r="R346" i="1"/>
  <c r="R347" i="1"/>
  <c r="R349" i="1"/>
  <c r="R350" i="1"/>
  <c r="R351" i="1"/>
  <c r="R353" i="1"/>
  <c r="R354" i="1"/>
  <c r="R355" i="1"/>
  <c r="R357" i="1"/>
  <c r="R358" i="1"/>
  <c r="R359" i="1"/>
  <c r="R361" i="1"/>
  <c r="R362" i="1"/>
  <c r="R363" i="1"/>
  <c r="R365" i="1"/>
  <c r="R366" i="1"/>
  <c r="R367" i="1"/>
  <c r="R369" i="1"/>
  <c r="R370" i="1"/>
  <c r="R371" i="1"/>
  <c r="R373" i="1"/>
  <c r="R374" i="1"/>
  <c r="R375" i="1"/>
  <c r="R377" i="1"/>
  <c r="R378" i="1"/>
  <c r="R379" i="1"/>
  <c r="R381" i="1"/>
  <c r="R382" i="1"/>
  <c r="R383" i="1"/>
  <c r="R385" i="1"/>
  <c r="R386" i="1"/>
  <c r="R387" i="1"/>
  <c r="R389" i="1"/>
  <c r="R390" i="1"/>
  <c r="R391" i="1"/>
  <c r="R393" i="1"/>
  <c r="R394" i="1"/>
  <c r="R395" i="1"/>
  <c r="R397" i="1"/>
  <c r="R398" i="1"/>
  <c r="R399" i="1"/>
  <c r="R401" i="1"/>
  <c r="R402" i="1"/>
  <c r="R403" i="1"/>
  <c r="R405" i="1"/>
  <c r="R406" i="1"/>
  <c r="R407" i="1"/>
  <c r="R409" i="1"/>
  <c r="R410" i="1"/>
  <c r="R411" i="1"/>
  <c r="R413" i="1"/>
  <c r="R414" i="1"/>
  <c r="R415" i="1"/>
  <c r="R417" i="1"/>
  <c r="R418" i="1"/>
  <c r="R419" i="1"/>
  <c r="R421" i="1"/>
  <c r="R422" i="1"/>
  <c r="R423" i="1"/>
  <c r="R425" i="1"/>
  <c r="R426" i="1"/>
  <c r="R427" i="1"/>
  <c r="R429" i="1"/>
  <c r="R430" i="1"/>
  <c r="R431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AA12" i="1"/>
  <c r="AA13" i="1"/>
  <c r="T358" i="1" s="1"/>
  <c r="AA8" i="1"/>
  <c r="AA7" i="1"/>
  <c r="AD30" i="1"/>
  <c r="AD44" i="1"/>
  <c r="AD45" i="1"/>
  <c r="AD46" i="1"/>
  <c r="AD47" i="1"/>
  <c r="AD48" i="1"/>
  <c r="AD49" i="1"/>
  <c r="AD50" i="1"/>
  <c r="AD51" i="1"/>
  <c r="AD52" i="1"/>
  <c r="AD53" i="1"/>
  <c r="R2" i="1" l="1"/>
  <c r="R342" i="1"/>
  <c r="R335" i="1"/>
  <c r="R327" i="1"/>
  <c r="R320" i="1"/>
  <c r="R314" i="1"/>
  <c r="R306" i="1"/>
  <c r="R299" i="1"/>
  <c r="R292" i="1"/>
  <c r="R284" i="1"/>
  <c r="R278" i="1"/>
  <c r="R271" i="1"/>
  <c r="R263" i="1"/>
  <c r="R256" i="1"/>
  <c r="R250" i="1"/>
  <c r="R242" i="1"/>
  <c r="R235" i="1"/>
  <c r="R228" i="1"/>
  <c r="R220" i="1"/>
  <c r="R214" i="1"/>
  <c r="R207" i="1"/>
  <c r="R199" i="1"/>
  <c r="R192" i="1"/>
  <c r="R186" i="1"/>
  <c r="R178" i="1"/>
  <c r="R171" i="1"/>
  <c r="R164" i="1"/>
  <c r="R156" i="1"/>
  <c r="R150" i="1"/>
  <c r="R143" i="1"/>
  <c r="R135" i="1"/>
  <c r="R128" i="1"/>
  <c r="R122" i="1"/>
  <c r="R114" i="1"/>
  <c r="R107" i="1"/>
  <c r="R100" i="1"/>
  <c r="R92" i="1"/>
  <c r="R86" i="1"/>
  <c r="R79" i="1"/>
  <c r="R71" i="1"/>
  <c r="R64" i="1"/>
  <c r="R58" i="1"/>
  <c r="R50" i="1"/>
  <c r="R43" i="1"/>
  <c r="R36" i="1"/>
  <c r="R24" i="1"/>
  <c r="R15" i="1"/>
  <c r="R11" i="1"/>
  <c r="R7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39" i="1"/>
  <c r="R334" i="1"/>
  <c r="R328" i="1"/>
  <c r="R323" i="1"/>
  <c r="R318" i="1"/>
  <c r="R312" i="1"/>
  <c r="R307" i="1"/>
  <c r="R302" i="1"/>
  <c r="R296" i="1"/>
  <c r="R291" i="1"/>
  <c r="R286" i="1"/>
  <c r="R280" i="1"/>
  <c r="R275" i="1"/>
  <c r="R270" i="1"/>
  <c r="R264" i="1"/>
  <c r="R259" i="1"/>
  <c r="R254" i="1"/>
  <c r="R248" i="1"/>
  <c r="R243" i="1"/>
  <c r="R238" i="1"/>
  <c r="R232" i="1"/>
  <c r="R227" i="1"/>
  <c r="R222" i="1"/>
  <c r="R216" i="1"/>
  <c r="R211" i="1"/>
  <c r="R206" i="1"/>
  <c r="R200" i="1"/>
  <c r="R195" i="1"/>
  <c r="R190" i="1"/>
  <c r="R184" i="1"/>
  <c r="R179" i="1"/>
  <c r="R174" i="1"/>
  <c r="R168" i="1"/>
  <c r="R163" i="1"/>
  <c r="R158" i="1"/>
  <c r="R152" i="1"/>
  <c r="R147" i="1"/>
  <c r="R142" i="1"/>
  <c r="R136" i="1"/>
  <c r="R131" i="1"/>
  <c r="R126" i="1"/>
  <c r="R120" i="1"/>
  <c r="R115" i="1"/>
  <c r="R110" i="1"/>
  <c r="R104" i="1"/>
  <c r="R99" i="1"/>
  <c r="R94" i="1"/>
  <c r="R88" i="1"/>
  <c r="R83" i="1"/>
  <c r="R78" i="1"/>
  <c r="R72" i="1"/>
  <c r="R67" i="1"/>
  <c r="R62" i="1"/>
  <c r="R56" i="1"/>
  <c r="R51" i="1"/>
  <c r="R46" i="1"/>
  <c r="R40" i="1"/>
  <c r="R35" i="1"/>
  <c r="R27" i="1"/>
  <c r="R19" i="1"/>
  <c r="R34" i="1"/>
  <c r="R30" i="1"/>
  <c r="R26" i="1"/>
  <c r="R22" i="1"/>
  <c r="R18" i="1"/>
  <c r="R14" i="1"/>
  <c r="R10" i="1"/>
  <c r="R6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T1997" i="1"/>
  <c r="T1991" i="1"/>
  <c r="T1984" i="1"/>
  <c r="T1976" i="1"/>
  <c r="T1969" i="1"/>
  <c r="T1963" i="1"/>
  <c r="T1955" i="1"/>
  <c r="T1948" i="1"/>
  <c r="T1941" i="1"/>
  <c r="T1932" i="1"/>
  <c r="T1915" i="1"/>
  <c r="T1893" i="1"/>
  <c r="T1872" i="1"/>
  <c r="T1851" i="1"/>
  <c r="T1829" i="1"/>
  <c r="T1808" i="1"/>
  <c r="T1787" i="1"/>
  <c r="T1765" i="1"/>
  <c r="T1744" i="1"/>
  <c r="T1723" i="1"/>
  <c r="T1701" i="1"/>
  <c r="T1653" i="1"/>
  <c r="T1589" i="1"/>
  <c r="T1525" i="1"/>
  <c r="T1461" i="1"/>
  <c r="T1389" i="1"/>
  <c r="T1304" i="1"/>
  <c r="T1219" i="1"/>
  <c r="T1133" i="1"/>
  <c r="T1048" i="1"/>
  <c r="T866" i="1"/>
  <c r="T308" i="1"/>
  <c r="T1996" i="1"/>
  <c r="T1989" i="1"/>
  <c r="T1981" i="1"/>
  <c r="T1975" i="1"/>
  <c r="T1968" i="1"/>
  <c r="T1960" i="1"/>
  <c r="T1953" i="1"/>
  <c r="T1947" i="1"/>
  <c r="T1939" i="1"/>
  <c r="T1931" i="1"/>
  <c r="T1909" i="1"/>
  <c r="T1888" i="1"/>
  <c r="T1867" i="1"/>
  <c r="T1845" i="1"/>
  <c r="T1824" i="1"/>
  <c r="T1803" i="1"/>
  <c r="T1781" i="1"/>
  <c r="T1760" i="1"/>
  <c r="T1739" i="1"/>
  <c r="T1717" i="1"/>
  <c r="T1696" i="1"/>
  <c r="T1637" i="1"/>
  <c r="T1573" i="1"/>
  <c r="T1509" i="1"/>
  <c r="T1445" i="1"/>
  <c r="T1368" i="1"/>
  <c r="T1283" i="1"/>
  <c r="T1197" i="1"/>
  <c r="T1112" i="1"/>
  <c r="T1027" i="1"/>
  <c r="T781" i="1"/>
  <c r="T2001" i="1"/>
  <c r="T1995" i="1"/>
  <c r="T1987" i="1"/>
  <c r="T1980" i="1"/>
  <c r="T1973" i="1"/>
  <c r="T1965" i="1"/>
  <c r="T1959" i="1"/>
  <c r="T1952" i="1"/>
  <c r="T1944" i="1"/>
  <c r="T1937" i="1"/>
  <c r="T1925" i="1"/>
  <c r="T1904" i="1"/>
  <c r="T1883" i="1"/>
  <c r="T1861" i="1"/>
  <c r="T1840" i="1"/>
  <c r="T1819" i="1"/>
  <c r="T1797" i="1"/>
  <c r="T1776" i="1"/>
  <c r="T1755" i="1"/>
  <c r="T1733" i="1"/>
  <c r="T1712" i="1"/>
  <c r="T1685" i="1"/>
  <c r="T1621" i="1"/>
  <c r="T1557" i="1"/>
  <c r="T1493" i="1"/>
  <c r="T1429" i="1"/>
  <c r="T1347" i="1"/>
  <c r="T1261" i="1"/>
  <c r="T1176" i="1"/>
  <c r="T1091" i="1"/>
  <c r="T999" i="1"/>
  <c r="T695" i="1"/>
  <c r="T2000" i="1"/>
  <c r="T1992" i="1"/>
  <c r="T1985" i="1"/>
  <c r="T1979" i="1"/>
  <c r="T1971" i="1"/>
  <c r="T1964" i="1"/>
  <c r="T1957" i="1"/>
  <c r="T1949" i="1"/>
  <c r="T1943" i="1"/>
  <c r="T1936" i="1"/>
  <c r="T1920" i="1"/>
  <c r="T1899" i="1"/>
  <c r="T1877" i="1"/>
  <c r="T1856" i="1"/>
  <c r="T1835" i="1"/>
  <c r="T1813" i="1"/>
  <c r="T1792" i="1"/>
  <c r="T1771" i="1"/>
  <c r="T1749" i="1"/>
  <c r="T1728" i="1"/>
  <c r="T1707" i="1"/>
  <c r="T1669" i="1"/>
  <c r="T1605" i="1"/>
  <c r="T1541" i="1"/>
  <c r="T1477" i="1"/>
  <c r="T1411" i="1"/>
  <c r="T1325" i="1"/>
  <c r="T1240" i="1"/>
  <c r="T1155" i="1"/>
  <c r="T1069" i="1"/>
  <c r="T951" i="1"/>
  <c r="T599" i="1"/>
  <c r="T1999" i="1"/>
  <c r="T1993" i="1"/>
  <c r="T1988" i="1"/>
  <c r="T1983" i="1"/>
  <c r="T1977" i="1"/>
  <c r="T1972" i="1"/>
  <c r="T1967" i="1"/>
  <c r="T1961" i="1"/>
  <c r="T1956" i="1"/>
  <c r="T1951" i="1"/>
  <c r="T1945" i="1"/>
  <c r="T1940" i="1"/>
  <c r="T1935" i="1"/>
  <c r="T1929" i="1"/>
  <c r="T1924" i="1"/>
  <c r="T1919" i="1"/>
  <c r="T1913" i="1"/>
  <c r="T1908" i="1"/>
  <c r="T1903" i="1"/>
  <c r="T1897" i="1"/>
  <c r="T1892" i="1"/>
  <c r="T1887" i="1"/>
  <c r="T1881" i="1"/>
  <c r="T1876" i="1"/>
  <c r="T1871" i="1"/>
  <c r="T1865" i="1"/>
  <c r="T1860" i="1"/>
  <c r="T1855" i="1"/>
  <c r="T1849" i="1"/>
  <c r="T1844" i="1"/>
  <c r="T1839" i="1"/>
  <c r="T1833" i="1"/>
  <c r="T1828" i="1"/>
  <c r="T1823" i="1"/>
  <c r="T1817" i="1"/>
  <c r="T1812" i="1"/>
  <c r="T1807" i="1"/>
  <c r="T1801" i="1"/>
  <c r="T1796" i="1"/>
  <c r="T1791" i="1"/>
  <c r="T1785" i="1"/>
  <c r="T1780" i="1"/>
  <c r="T1775" i="1"/>
  <c r="T1769" i="1"/>
  <c r="T1764" i="1"/>
  <c r="T1759" i="1"/>
  <c r="T1753" i="1"/>
  <c r="T1748" i="1"/>
  <c r="T1743" i="1"/>
  <c r="T1737" i="1"/>
  <c r="T1732" i="1"/>
  <c r="T1727" i="1"/>
  <c r="T1721" i="1"/>
  <c r="T1716" i="1"/>
  <c r="T1711" i="1"/>
  <c r="T1705" i="1"/>
  <c r="T1700" i="1"/>
  <c r="T1695" i="1"/>
  <c r="T1681" i="1"/>
  <c r="T1665" i="1"/>
  <c r="T1649" i="1"/>
  <c r="T1633" i="1"/>
  <c r="T1617" i="1"/>
  <c r="T1601" i="1"/>
  <c r="T1585" i="1"/>
  <c r="T1569" i="1"/>
  <c r="T1553" i="1"/>
  <c r="T1537" i="1"/>
  <c r="T1521" i="1"/>
  <c r="T1505" i="1"/>
  <c r="T1489" i="1"/>
  <c r="T1473" i="1"/>
  <c r="T1457" i="1"/>
  <c r="T1441" i="1"/>
  <c r="T1425" i="1"/>
  <c r="T1405" i="1"/>
  <c r="T1384" i="1"/>
  <c r="T1363" i="1"/>
  <c r="T1341" i="1"/>
  <c r="T1320" i="1"/>
  <c r="T1299" i="1"/>
  <c r="T1277" i="1"/>
  <c r="T1256" i="1"/>
  <c r="T1235" i="1"/>
  <c r="T1213" i="1"/>
  <c r="T1192" i="1"/>
  <c r="T1171" i="1"/>
  <c r="T1149" i="1"/>
  <c r="T1128" i="1"/>
  <c r="T1107" i="1"/>
  <c r="T1085" i="1"/>
  <c r="T1064" i="1"/>
  <c r="T1043" i="1"/>
  <c r="T1021" i="1"/>
  <c r="T993" i="1"/>
  <c r="T930" i="1"/>
  <c r="T845" i="1"/>
  <c r="T759" i="1"/>
  <c r="T674" i="1"/>
  <c r="T529" i="1"/>
  <c r="T1933" i="1"/>
  <c r="T1928" i="1"/>
  <c r="T1923" i="1"/>
  <c r="T1917" i="1"/>
  <c r="T1912" i="1"/>
  <c r="T1907" i="1"/>
  <c r="T1901" i="1"/>
  <c r="T1896" i="1"/>
  <c r="T1891" i="1"/>
  <c r="T1885" i="1"/>
  <c r="T1880" i="1"/>
  <c r="T1875" i="1"/>
  <c r="T1869" i="1"/>
  <c r="T1864" i="1"/>
  <c r="T1859" i="1"/>
  <c r="T1853" i="1"/>
  <c r="T1848" i="1"/>
  <c r="T1843" i="1"/>
  <c r="T1837" i="1"/>
  <c r="T1832" i="1"/>
  <c r="T1827" i="1"/>
  <c r="T1821" i="1"/>
  <c r="T1816" i="1"/>
  <c r="T1811" i="1"/>
  <c r="T1805" i="1"/>
  <c r="T1800" i="1"/>
  <c r="T1795" i="1"/>
  <c r="T1789" i="1"/>
  <c r="T1784" i="1"/>
  <c r="T1779" i="1"/>
  <c r="T1773" i="1"/>
  <c r="T1768" i="1"/>
  <c r="T1763" i="1"/>
  <c r="T1757" i="1"/>
  <c r="T1752" i="1"/>
  <c r="T1747" i="1"/>
  <c r="T1741" i="1"/>
  <c r="T1736" i="1"/>
  <c r="T1731" i="1"/>
  <c r="T1725" i="1"/>
  <c r="T1720" i="1"/>
  <c r="T1715" i="1"/>
  <c r="T1709" i="1"/>
  <c r="T1704" i="1"/>
  <c r="T1699" i="1"/>
  <c r="T1693" i="1"/>
  <c r="T1677" i="1"/>
  <c r="T1661" i="1"/>
  <c r="T1645" i="1"/>
  <c r="T1629" i="1"/>
  <c r="T1613" i="1"/>
  <c r="T1597" i="1"/>
  <c r="T1581" i="1"/>
  <c r="T1565" i="1"/>
  <c r="T1549" i="1"/>
  <c r="T1533" i="1"/>
  <c r="T1517" i="1"/>
  <c r="T1501" i="1"/>
  <c r="T1485" i="1"/>
  <c r="T1469" i="1"/>
  <c r="T1453" i="1"/>
  <c r="T1437" i="1"/>
  <c r="T1421" i="1"/>
  <c r="T1400" i="1"/>
  <c r="T1379" i="1"/>
  <c r="T1357" i="1"/>
  <c r="T1336" i="1"/>
  <c r="T1315" i="1"/>
  <c r="T1293" i="1"/>
  <c r="T1272" i="1"/>
  <c r="T1251" i="1"/>
  <c r="T1229" i="1"/>
  <c r="T1208" i="1"/>
  <c r="T1187" i="1"/>
  <c r="T1165" i="1"/>
  <c r="T1144" i="1"/>
  <c r="T1123" i="1"/>
  <c r="T1101" i="1"/>
  <c r="T1080" i="1"/>
  <c r="T1059" i="1"/>
  <c r="T1037" i="1"/>
  <c r="T1014" i="1"/>
  <c r="T986" i="1"/>
  <c r="T909" i="1"/>
  <c r="T823" i="1"/>
  <c r="T738" i="1"/>
  <c r="T653" i="1"/>
  <c r="T444" i="1"/>
  <c r="T1927" i="1"/>
  <c r="T1921" i="1"/>
  <c r="T1916" i="1"/>
  <c r="T1911" i="1"/>
  <c r="T1905" i="1"/>
  <c r="T1900" i="1"/>
  <c r="T1895" i="1"/>
  <c r="T1889" i="1"/>
  <c r="T1884" i="1"/>
  <c r="T1879" i="1"/>
  <c r="T1873" i="1"/>
  <c r="T1868" i="1"/>
  <c r="T1863" i="1"/>
  <c r="T1857" i="1"/>
  <c r="T1852" i="1"/>
  <c r="T1847" i="1"/>
  <c r="T1841" i="1"/>
  <c r="T1836" i="1"/>
  <c r="T1831" i="1"/>
  <c r="T1825" i="1"/>
  <c r="T1820" i="1"/>
  <c r="T1815" i="1"/>
  <c r="T1809" i="1"/>
  <c r="T1804" i="1"/>
  <c r="T1799" i="1"/>
  <c r="T1793" i="1"/>
  <c r="T1788" i="1"/>
  <c r="T1783" i="1"/>
  <c r="T1777" i="1"/>
  <c r="T1772" i="1"/>
  <c r="T1767" i="1"/>
  <c r="T1761" i="1"/>
  <c r="T1756" i="1"/>
  <c r="T1751" i="1"/>
  <c r="T1745" i="1"/>
  <c r="T1740" i="1"/>
  <c r="T1735" i="1"/>
  <c r="T1729" i="1"/>
  <c r="T1724" i="1"/>
  <c r="T1719" i="1"/>
  <c r="T1713" i="1"/>
  <c r="T1708" i="1"/>
  <c r="T1703" i="1"/>
  <c r="T1697" i="1"/>
  <c r="T1689" i="1"/>
  <c r="T1673" i="1"/>
  <c r="T1657" i="1"/>
  <c r="T1641" i="1"/>
  <c r="T1625" i="1"/>
  <c r="T1609" i="1"/>
  <c r="T1593" i="1"/>
  <c r="T1577" i="1"/>
  <c r="T1561" i="1"/>
  <c r="T1545" i="1"/>
  <c r="T1529" i="1"/>
  <c r="T1513" i="1"/>
  <c r="T1497" i="1"/>
  <c r="T1481" i="1"/>
  <c r="T1465" i="1"/>
  <c r="T1449" i="1"/>
  <c r="T1433" i="1"/>
  <c r="T1416" i="1"/>
  <c r="T1395" i="1"/>
  <c r="T1373" i="1"/>
  <c r="T1352" i="1"/>
  <c r="T1331" i="1"/>
  <c r="T1309" i="1"/>
  <c r="T1288" i="1"/>
  <c r="T1267" i="1"/>
  <c r="T1245" i="1"/>
  <c r="T1224" i="1"/>
  <c r="T1203" i="1"/>
  <c r="T1181" i="1"/>
  <c r="T1160" i="1"/>
  <c r="T1139" i="1"/>
  <c r="T1117" i="1"/>
  <c r="T1096" i="1"/>
  <c r="T1075" i="1"/>
  <c r="T1053" i="1"/>
  <c r="T1032" i="1"/>
  <c r="T1007" i="1"/>
  <c r="T973" i="1"/>
  <c r="T887" i="1"/>
  <c r="T802" i="1"/>
  <c r="T717" i="1"/>
  <c r="T631" i="1"/>
  <c r="T1692" i="1"/>
  <c r="T1688" i="1"/>
  <c r="T1684" i="1"/>
  <c r="T1680" i="1"/>
  <c r="T1676" i="1"/>
  <c r="T1672" i="1"/>
  <c r="T1668" i="1"/>
  <c r="T1664" i="1"/>
  <c r="T1660" i="1"/>
  <c r="T1656" i="1"/>
  <c r="T1652" i="1"/>
  <c r="T1648" i="1"/>
  <c r="T1644" i="1"/>
  <c r="T1640" i="1"/>
  <c r="T1636" i="1"/>
  <c r="T1632" i="1"/>
  <c r="T1628" i="1"/>
  <c r="T1624" i="1"/>
  <c r="T1620" i="1"/>
  <c r="T1616" i="1"/>
  <c r="T1612" i="1"/>
  <c r="T1608" i="1"/>
  <c r="T1604" i="1"/>
  <c r="T1600" i="1"/>
  <c r="T1596" i="1"/>
  <c r="T1592" i="1"/>
  <c r="T1588" i="1"/>
  <c r="T1584" i="1"/>
  <c r="T1580" i="1"/>
  <c r="T1576" i="1"/>
  <c r="T1572" i="1"/>
  <c r="T1568" i="1"/>
  <c r="T1564" i="1"/>
  <c r="T1560" i="1"/>
  <c r="T1556" i="1"/>
  <c r="T1552" i="1"/>
  <c r="T1548" i="1"/>
  <c r="T1544" i="1"/>
  <c r="T1540" i="1"/>
  <c r="T1536" i="1"/>
  <c r="T1532" i="1"/>
  <c r="T1528" i="1"/>
  <c r="T1524" i="1"/>
  <c r="T1520" i="1"/>
  <c r="T1516" i="1"/>
  <c r="T1512" i="1"/>
  <c r="T1508" i="1"/>
  <c r="T1504" i="1"/>
  <c r="T1500" i="1"/>
  <c r="T1496" i="1"/>
  <c r="T1492" i="1"/>
  <c r="T1488" i="1"/>
  <c r="T1484" i="1"/>
  <c r="T1480" i="1"/>
  <c r="T1476" i="1"/>
  <c r="T1472" i="1"/>
  <c r="T1468" i="1"/>
  <c r="T1464" i="1"/>
  <c r="T1460" i="1"/>
  <c r="T1456" i="1"/>
  <c r="T1452" i="1"/>
  <c r="T1448" i="1"/>
  <c r="T1444" i="1"/>
  <c r="T1440" i="1"/>
  <c r="T1436" i="1"/>
  <c r="T1432" i="1"/>
  <c r="T1428" i="1"/>
  <c r="T1424" i="1"/>
  <c r="T1420" i="1"/>
  <c r="T1415" i="1"/>
  <c r="T1409" i="1"/>
  <c r="T1404" i="1"/>
  <c r="T1399" i="1"/>
  <c r="T1393" i="1"/>
  <c r="T1388" i="1"/>
  <c r="T1383" i="1"/>
  <c r="T1377" i="1"/>
  <c r="T1372" i="1"/>
  <c r="T1367" i="1"/>
  <c r="T1361" i="1"/>
  <c r="T1356" i="1"/>
  <c r="T1351" i="1"/>
  <c r="T1345" i="1"/>
  <c r="T1340" i="1"/>
  <c r="T1335" i="1"/>
  <c r="T1329" i="1"/>
  <c r="T1324" i="1"/>
  <c r="T1319" i="1"/>
  <c r="T1313" i="1"/>
  <c r="T1308" i="1"/>
  <c r="T1303" i="1"/>
  <c r="T1297" i="1"/>
  <c r="T1292" i="1"/>
  <c r="T1287" i="1"/>
  <c r="T1281" i="1"/>
  <c r="T1276" i="1"/>
  <c r="T1271" i="1"/>
  <c r="T1265" i="1"/>
  <c r="T1260" i="1"/>
  <c r="T1255" i="1"/>
  <c r="T1249" i="1"/>
  <c r="T1244" i="1"/>
  <c r="T1239" i="1"/>
  <c r="T1233" i="1"/>
  <c r="T1228" i="1"/>
  <c r="T1223" i="1"/>
  <c r="T1217" i="1"/>
  <c r="T1212" i="1"/>
  <c r="T1207" i="1"/>
  <c r="T1201" i="1"/>
  <c r="T1196" i="1"/>
  <c r="T1191" i="1"/>
  <c r="T1185" i="1"/>
  <c r="T1180" i="1"/>
  <c r="T1175" i="1"/>
  <c r="T1169" i="1"/>
  <c r="T1164" i="1"/>
  <c r="T1159" i="1"/>
  <c r="T1153" i="1"/>
  <c r="T1148" i="1"/>
  <c r="T1143" i="1"/>
  <c r="T1137" i="1"/>
  <c r="T1132" i="1"/>
  <c r="T1127" i="1"/>
  <c r="T1121" i="1"/>
  <c r="T1116" i="1"/>
  <c r="T1111" i="1"/>
  <c r="T1105" i="1"/>
  <c r="T1100" i="1"/>
  <c r="T1095" i="1"/>
  <c r="T1089" i="1"/>
  <c r="T1084" i="1"/>
  <c r="T1079" i="1"/>
  <c r="T1073" i="1"/>
  <c r="T1068" i="1"/>
  <c r="T1063" i="1"/>
  <c r="T1057" i="1"/>
  <c r="T1052" i="1"/>
  <c r="T1047" i="1"/>
  <c r="T1041" i="1"/>
  <c r="T1036" i="1"/>
  <c r="T1031" i="1"/>
  <c r="T1025" i="1"/>
  <c r="T1019" i="1"/>
  <c r="T1013" i="1"/>
  <c r="T1005" i="1"/>
  <c r="T998" i="1"/>
  <c r="T991" i="1"/>
  <c r="T983" i="1"/>
  <c r="T967" i="1"/>
  <c r="T946" i="1"/>
  <c r="T925" i="1"/>
  <c r="T903" i="1"/>
  <c r="T882" i="1"/>
  <c r="T861" i="1"/>
  <c r="T839" i="1"/>
  <c r="T818" i="1"/>
  <c r="T797" i="1"/>
  <c r="T775" i="1"/>
  <c r="T754" i="1"/>
  <c r="T733" i="1"/>
  <c r="T711" i="1"/>
  <c r="T690" i="1"/>
  <c r="T669" i="1"/>
  <c r="T647" i="1"/>
  <c r="T626" i="1"/>
  <c r="T583" i="1"/>
  <c r="T508" i="1"/>
  <c r="T422" i="1"/>
  <c r="T336" i="1"/>
  <c r="T1691" i="1"/>
  <c r="T1687" i="1"/>
  <c r="T1683" i="1"/>
  <c r="T1679" i="1"/>
  <c r="T1675" i="1"/>
  <c r="T1671" i="1"/>
  <c r="T1667" i="1"/>
  <c r="T1663" i="1"/>
  <c r="T1659" i="1"/>
  <c r="T1655" i="1"/>
  <c r="T1651" i="1"/>
  <c r="T1647" i="1"/>
  <c r="T1643" i="1"/>
  <c r="T1639" i="1"/>
  <c r="T1635" i="1"/>
  <c r="T1631" i="1"/>
  <c r="T1627" i="1"/>
  <c r="T1623" i="1"/>
  <c r="T1619" i="1"/>
  <c r="T1615" i="1"/>
  <c r="T1611" i="1"/>
  <c r="T1607" i="1"/>
  <c r="T1603" i="1"/>
  <c r="T1599" i="1"/>
  <c r="T1595" i="1"/>
  <c r="T1591" i="1"/>
  <c r="T1587" i="1"/>
  <c r="T1583" i="1"/>
  <c r="T1579" i="1"/>
  <c r="T1575" i="1"/>
  <c r="T1571" i="1"/>
  <c r="T1567" i="1"/>
  <c r="T1563" i="1"/>
  <c r="T1559" i="1"/>
  <c r="T1555" i="1"/>
  <c r="T1551" i="1"/>
  <c r="T1547" i="1"/>
  <c r="T1543" i="1"/>
  <c r="T1539" i="1"/>
  <c r="T1535" i="1"/>
  <c r="T1531" i="1"/>
  <c r="T1527" i="1"/>
  <c r="T1523" i="1"/>
  <c r="T1519" i="1"/>
  <c r="T1515" i="1"/>
  <c r="T1511" i="1"/>
  <c r="T1507" i="1"/>
  <c r="T1503" i="1"/>
  <c r="T1499" i="1"/>
  <c r="T1495" i="1"/>
  <c r="T1491" i="1"/>
  <c r="T1487" i="1"/>
  <c r="T1483" i="1"/>
  <c r="T1479" i="1"/>
  <c r="T1475" i="1"/>
  <c r="T1471" i="1"/>
  <c r="T1467" i="1"/>
  <c r="T1463" i="1"/>
  <c r="T1459" i="1"/>
  <c r="T1455" i="1"/>
  <c r="T1451" i="1"/>
  <c r="T1447" i="1"/>
  <c r="T1443" i="1"/>
  <c r="T1439" i="1"/>
  <c r="T1435" i="1"/>
  <c r="T1431" i="1"/>
  <c r="T1427" i="1"/>
  <c r="T1423" i="1"/>
  <c r="T1419" i="1"/>
  <c r="T1413" i="1"/>
  <c r="T1408" i="1"/>
  <c r="T1403" i="1"/>
  <c r="T1397" i="1"/>
  <c r="T1392" i="1"/>
  <c r="T1387" i="1"/>
  <c r="T1381" i="1"/>
  <c r="T1376" i="1"/>
  <c r="T1371" i="1"/>
  <c r="T1365" i="1"/>
  <c r="T1360" i="1"/>
  <c r="T1355" i="1"/>
  <c r="T1349" i="1"/>
  <c r="T1344" i="1"/>
  <c r="T1339" i="1"/>
  <c r="T1333" i="1"/>
  <c r="T1328" i="1"/>
  <c r="T1323" i="1"/>
  <c r="T1317" i="1"/>
  <c r="T1312" i="1"/>
  <c r="T1307" i="1"/>
  <c r="T1301" i="1"/>
  <c r="T1296" i="1"/>
  <c r="T1291" i="1"/>
  <c r="T1285" i="1"/>
  <c r="T1280" i="1"/>
  <c r="T1275" i="1"/>
  <c r="T1269" i="1"/>
  <c r="T1264" i="1"/>
  <c r="T1259" i="1"/>
  <c r="T1253" i="1"/>
  <c r="T1248" i="1"/>
  <c r="T1243" i="1"/>
  <c r="T1237" i="1"/>
  <c r="T1232" i="1"/>
  <c r="T1227" i="1"/>
  <c r="T1221" i="1"/>
  <c r="T1216" i="1"/>
  <c r="T1211" i="1"/>
  <c r="T1205" i="1"/>
  <c r="T1200" i="1"/>
  <c r="T1195" i="1"/>
  <c r="T1189" i="1"/>
  <c r="T1184" i="1"/>
  <c r="T1179" i="1"/>
  <c r="T1173" i="1"/>
  <c r="T1168" i="1"/>
  <c r="T1163" i="1"/>
  <c r="T1157" i="1"/>
  <c r="T1152" i="1"/>
  <c r="T1147" i="1"/>
  <c r="T1141" i="1"/>
  <c r="T1136" i="1"/>
  <c r="T1131" i="1"/>
  <c r="T1125" i="1"/>
  <c r="T1120" i="1"/>
  <c r="T1115" i="1"/>
  <c r="T1109" i="1"/>
  <c r="T1104" i="1"/>
  <c r="T1099" i="1"/>
  <c r="T1093" i="1"/>
  <c r="T1088" i="1"/>
  <c r="T1083" i="1"/>
  <c r="T1077" i="1"/>
  <c r="T1072" i="1"/>
  <c r="T1067" i="1"/>
  <c r="T1061" i="1"/>
  <c r="T1056" i="1"/>
  <c r="T1051" i="1"/>
  <c r="T1045" i="1"/>
  <c r="T1040" i="1"/>
  <c r="T1035" i="1"/>
  <c r="T1029" i="1"/>
  <c r="T1024" i="1"/>
  <c r="T1018" i="1"/>
  <c r="T1010" i="1"/>
  <c r="T1003" i="1"/>
  <c r="T997" i="1"/>
  <c r="T989" i="1"/>
  <c r="T982" i="1"/>
  <c r="T962" i="1"/>
  <c r="T941" i="1"/>
  <c r="T919" i="1"/>
  <c r="T898" i="1"/>
  <c r="T877" i="1"/>
  <c r="T855" i="1"/>
  <c r="T834" i="1"/>
  <c r="T813" i="1"/>
  <c r="T791" i="1"/>
  <c r="T770" i="1"/>
  <c r="T749" i="1"/>
  <c r="T727" i="1"/>
  <c r="T706" i="1"/>
  <c r="T685" i="1"/>
  <c r="T663" i="1"/>
  <c r="T642" i="1"/>
  <c r="T621" i="1"/>
  <c r="T567" i="1"/>
  <c r="T486" i="1"/>
  <c r="T401" i="1"/>
  <c r="T2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274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5" i="1"/>
  <c r="T21" i="1"/>
  <c r="T37" i="1"/>
  <c r="T53" i="1"/>
  <c r="T69" i="1"/>
  <c r="T85" i="1"/>
  <c r="T101" i="1"/>
  <c r="T117" i="1"/>
  <c r="T133" i="1"/>
  <c r="T149" i="1"/>
  <c r="T165" i="1"/>
  <c r="T181" i="1"/>
  <c r="T197" i="1"/>
  <c r="T213" i="1"/>
  <c r="T229" i="1"/>
  <c r="T241" i="1"/>
  <c r="T249" i="1"/>
  <c r="T257" i="1"/>
  <c r="T265" i="1"/>
  <c r="T273" i="1"/>
  <c r="T280" i="1"/>
  <c r="T285" i="1"/>
  <c r="T290" i="1"/>
  <c r="T296" i="1"/>
  <c r="T301" i="1"/>
  <c r="T306" i="1"/>
  <c r="T312" i="1"/>
  <c r="T317" i="1"/>
  <c r="T322" i="1"/>
  <c r="T328" i="1"/>
  <c r="T333" i="1"/>
  <c r="T338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3" i="1"/>
  <c r="T527" i="1"/>
  <c r="T531" i="1"/>
  <c r="T535" i="1"/>
  <c r="T539" i="1"/>
  <c r="T543" i="1"/>
  <c r="T547" i="1"/>
  <c r="T551" i="1"/>
  <c r="T9" i="1"/>
  <c r="T25" i="1"/>
  <c r="T41" i="1"/>
  <c r="T57" i="1"/>
  <c r="T73" i="1"/>
  <c r="T89" i="1"/>
  <c r="T105" i="1"/>
  <c r="T121" i="1"/>
  <c r="T137" i="1"/>
  <c r="T153" i="1"/>
  <c r="T169" i="1"/>
  <c r="T185" i="1"/>
  <c r="T201" i="1"/>
  <c r="T217" i="1"/>
  <c r="T233" i="1"/>
  <c r="T244" i="1"/>
  <c r="T252" i="1"/>
  <c r="T260" i="1"/>
  <c r="T268" i="1"/>
  <c r="T276" i="1"/>
  <c r="T281" i="1"/>
  <c r="T286" i="1"/>
  <c r="T13" i="1"/>
  <c r="T29" i="1"/>
  <c r="T45" i="1"/>
  <c r="T61" i="1"/>
  <c r="T77" i="1"/>
  <c r="T93" i="1"/>
  <c r="T109" i="1"/>
  <c r="T125" i="1"/>
  <c r="T141" i="1"/>
  <c r="T157" i="1"/>
  <c r="T173" i="1"/>
  <c r="T189" i="1"/>
  <c r="T205" i="1"/>
  <c r="T221" i="1"/>
  <c r="T237" i="1"/>
  <c r="T245" i="1"/>
  <c r="T253" i="1"/>
  <c r="T261" i="1"/>
  <c r="T269" i="1"/>
  <c r="T277" i="1"/>
  <c r="T282" i="1"/>
  <c r="T288" i="1"/>
  <c r="T17" i="1"/>
  <c r="T81" i="1"/>
  <c r="T145" i="1"/>
  <c r="T209" i="1"/>
  <c r="T256" i="1"/>
  <c r="T284" i="1"/>
  <c r="T294" i="1"/>
  <c r="T302" i="1"/>
  <c r="T309" i="1"/>
  <c r="T316" i="1"/>
  <c r="T324" i="1"/>
  <c r="T330" i="1"/>
  <c r="T337" i="1"/>
  <c r="T344" i="1"/>
  <c r="T349" i="1"/>
  <c r="T354" i="1"/>
  <c r="T360" i="1"/>
  <c r="T365" i="1"/>
  <c r="T370" i="1"/>
  <c r="T376" i="1"/>
  <c r="T381" i="1"/>
  <c r="T386" i="1"/>
  <c r="T392" i="1"/>
  <c r="T397" i="1"/>
  <c r="T402" i="1"/>
  <c r="T408" i="1"/>
  <c r="T413" i="1"/>
  <c r="T418" i="1"/>
  <c r="T424" i="1"/>
  <c r="T429" i="1"/>
  <c r="T434" i="1"/>
  <c r="T440" i="1"/>
  <c r="T445" i="1"/>
  <c r="T450" i="1"/>
  <c r="T456" i="1"/>
  <c r="T461" i="1"/>
  <c r="T466" i="1"/>
  <c r="T472" i="1"/>
  <c r="T477" i="1"/>
  <c r="T482" i="1"/>
  <c r="T488" i="1"/>
  <c r="T493" i="1"/>
  <c r="T498" i="1"/>
  <c r="T504" i="1"/>
  <c r="T509" i="1"/>
  <c r="T514" i="1"/>
  <c r="T520" i="1"/>
  <c r="T525" i="1"/>
  <c r="T530" i="1"/>
  <c r="T536" i="1"/>
  <c r="T541" i="1"/>
  <c r="T546" i="1"/>
  <c r="T552" i="1"/>
  <c r="T556" i="1"/>
  <c r="T560" i="1"/>
  <c r="T564" i="1"/>
  <c r="T568" i="1"/>
  <c r="T572" i="1"/>
  <c r="T576" i="1"/>
  <c r="T580" i="1"/>
  <c r="T584" i="1"/>
  <c r="T588" i="1"/>
  <c r="T592" i="1"/>
  <c r="T596" i="1"/>
  <c r="T600" i="1"/>
  <c r="T604" i="1"/>
  <c r="T608" i="1"/>
  <c r="T612" i="1"/>
  <c r="T616" i="1"/>
  <c r="T620" i="1"/>
  <c r="T624" i="1"/>
  <c r="T628" i="1"/>
  <c r="T632" i="1"/>
  <c r="T636" i="1"/>
  <c r="T640" i="1"/>
  <c r="T644" i="1"/>
  <c r="T648" i="1"/>
  <c r="T652" i="1"/>
  <c r="T656" i="1"/>
  <c r="T660" i="1"/>
  <c r="T664" i="1"/>
  <c r="T668" i="1"/>
  <c r="T672" i="1"/>
  <c r="T676" i="1"/>
  <c r="T680" i="1"/>
  <c r="T684" i="1"/>
  <c r="T688" i="1"/>
  <c r="T692" i="1"/>
  <c r="T696" i="1"/>
  <c r="T700" i="1"/>
  <c r="T704" i="1"/>
  <c r="T708" i="1"/>
  <c r="T712" i="1"/>
  <c r="T716" i="1"/>
  <c r="T720" i="1"/>
  <c r="T724" i="1"/>
  <c r="T728" i="1"/>
  <c r="T732" i="1"/>
  <c r="T736" i="1"/>
  <c r="T740" i="1"/>
  <c r="T744" i="1"/>
  <c r="T748" i="1"/>
  <c r="T752" i="1"/>
  <c r="T756" i="1"/>
  <c r="T760" i="1"/>
  <c r="T764" i="1"/>
  <c r="T768" i="1"/>
  <c r="T772" i="1"/>
  <c r="T776" i="1"/>
  <c r="T780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2" i="1"/>
  <c r="T996" i="1"/>
  <c r="T1000" i="1"/>
  <c r="T1004" i="1"/>
  <c r="T1008" i="1"/>
  <c r="T1012" i="1"/>
  <c r="T1016" i="1"/>
  <c r="T1020" i="1"/>
  <c r="T33" i="1"/>
  <c r="T97" i="1"/>
  <c r="T161" i="1"/>
  <c r="T225" i="1"/>
  <c r="T264" i="1"/>
  <c r="T289" i="1"/>
  <c r="T297" i="1"/>
  <c r="T304" i="1"/>
  <c r="T310" i="1"/>
  <c r="T318" i="1"/>
  <c r="T325" i="1"/>
  <c r="T332" i="1"/>
  <c r="T340" i="1"/>
  <c r="T345" i="1"/>
  <c r="T350" i="1"/>
  <c r="T356" i="1"/>
  <c r="T361" i="1"/>
  <c r="T366" i="1"/>
  <c r="T372" i="1"/>
  <c r="T377" i="1"/>
  <c r="T382" i="1"/>
  <c r="T388" i="1"/>
  <c r="T393" i="1"/>
  <c r="T398" i="1"/>
  <c r="T404" i="1"/>
  <c r="T409" i="1"/>
  <c r="T414" i="1"/>
  <c r="T420" i="1"/>
  <c r="T425" i="1"/>
  <c r="T430" i="1"/>
  <c r="T436" i="1"/>
  <c r="T441" i="1"/>
  <c r="T446" i="1"/>
  <c r="T452" i="1"/>
  <c r="T457" i="1"/>
  <c r="T462" i="1"/>
  <c r="T468" i="1"/>
  <c r="T473" i="1"/>
  <c r="T478" i="1"/>
  <c r="T484" i="1"/>
  <c r="T489" i="1"/>
  <c r="T494" i="1"/>
  <c r="T500" i="1"/>
  <c r="T505" i="1"/>
  <c r="T510" i="1"/>
  <c r="T516" i="1"/>
  <c r="T521" i="1"/>
  <c r="T526" i="1"/>
  <c r="T532" i="1"/>
  <c r="T537" i="1"/>
  <c r="T542" i="1"/>
  <c r="T548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49" i="1"/>
  <c r="T113" i="1"/>
  <c r="T177" i="1"/>
  <c r="T240" i="1"/>
  <c r="T272" i="1"/>
  <c r="T292" i="1"/>
  <c r="T298" i="1"/>
  <c r="T305" i="1"/>
  <c r="T313" i="1"/>
  <c r="T320" i="1"/>
  <c r="T326" i="1"/>
  <c r="T334" i="1"/>
  <c r="T341" i="1"/>
  <c r="T346" i="1"/>
  <c r="T352" i="1"/>
  <c r="T357" i="1"/>
  <c r="T362" i="1"/>
  <c r="T368" i="1"/>
  <c r="T373" i="1"/>
  <c r="T378" i="1"/>
  <c r="T384" i="1"/>
  <c r="T389" i="1"/>
  <c r="T394" i="1"/>
  <c r="T400" i="1"/>
  <c r="T405" i="1"/>
  <c r="T410" i="1"/>
  <c r="T416" i="1"/>
  <c r="T421" i="1"/>
  <c r="T426" i="1"/>
  <c r="T432" i="1"/>
  <c r="T437" i="1"/>
  <c r="T442" i="1"/>
  <c r="T448" i="1"/>
  <c r="T453" i="1"/>
  <c r="T458" i="1"/>
  <c r="T464" i="1"/>
  <c r="T469" i="1"/>
  <c r="T474" i="1"/>
  <c r="T480" i="1"/>
  <c r="T485" i="1"/>
  <c r="T490" i="1"/>
  <c r="T496" i="1"/>
  <c r="T501" i="1"/>
  <c r="T506" i="1"/>
  <c r="T512" i="1"/>
  <c r="T517" i="1"/>
  <c r="T522" i="1"/>
  <c r="T528" i="1"/>
  <c r="T533" i="1"/>
  <c r="T538" i="1"/>
  <c r="T544" i="1"/>
  <c r="T549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5" i="1"/>
  <c r="T278" i="1"/>
  <c r="T314" i="1"/>
  <c r="T342" i="1"/>
  <c r="T364" i="1"/>
  <c r="T385" i="1"/>
  <c r="T406" i="1"/>
  <c r="T428" i="1"/>
  <c r="T449" i="1"/>
  <c r="T470" i="1"/>
  <c r="T492" i="1"/>
  <c r="T513" i="1"/>
  <c r="T534" i="1"/>
  <c r="T555" i="1"/>
  <c r="T571" i="1"/>
  <c r="T587" i="1"/>
  <c r="T603" i="1"/>
  <c r="T617" i="1"/>
  <c r="T622" i="1"/>
  <c r="T627" i="1"/>
  <c r="T633" i="1"/>
  <c r="T638" i="1"/>
  <c r="T643" i="1"/>
  <c r="T649" i="1"/>
  <c r="T654" i="1"/>
  <c r="T659" i="1"/>
  <c r="T665" i="1"/>
  <c r="T670" i="1"/>
  <c r="T675" i="1"/>
  <c r="T681" i="1"/>
  <c r="T686" i="1"/>
  <c r="T691" i="1"/>
  <c r="T697" i="1"/>
  <c r="T702" i="1"/>
  <c r="T707" i="1"/>
  <c r="T713" i="1"/>
  <c r="T718" i="1"/>
  <c r="T723" i="1"/>
  <c r="T729" i="1"/>
  <c r="T734" i="1"/>
  <c r="T739" i="1"/>
  <c r="T745" i="1"/>
  <c r="T750" i="1"/>
  <c r="T755" i="1"/>
  <c r="T761" i="1"/>
  <c r="T766" i="1"/>
  <c r="T771" i="1"/>
  <c r="T777" i="1"/>
  <c r="T782" i="1"/>
  <c r="T787" i="1"/>
  <c r="T793" i="1"/>
  <c r="T798" i="1"/>
  <c r="T803" i="1"/>
  <c r="T809" i="1"/>
  <c r="T814" i="1"/>
  <c r="T819" i="1"/>
  <c r="T825" i="1"/>
  <c r="T830" i="1"/>
  <c r="T835" i="1"/>
  <c r="T841" i="1"/>
  <c r="T846" i="1"/>
  <c r="T851" i="1"/>
  <c r="T857" i="1"/>
  <c r="T862" i="1"/>
  <c r="T867" i="1"/>
  <c r="T873" i="1"/>
  <c r="T878" i="1"/>
  <c r="T883" i="1"/>
  <c r="T889" i="1"/>
  <c r="T894" i="1"/>
  <c r="T899" i="1"/>
  <c r="T905" i="1"/>
  <c r="T910" i="1"/>
  <c r="T915" i="1"/>
  <c r="T921" i="1"/>
  <c r="T926" i="1"/>
  <c r="T931" i="1"/>
  <c r="T937" i="1"/>
  <c r="T942" i="1"/>
  <c r="T947" i="1"/>
  <c r="T953" i="1"/>
  <c r="T958" i="1"/>
  <c r="T963" i="1"/>
  <c r="T969" i="1"/>
  <c r="T974" i="1"/>
  <c r="T979" i="1"/>
  <c r="T985" i="1"/>
  <c r="T990" i="1"/>
  <c r="T995" i="1"/>
  <c r="T1001" i="1"/>
  <c r="T1006" i="1"/>
  <c r="T1011" i="1"/>
  <c r="T1017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29" i="1"/>
  <c r="T293" i="1"/>
  <c r="T321" i="1"/>
  <c r="T348" i="1"/>
  <c r="T369" i="1"/>
  <c r="T390" i="1"/>
  <c r="T412" i="1"/>
  <c r="T433" i="1"/>
  <c r="T454" i="1"/>
  <c r="T476" i="1"/>
  <c r="T497" i="1"/>
  <c r="T518" i="1"/>
  <c r="T540" i="1"/>
  <c r="T559" i="1"/>
  <c r="T575" i="1"/>
  <c r="T591" i="1"/>
  <c r="T607" i="1"/>
  <c r="T618" i="1"/>
  <c r="T623" i="1"/>
  <c r="T629" i="1"/>
  <c r="T634" i="1"/>
  <c r="T639" i="1"/>
  <c r="T645" i="1"/>
  <c r="T650" i="1"/>
  <c r="T655" i="1"/>
  <c r="T661" i="1"/>
  <c r="T666" i="1"/>
  <c r="T671" i="1"/>
  <c r="T677" i="1"/>
  <c r="T682" i="1"/>
  <c r="T687" i="1"/>
  <c r="T693" i="1"/>
  <c r="T698" i="1"/>
  <c r="T703" i="1"/>
  <c r="T709" i="1"/>
  <c r="T714" i="1"/>
  <c r="T719" i="1"/>
  <c r="T725" i="1"/>
  <c r="T730" i="1"/>
  <c r="T735" i="1"/>
  <c r="T741" i="1"/>
  <c r="T746" i="1"/>
  <c r="T751" i="1"/>
  <c r="T757" i="1"/>
  <c r="T762" i="1"/>
  <c r="T767" i="1"/>
  <c r="T773" i="1"/>
  <c r="T778" i="1"/>
  <c r="T783" i="1"/>
  <c r="T789" i="1"/>
  <c r="T794" i="1"/>
  <c r="T799" i="1"/>
  <c r="T805" i="1"/>
  <c r="T810" i="1"/>
  <c r="T815" i="1"/>
  <c r="T821" i="1"/>
  <c r="T826" i="1"/>
  <c r="T831" i="1"/>
  <c r="T837" i="1"/>
  <c r="T842" i="1"/>
  <c r="T847" i="1"/>
  <c r="T853" i="1"/>
  <c r="T858" i="1"/>
  <c r="T863" i="1"/>
  <c r="T869" i="1"/>
  <c r="T874" i="1"/>
  <c r="T879" i="1"/>
  <c r="T885" i="1"/>
  <c r="T890" i="1"/>
  <c r="T895" i="1"/>
  <c r="T901" i="1"/>
  <c r="T906" i="1"/>
  <c r="T911" i="1"/>
  <c r="T917" i="1"/>
  <c r="T922" i="1"/>
  <c r="T927" i="1"/>
  <c r="T933" i="1"/>
  <c r="T938" i="1"/>
  <c r="T943" i="1"/>
  <c r="T949" i="1"/>
  <c r="T954" i="1"/>
  <c r="T959" i="1"/>
  <c r="T965" i="1"/>
  <c r="T970" i="1"/>
  <c r="T975" i="1"/>
  <c r="T981" i="1"/>
  <c r="T193" i="1"/>
  <c r="T300" i="1"/>
  <c r="T329" i="1"/>
  <c r="T353" i="1"/>
  <c r="T374" i="1"/>
  <c r="T396" i="1"/>
  <c r="T417" i="1"/>
  <c r="T438" i="1"/>
  <c r="T460" i="1"/>
  <c r="T481" i="1"/>
  <c r="T502" i="1"/>
  <c r="T524" i="1"/>
  <c r="T545" i="1"/>
  <c r="T563" i="1"/>
  <c r="T579" i="1"/>
  <c r="T595" i="1"/>
  <c r="T611" i="1"/>
  <c r="T619" i="1"/>
  <c r="T625" i="1"/>
  <c r="T630" i="1"/>
  <c r="T635" i="1"/>
  <c r="T641" i="1"/>
  <c r="T646" i="1"/>
  <c r="T651" i="1"/>
  <c r="T657" i="1"/>
  <c r="T662" i="1"/>
  <c r="T667" i="1"/>
  <c r="T673" i="1"/>
  <c r="T678" i="1"/>
  <c r="T683" i="1"/>
  <c r="T689" i="1"/>
  <c r="T694" i="1"/>
  <c r="T699" i="1"/>
  <c r="T705" i="1"/>
  <c r="T710" i="1"/>
  <c r="T715" i="1"/>
  <c r="T721" i="1"/>
  <c r="T726" i="1"/>
  <c r="T731" i="1"/>
  <c r="T737" i="1"/>
  <c r="T742" i="1"/>
  <c r="T747" i="1"/>
  <c r="T753" i="1"/>
  <c r="T758" i="1"/>
  <c r="T763" i="1"/>
  <c r="T769" i="1"/>
  <c r="T774" i="1"/>
  <c r="T779" i="1"/>
  <c r="T785" i="1"/>
  <c r="T790" i="1"/>
  <c r="T795" i="1"/>
  <c r="T801" i="1"/>
  <c r="T806" i="1"/>
  <c r="T811" i="1"/>
  <c r="T817" i="1"/>
  <c r="T822" i="1"/>
  <c r="T827" i="1"/>
  <c r="T833" i="1"/>
  <c r="T838" i="1"/>
  <c r="T843" i="1"/>
  <c r="T849" i="1"/>
  <c r="T854" i="1"/>
  <c r="T859" i="1"/>
  <c r="T865" i="1"/>
  <c r="T870" i="1"/>
  <c r="T875" i="1"/>
  <c r="T881" i="1"/>
  <c r="T886" i="1"/>
  <c r="T891" i="1"/>
  <c r="T897" i="1"/>
  <c r="T902" i="1"/>
  <c r="T907" i="1"/>
  <c r="T913" i="1"/>
  <c r="T918" i="1"/>
  <c r="T923" i="1"/>
  <c r="T929" i="1"/>
  <c r="T934" i="1"/>
  <c r="T939" i="1"/>
  <c r="T945" i="1"/>
  <c r="T950" i="1"/>
  <c r="T955" i="1"/>
  <c r="T961" i="1"/>
  <c r="T966" i="1"/>
  <c r="T971" i="1"/>
  <c r="T977" i="1"/>
  <c r="T1998" i="1"/>
  <c r="T1994" i="1"/>
  <c r="T1990" i="1"/>
  <c r="T1986" i="1"/>
  <c r="T1982" i="1"/>
  <c r="T1978" i="1"/>
  <c r="T1974" i="1"/>
  <c r="T1970" i="1"/>
  <c r="T1966" i="1"/>
  <c r="T1962" i="1"/>
  <c r="T1958" i="1"/>
  <c r="T1954" i="1"/>
  <c r="T1950" i="1"/>
  <c r="T1946" i="1"/>
  <c r="T1942" i="1"/>
  <c r="T1938" i="1"/>
  <c r="T1934" i="1"/>
  <c r="T1930" i="1"/>
  <c r="T1926" i="1"/>
  <c r="T1922" i="1"/>
  <c r="T1918" i="1"/>
  <c r="T1914" i="1"/>
  <c r="T1910" i="1"/>
  <c r="T1906" i="1"/>
  <c r="T1902" i="1"/>
  <c r="T1898" i="1"/>
  <c r="T1894" i="1"/>
  <c r="T1890" i="1"/>
  <c r="T1886" i="1"/>
  <c r="T1882" i="1"/>
  <c r="T1878" i="1"/>
  <c r="T1874" i="1"/>
  <c r="T1870" i="1"/>
  <c r="T1866" i="1"/>
  <c r="T1862" i="1"/>
  <c r="T1858" i="1"/>
  <c r="T1854" i="1"/>
  <c r="T1850" i="1"/>
  <c r="T1846" i="1"/>
  <c r="T1842" i="1"/>
  <c r="T1838" i="1"/>
  <c r="T1834" i="1"/>
  <c r="T1830" i="1"/>
  <c r="T1826" i="1"/>
  <c r="T1822" i="1"/>
  <c r="T1818" i="1"/>
  <c r="T1814" i="1"/>
  <c r="T1810" i="1"/>
  <c r="T1806" i="1"/>
  <c r="T1802" i="1"/>
  <c r="T1798" i="1"/>
  <c r="T1794" i="1"/>
  <c r="T1790" i="1"/>
  <c r="T1786" i="1"/>
  <c r="T1782" i="1"/>
  <c r="T1778" i="1"/>
  <c r="T1774" i="1"/>
  <c r="T1770" i="1"/>
  <c r="T1766" i="1"/>
  <c r="T1762" i="1"/>
  <c r="T1758" i="1"/>
  <c r="T1754" i="1"/>
  <c r="T1750" i="1"/>
  <c r="T1746" i="1"/>
  <c r="T1742" i="1"/>
  <c r="T1738" i="1"/>
  <c r="T1734" i="1"/>
  <c r="T1730" i="1"/>
  <c r="T1726" i="1"/>
  <c r="T1722" i="1"/>
  <c r="T1718" i="1"/>
  <c r="T1714" i="1"/>
  <c r="T1710" i="1"/>
  <c r="T1706" i="1"/>
  <c r="T1702" i="1"/>
  <c r="T1698" i="1"/>
  <c r="T1694" i="1"/>
  <c r="T1690" i="1"/>
  <c r="T1686" i="1"/>
  <c r="T1682" i="1"/>
  <c r="T1678" i="1"/>
  <c r="T1674" i="1"/>
  <c r="T1670" i="1"/>
  <c r="T1666" i="1"/>
  <c r="T1662" i="1"/>
  <c r="T1658" i="1"/>
  <c r="T1654" i="1"/>
  <c r="T1650" i="1"/>
  <c r="T1646" i="1"/>
  <c r="T1642" i="1"/>
  <c r="T1638" i="1"/>
  <c r="T1634" i="1"/>
  <c r="T1630" i="1"/>
  <c r="T1626" i="1"/>
  <c r="T1622" i="1"/>
  <c r="T1618" i="1"/>
  <c r="T1614" i="1"/>
  <c r="T1610" i="1"/>
  <c r="T1606" i="1"/>
  <c r="T1602" i="1"/>
  <c r="T1598" i="1"/>
  <c r="T1594" i="1"/>
  <c r="T1590" i="1"/>
  <c r="T1586" i="1"/>
  <c r="T1582" i="1"/>
  <c r="T1578" i="1"/>
  <c r="T1574" i="1"/>
  <c r="T1570" i="1"/>
  <c r="T1566" i="1"/>
  <c r="T1562" i="1"/>
  <c r="T1558" i="1"/>
  <c r="T1554" i="1"/>
  <c r="T1550" i="1"/>
  <c r="T1546" i="1"/>
  <c r="T1542" i="1"/>
  <c r="T1538" i="1"/>
  <c r="T1534" i="1"/>
  <c r="T1530" i="1"/>
  <c r="T1526" i="1"/>
  <c r="T1522" i="1"/>
  <c r="T1518" i="1"/>
  <c r="T1514" i="1"/>
  <c r="T1510" i="1"/>
  <c r="T1506" i="1"/>
  <c r="T1502" i="1"/>
  <c r="T1498" i="1"/>
  <c r="T1494" i="1"/>
  <c r="T1490" i="1"/>
  <c r="T1486" i="1"/>
  <c r="T1482" i="1"/>
  <c r="T1478" i="1"/>
  <c r="T1474" i="1"/>
  <c r="T1470" i="1"/>
  <c r="T1466" i="1"/>
  <c r="T1462" i="1"/>
  <c r="T1458" i="1"/>
  <c r="T1454" i="1"/>
  <c r="T1450" i="1"/>
  <c r="T1446" i="1"/>
  <c r="T1442" i="1"/>
  <c r="T1438" i="1"/>
  <c r="T1434" i="1"/>
  <c r="T1430" i="1"/>
  <c r="T1426" i="1"/>
  <c r="T1422" i="1"/>
  <c r="T1417" i="1"/>
  <c r="T1412" i="1"/>
  <c r="T1407" i="1"/>
  <c r="T1401" i="1"/>
  <c r="T1396" i="1"/>
  <c r="T1391" i="1"/>
  <c r="T1385" i="1"/>
  <c r="T1380" i="1"/>
  <c r="T1375" i="1"/>
  <c r="T1369" i="1"/>
  <c r="T1364" i="1"/>
  <c r="T1359" i="1"/>
  <c r="T1353" i="1"/>
  <c r="T1348" i="1"/>
  <c r="T1343" i="1"/>
  <c r="T1337" i="1"/>
  <c r="T1332" i="1"/>
  <c r="T1327" i="1"/>
  <c r="T1321" i="1"/>
  <c r="T1316" i="1"/>
  <c r="T1311" i="1"/>
  <c r="T1305" i="1"/>
  <c r="T1300" i="1"/>
  <c r="T1295" i="1"/>
  <c r="T1289" i="1"/>
  <c r="T1284" i="1"/>
  <c r="T1279" i="1"/>
  <c r="T1273" i="1"/>
  <c r="T1268" i="1"/>
  <c r="T1263" i="1"/>
  <c r="T1257" i="1"/>
  <c r="T1252" i="1"/>
  <c r="T1247" i="1"/>
  <c r="T1241" i="1"/>
  <c r="T1236" i="1"/>
  <c r="T1231" i="1"/>
  <c r="T1225" i="1"/>
  <c r="T1220" i="1"/>
  <c r="T1215" i="1"/>
  <c r="T1209" i="1"/>
  <c r="T1204" i="1"/>
  <c r="T1199" i="1"/>
  <c r="T1193" i="1"/>
  <c r="T1188" i="1"/>
  <c r="T1183" i="1"/>
  <c r="T1177" i="1"/>
  <c r="T1172" i="1"/>
  <c r="T1167" i="1"/>
  <c r="T1161" i="1"/>
  <c r="T1156" i="1"/>
  <c r="T1151" i="1"/>
  <c r="T1145" i="1"/>
  <c r="T1140" i="1"/>
  <c r="T1135" i="1"/>
  <c r="T1129" i="1"/>
  <c r="T1124" i="1"/>
  <c r="T1119" i="1"/>
  <c r="T1113" i="1"/>
  <c r="T1108" i="1"/>
  <c r="T1103" i="1"/>
  <c r="T1097" i="1"/>
  <c r="T1092" i="1"/>
  <c r="T1087" i="1"/>
  <c r="T1081" i="1"/>
  <c r="T1076" i="1"/>
  <c r="T1071" i="1"/>
  <c r="T1065" i="1"/>
  <c r="T1060" i="1"/>
  <c r="T1055" i="1"/>
  <c r="T1049" i="1"/>
  <c r="T1044" i="1"/>
  <c r="T1039" i="1"/>
  <c r="T1033" i="1"/>
  <c r="T1028" i="1"/>
  <c r="T1023" i="1"/>
  <c r="T1015" i="1"/>
  <c r="T1009" i="1"/>
  <c r="T1002" i="1"/>
  <c r="T994" i="1"/>
  <c r="T987" i="1"/>
  <c r="T978" i="1"/>
  <c r="T957" i="1"/>
  <c r="T935" i="1"/>
  <c r="T914" i="1"/>
  <c r="T893" i="1"/>
  <c r="T871" i="1"/>
  <c r="T850" i="1"/>
  <c r="T829" i="1"/>
  <c r="T807" i="1"/>
  <c r="T786" i="1"/>
  <c r="T765" i="1"/>
  <c r="T743" i="1"/>
  <c r="T722" i="1"/>
  <c r="T701" i="1"/>
  <c r="T679" i="1"/>
  <c r="T658" i="1"/>
  <c r="T637" i="1"/>
  <c r="T615" i="1"/>
  <c r="T550" i="1"/>
  <c r="T465" i="1"/>
  <c r="T380" i="1"/>
  <c r="T248" i="1"/>
  <c r="S1181" i="1"/>
  <c r="S1973" i="1"/>
  <c r="S1941" i="1"/>
  <c r="S1909" i="1"/>
  <c r="S1877" i="1"/>
  <c r="S1845" i="1"/>
  <c r="S1813" i="1"/>
  <c r="S1781" i="1"/>
  <c r="S1749" i="1"/>
  <c r="S1717" i="1"/>
  <c r="S1685" i="1"/>
  <c r="S1653" i="1"/>
  <c r="S1621" i="1"/>
  <c r="S1589" i="1"/>
  <c r="S1557" i="1"/>
  <c r="S1516" i="1"/>
  <c r="S1473" i="1"/>
  <c r="S1385" i="1"/>
  <c r="S1257" i="1"/>
  <c r="S1997" i="1"/>
  <c r="S1965" i="1"/>
  <c r="S1933" i="1"/>
  <c r="S1901" i="1"/>
  <c r="S1869" i="1"/>
  <c r="S1837" i="1"/>
  <c r="S1805" i="1"/>
  <c r="S1773" i="1"/>
  <c r="S1741" i="1"/>
  <c r="S1709" i="1"/>
  <c r="S1677" i="1"/>
  <c r="S1645" i="1"/>
  <c r="S1613" i="1"/>
  <c r="S1581" i="1"/>
  <c r="S1548" i="1"/>
  <c r="S1505" i="1"/>
  <c r="S1461" i="1"/>
  <c r="S1353" i="1"/>
  <c r="S1223" i="1"/>
  <c r="S1989" i="1"/>
  <c r="S1957" i="1"/>
  <c r="S1925" i="1"/>
  <c r="S1893" i="1"/>
  <c r="S1861" i="1"/>
  <c r="S1829" i="1"/>
  <c r="S1797" i="1"/>
  <c r="S1765" i="1"/>
  <c r="S1733" i="1"/>
  <c r="S1701" i="1"/>
  <c r="S1669" i="1"/>
  <c r="S1637" i="1"/>
  <c r="S1605" i="1"/>
  <c r="S1573" i="1"/>
  <c r="S1537" i="1"/>
  <c r="S1493" i="1"/>
  <c r="S1449" i="1"/>
  <c r="S1321" i="1"/>
  <c r="S42" i="1"/>
  <c r="S127" i="1"/>
  <c r="S212" i="1"/>
  <c r="S298" i="1"/>
  <c r="S372" i="1"/>
  <c r="S423" i="1"/>
  <c r="S465" i="1"/>
  <c r="S508" i="1"/>
  <c r="S551" i="1"/>
  <c r="S593" i="1"/>
  <c r="S636" i="1"/>
  <c r="S667" i="1"/>
  <c r="S695" i="1"/>
  <c r="S723" i="1"/>
  <c r="S752" i="1"/>
  <c r="S776" i="1"/>
  <c r="S797" i="1"/>
  <c r="S819" i="1"/>
  <c r="S840" i="1"/>
  <c r="S861" i="1"/>
  <c r="S877" i="1"/>
  <c r="S893" i="1"/>
  <c r="S909" i="1"/>
  <c r="S925" i="1"/>
  <c r="S941" i="1"/>
  <c r="S957" i="1"/>
  <c r="S973" i="1"/>
  <c r="S989" i="1"/>
  <c r="S1005" i="1"/>
  <c r="S1021" i="1"/>
  <c r="S1037" i="1"/>
  <c r="S1053" i="1"/>
  <c r="S1069" i="1"/>
  <c r="S1085" i="1"/>
  <c r="S1101" i="1"/>
  <c r="S1117" i="1"/>
  <c r="S1133" i="1"/>
  <c r="S1149" i="1"/>
  <c r="S1163" i="1"/>
  <c r="S1174" i="1"/>
  <c r="S1185" i="1"/>
  <c r="S1195" i="1"/>
  <c r="S1206" i="1"/>
  <c r="S1217" i="1"/>
  <c r="S1227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43" i="1"/>
  <c r="S128" i="1"/>
  <c r="S214" i="1"/>
  <c r="S299" i="1"/>
  <c r="S373" i="1"/>
  <c r="S424" i="1"/>
  <c r="S467" i="1"/>
  <c r="S509" i="1"/>
  <c r="S552" i="1"/>
  <c r="S595" i="1"/>
  <c r="S637" i="1"/>
  <c r="S668" i="1"/>
  <c r="S696" i="1"/>
  <c r="S725" i="1"/>
  <c r="S753" i="1"/>
  <c r="S777" i="1"/>
  <c r="S799" i="1"/>
  <c r="S820" i="1"/>
  <c r="S841" i="1"/>
  <c r="S862" i="1"/>
  <c r="S878" i="1"/>
  <c r="S894" i="1"/>
  <c r="S910" i="1"/>
  <c r="S926" i="1"/>
  <c r="S942" i="1"/>
  <c r="S958" i="1"/>
  <c r="S974" i="1"/>
  <c r="S990" i="1"/>
  <c r="S1006" i="1"/>
  <c r="S1022" i="1"/>
  <c r="S1038" i="1"/>
  <c r="S1054" i="1"/>
  <c r="S1070" i="1"/>
  <c r="S1086" i="1"/>
  <c r="S1102" i="1"/>
  <c r="S1118" i="1"/>
  <c r="S1134" i="1"/>
  <c r="S1150" i="1"/>
  <c r="S1165" i="1"/>
  <c r="S1175" i="1"/>
  <c r="S1186" i="1"/>
  <c r="S1197" i="1"/>
  <c r="S1207" i="1"/>
  <c r="S1218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84" i="1"/>
  <c r="S170" i="1"/>
  <c r="S255" i="1"/>
  <c r="S340" i="1"/>
  <c r="S401" i="1"/>
  <c r="S444" i="1"/>
  <c r="S487" i="1"/>
  <c r="S529" i="1"/>
  <c r="S572" i="1"/>
  <c r="S615" i="1"/>
  <c r="S652" i="1"/>
  <c r="S680" i="1"/>
  <c r="S709" i="1"/>
  <c r="S737" i="1"/>
  <c r="S765" i="1"/>
  <c r="S787" i="1"/>
  <c r="S808" i="1"/>
  <c r="S829" i="1"/>
  <c r="S851" i="1"/>
  <c r="S869" i="1"/>
  <c r="S885" i="1"/>
  <c r="S901" i="1"/>
  <c r="S917" i="1"/>
  <c r="S933" i="1"/>
  <c r="S949" i="1"/>
  <c r="S965" i="1"/>
  <c r="S981" i="1"/>
  <c r="S997" i="1"/>
  <c r="S1013" i="1"/>
  <c r="S1029" i="1"/>
  <c r="S1045" i="1"/>
  <c r="S1061" i="1"/>
  <c r="S1077" i="1"/>
  <c r="S1093" i="1"/>
  <c r="S1109" i="1"/>
  <c r="S1125" i="1"/>
  <c r="S1141" i="1"/>
  <c r="S1157" i="1"/>
  <c r="S1169" i="1"/>
  <c r="S1179" i="1"/>
  <c r="S1190" i="1"/>
  <c r="S1201" i="1"/>
  <c r="S1211" i="1"/>
  <c r="S1222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86" i="1"/>
  <c r="S403" i="1"/>
  <c r="S573" i="1"/>
  <c r="S711" i="1"/>
  <c r="S809" i="1"/>
  <c r="S886" i="1"/>
  <c r="S950" i="1"/>
  <c r="S1014" i="1"/>
  <c r="S1078" i="1"/>
  <c r="S1142" i="1"/>
  <c r="S1191" i="1"/>
  <c r="S1233" i="1"/>
  <c r="S1265" i="1"/>
  <c r="S1297" i="1"/>
  <c r="S1329" i="1"/>
  <c r="S1361" i="1"/>
  <c r="S1393" i="1"/>
  <c r="S1425" i="1"/>
  <c r="S1453" i="1"/>
  <c r="S1465" i="1"/>
  <c r="S1476" i="1"/>
  <c r="S1485" i="1"/>
  <c r="S1497" i="1"/>
  <c r="S1508" i="1"/>
  <c r="S1517" i="1"/>
  <c r="S1529" i="1"/>
  <c r="S1540" i="1"/>
  <c r="S1549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1792" i="1"/>
  <c r="S1800" i="1"/>
  <c r="S1808" i="1"/>
  <c r="S1816" i="1"/>
  <c r="S1824" i="1"/>
  <c r="S1832" i="1"/>
  <c r="S1840" i="1"/>
  <c r="S1848" i="1"/>
  <c r="S1856" i="1"/>
  <c r="S1864" i="1"/>
  <c r="S1872" i="1"/>
  <c r="S1880" i="1"/>
  <c r="S1888" i="1"/>
  <c r="S1896" i="1"/>
  <c r="S1904" i="1"/>
  <c r="S1912" i="1"/>
  <c r="S1920" i="1"/>
  <c r="S1928" i="1"/>
  <c r="S1936" i="1"/>
  <c r="S1944" i="1"/>
  <c r="S1952" i="1"/>
  <c r="S1960" i="1"/>
  <c r="S1968" i="1"/>
  <c r="S1976" i="1"/>
  <c r="S1984" i="1"/>
  <c r="S1992" i="1"/>
  <c r="S2000" i="1"/>
  <c r="S171" i="1"/>
  <c r="S445" i="1"/>
  <c r="S616" i="1"/>
  <c r="S739" i="1"/>
  <c r="S831" i="1"/>
  <c r="S902" i="1"/>
  <c r="S966" i="1"/>
  <c r="S1030" i="1"/>
  <c r="S1094" i="1"/>
  <c r="S1158" i="1"/>
  <c r="S1202" i="1"/>
  <c r="S1241" i="1"/>
  <c r="S1273" i="1"/>
  <c r="S1305" i="1"/>
  <c r="S1337" i="1"/>
  <c r="S1369" i="1"/>
  <c r="S1401" i="1"/>
  <c r="S1433" i="1"/>
  <c r="S1457" i="1"/>
  <c r="S1468" i="1"/>
  <c r="S1477" i="1"/>
  <c r="S1489" i="1"/>
  <c r="S1500" i="1"/>
  <c r="S1509" i="1"/>
  <c r="S1521" i="1"/>
  <c r="S1532" i="1"/>
  <c r="S1541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1793" i="1"/>
  <c r="S1801" i="1"/>
  <c r="S1809" i="1"/>
  <c r="S1817" i="1"/>
  <c r="S1825" i="1"/>
  <c r="S1833" i="1"/>
  <c r="S1841" i="1"/>
  <c r="S1849" i="1"/>
  <c r="S1857" i="1"/>
  <c r="S1865" i="1"/>
  <c r="S1873" i="1"/>
  <c r="S1881" i="1"/>
  <c r="S1889" i="1"/>
  <c r="S1897" i="1"/>
  <c r="S1905" i="1"/>
  <c r="S1913" i="1"/>
  <c r="S1921" i="1"/>
  <c r="S1929" i="1"/>
  <c r="S1937" i="1"/>
  <c r="S1945" i="1"/>
  <c r="S1953" i="1"/>
  <c r="S1961" i="1"/>
  <c r="S1969" i="1"/>
  <c r="S1977" i="1"/>
  <c r="S1985" i="1"/>
  <c r="S1993" i="1"/>
  <c r="S2001" i="1"/>
  <c r="S683" i="1"/>
  <c r="S256" i="1"/>
  <c r="S488" i="1"/>
  <c r="S653" i="1"/>
  <c r="S767" i="1"/>
  <c r="S852" i="1"/>
  <c r="S918" i="1"/>
  <c r="S982" i="1"/>
  <c r="S1046" i="1"/>
  <c r="S1110" i="1"/>
  <c r="S1170" i="1"/>
  <c r="S1213" i="1"/>
  <c r="S1249" i="1"/>
  <c r="S1281" i="1"/>
  <c r="S1313" i="1"/>
  <c r="S1345" i="1"/>
  <c r="S1377" i="1"/>
  <c r="S1409" i="1"/>
  <c r="S1441" i="1"/>
  <c r="S1460" i="1"/>
  <c r="S1469" i="1"/>
  <c r="S1481" i="1"/>
  <c r="S1492" i="1"/>
  <c r="S1501" i="1"/>
  <c r="S1513" i="1"/>
  <c r="S1524" i="1"/>
  <c r="S1533" i="1"/>
  <c r="S1545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796" i="1"/>
  <c r="S1804" i="1"/>
  <c r="S1812" i="1"/>
  <c r="S1820" i="1"/>
  <c r="S1828" i="1"/>
  <c r="S1836" i="1"/>
  <c r="S1844" i="1"/>
  <c r="S1852" i="1"/>
  <c r="S1860" i="1"/>
  <c r="S1868" i="1"/>
  <c r="S1876" i="1"/>
  <c r="S1884" i="1"/>
  <c r="S1892" i="1"/>
  <c r="S1900" i="1"/>
  <c r="S1908" i="1"/>
  <c r="S1916" i="1"/>
  <c r="S1924" i="1"/>
  <c r="S1932" i="1"/>
  <c r="S1940" i="1"/>
  <c r="S1948" i="1"/>
  <c r="S1956" i="1"/>
  <c r="S1964" i="1"/>
  <c r="S1972" i="1"/>
  <c r="S1980" i="1"/>
  <c r="S1988" i="1"/>
  <c r="S1996" i="1"/>
  <c r="S341" i="1"/>
  <c r="S531" i="1"/>
  <c r="S788" i="1"/>
  <c r="S870" i="1"/>
  <c r="S934" i="1"/>
  <c r="S998" i="1"/>
  <c r="S1062" i="1"/>
  <c r="S1981" i="1"/>
  <c r="S1949" i="1"/>
  <c r="S1917" i="1"/>
  <c r="S1885" i="1"/>
  <c r="S1853" i="1"/>
  <c r="S1821" i="1"/>
  <c r="S1789" i="1"/>
  <c r="S1757" i="1"/>
  <c r="S1725" i="1"/>
  <c r="S1693" i="1"/>
  <c r="S1661" i="1"/>
  <c r="S1629" i="1"/>
  <c r="S1597" i="1"/>
  <c r="S1565" i="1"/>
  <c r="S1525" i="1"/>
  <c r="S1484" i="1"/>
  <c r="S1417" i="1"/>
  <c r="S1289" i="1"/>
  <c r="S112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2" i="1"/>
  <c r="S7" i="1"/>
  <c r="S12" i="1"/>
  <c r="S18" i="1"/>
  <c r="S23" i="1"/>
  <c r="S28" i="1"/>
  <c r="S34" i="1"/>
  <c r="S39" i="1"/>
  <c r="S44" i="1"/>
  <c r="S50" i="1"/>
  <c r="S55" i="1"/>
  <c r="S60" i="1"/>
  <c r="S66" i="1"/>
  <c r="S71" i="1"/>
  <c r="S76" i="1"/>
  <c r="S82" i="1"/>
  <c r="S87" i="1"/>
  <c r="S92" i="1"/>
  <c r="S98" i="1"/>
  <c r="S103" i="1"/>
  <c r="S108" i="1"/>
  <c r="S114" i="1"/>
  <c r="S119" i="1"/>
  <c r="S124" i="1"/>
  <c r="S130" i="1"/>
  <c r="S135" i="1"/>
  <c r="S140" i="1"/>
  <c r="S146" i="1"/>
  <c r="S151" i="1"/>
  <c r="S156" i="1"/>
  <c r="S162" i="1"/>
  <c r="S167" i="1"/>
  <c r="S172" i="1"/>
  <c r="S178" i="1"/>
  <c r="S183" i="1"/>
  <c r="S188" i="1"/>
  <c r="S194" i="1"/>
  <c r="S199" i="1"/>
  <c r="S204" i="1"/>
  <c r="S210" i="1"/>
  <c r="S215" i="1"/>
  <c r="S220" i="1"/>
  <c r="S226" i="1"/>
  <c r="S231" i="1"/>
  <c r="S236" i="1"/>
  <c r="S242" i="1"/>
  <c r="S247" i="1"/>
  <c r="S252" i="1"/>
  <c r="S258" i="1"/>
  <c r="S263" i="1"/>
  <c r="S268" i="1"/>
  <c r="S274" i="1"/>
  <c r="S279" i="1"/>
  <c r="S284" i="1"/>
  <c r="S290" i="1"/>
  <c r="S295" i="1"/>
  <c r="S300" i="1"/>
  <c r="S306" i="1"/>
  <c r="S311" i="1"/>
  <c r="S316" i="1"/>
  <c r="S322" i="1"/>
  <c r="S327" i="1"/>
  <c r="S332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438" i="1"/>
  <c r="S442" i="1"/>
  <c r="S446" i="1"/>
  <c r="S450" i="1"/>
  <c r="S454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674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3" i="1"/>
  <c r="S8" i="1"/>
  <c r="S14" i="1"/>
  <c r="S19" i="1"/>
  <c r="S24" i="1"/>
  <c r="S30" i="1"/>
  <c r="S35" i="1"/>
  <c r="S40" i="1"/>
  <c r="S46" i="1"/>
  <c r="S51" i="1"/>
  <c r="S56" i="1"/>
  <c r="S62" i="1"/>
  <c r="S67" i="1"/>
  <c r="S72" i="1"/>
  <c r="S78" i="1"/>
  <c r="S83" i="1"/>
  <c r="S88" i="1"/>
  <c r="S94" i="1"/>
  <c r="S99" i="1"/>
  <c r="S104" i="1"/>
  <c r="S110" i="1"/>
  <c r="S115" i="1"/>
  <c r="S120" i="1"/>
  <c r="S126" i="1"/>
  <c r="S131" i="1"/>
  <c r="S136" i="1"/>
  <c r="S142" i="1"/>
  <c r="S147" i="1"/>
  <c r="S152" i="1"/>
  <c r="S158" i="1"/>
  <c r="S163" i="1"/>
  <c r="S168" i="1"/>
  <c r="S174" i="1"/>
  <c r="S179" i="1"/>
  <c r="S184" i="1"/>
  <c r="S190" i="1"/>
  <c r="S195" i="1"/>
  <c r="S200" i="1"/>
  <c r="S206" i="1"/>
  <c r="S211" i="1"/>
  <c r="S216" i="1"/>
  <c r="S222" i="1"/>
  <c r="S227" i="1"/>
  <c r="S232" i="1"/>
  <c r="S238" i="1"/>
  <c r="S243" i="1"/>
  <c r="S248" i="1"/>
  <c r="S254" i="1"/>
  <c r="S259" i="1"/>
  <c r="S264" i="1"/>
  <c r="S270" i="1"/>
  <c r="S275" i="1"/>
  <c r="S280" i="1"/>
  <c r="S286" i="1"/>
  <c r="S291" i="1"/>
  <c r="S296" i="1"/>
  <c r="S302" i="1"/>
  <c r="S307" i="1"/>
  <c r="S312" i="1"/>
  <c r="S318" i="1"/>
  <c r="S323" i="1"/>
  <c r="S328" i="1"/>
  <c r="S334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4" i="1"/>
  <c r="S15" i="1"/>
  <c r="S26" i="1"/>
  <c r="S36" i="1"/>
  <c r="S47" i="1"/>
  <c r="S58" i="1"/>
  <c r="S68" i="1"/>
  <c r="S79" i="1"/>
  <c r="S90" i="1"/>
  <c r="S100" i="1"/>
  <c r="S111" i="1"/>
  <c r="S122" i="1"/>
  <c r="S132" i="1"/>
  <c r="S143" i="1"/>
  <c r="S154" i="1"/>
  <c r="S164" i="1"/>
  <c r="S175" i="1"/>
  <c r="S186" i="1"/>
  <c r="S196" i="1"/>
  <c r="S207" i="1"/>
  <c r="S218" i="1"/>
  <c r="S228" i="1"/>
  <c r="S239" i="1"/>
  <c r="S250" i="1"/>
  <c r="S260" i="1"/>
  <c r="S271" i="1"/>
  <c r="S282" i="1"/>
  <c r="S292" i="1"/>
  <c r="S303" i="1"/>
  <c r="S314" i="1"/>
  <c r="S324" i="1"/>
  <c r="S335" i="1"/>
  <c r="S344" i="1"/>
  <c r="S352" i="1"/>
  <c r="S360" i="1"/>
  <c r="S368" i="1"/>
  <c r="S376" i="1"/>
  <c r="S384" i="1"/>
  <c r="S392" i="1"/>
  <c r="S399" i="1"/>
  <c r="S404" i="1"/>
  <c r="S409" i="1"/>
  <c r="S415" i="1"/>
  <c r="S420" i="1"/>
  <c r="S425" i="1"/>
  <c r="S431" i="1"/>
  <c r="S436" i="1"/>
  <c r="S441" i="1"/>
  <c r="S447" i="1"/>
  <c r="S452" i="1"/>
  <c r="S457" i="1"/>
  <c r="S463" i="1"/>
  <c r="S468" i="1"/>
  <c r="S473" i="1"/>
  <c r="S479" i="1"/>
  <c r="S484" i="1"/>
  <c r="S489" i="1"/>
  <c r="S495" i="1"/>
  <c r="S500" i="1"/>
  <c r="S505" i="1"/>
  <c r="S511" i="1"/>
  <c r="S516" i="1"/>
  <c r="S521" i="1"/>
  <c r="S527" i="1"/>
  <c r="S532" i="1"/>
  <c r="S537" i="1"/>
  <c r="S543" i="1"/>
  <c r="S548" i="1"/>
  <c r="S553" i="1"/>
  <c r="S559" i="1"/>
  <c r="S564" i="1"/>
  <c r="S569" i="1"/>
  <c r="S575" i="1"/>
  <c r="S580" i="1"/>
  <c r="S585" i="1"/>
  <c r="S591" i="1"/>
  <c r="S596" i="1"/>
  <c r="S601" i="1"/>
  <c r="S607" i="1"/>
  <c r="S612" i="1"/>
  <c r="S617" i="1"/>
  <c r="S623" i="1"/>
  <c r="S628" i="1"/>
  <c r="S633" i="1"/>
  <c r="S639" i="1"/>
  <c r="S644" i="1"/>
  <c r="S649" i="1"/>
  <c r="S655" i="1"/>
  <c r="S660" i="1"/>
  <c r="S665" i="1"/>
  <c r="S671" i="1"/>
  <c r="S676" i="1"/>
  <c r="S681" i="1"/>
  <c r="S687" i="1"/>
  <c r="S692" i="1"/>
  <c r="S697" i="1"/>
  <c r="S703" i="1"/>
  <c r="S708" i="1"/>
  <c r="S713" i="1"/>
  <c r="S719" i="1"/>
  <c r="S724" i="1"/>
  <c r="S729" i="1"/>
  <c r="S735" i="1"/>
  <c r="S740" i="1"/>
  <c r="S745" i="1"/>
  <c r="S751" i="1"/>
  <c r="S756" i="1"/>
  <c r="S761" i="1"/>
  <c r="S766" i="1"/>
  <c r="S770" i="1"/>
  <c r="S774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6" i="1"/>
  <c r="S16" i="1"/>
  <c r="S27" i="1"/>
  <c r="S38" i="1"/>
  <c r="S48" i="1"/>
  <c r="S59" i="1"/>
  <c r="S70" i="1"/>
  <c r="S80" i="1"/>
  <c r="S91" i="1"/>
  <c r="S102" i="1"/>
  <c r="S112" i="1"/>
  <c r="S123" i="1"/>
  <c r="S134" i="1"/>
  <c r="S144" i="1"/>
  <c r="S155" i="1"/>
  <c r="S166" i="1"/>
  <c r="S176" i="1"/>
  <c r="S187" i="1"/>
  <c r="S198" i="1"/>
  <c r="S208" i="1"/>
  <c r="S219" i="1"/>
  <c r="S230" i="1"/>
  <c r="S240" i="1"/>
  <c r="S251" i="1"/>
  <c r="S262" i="1"/>
  <c r="S272" i="1"/>
  <c r="S283" i="1"/>
  <c r="S294" i="1"/>
  <c r="S304" i="1"/>
  <c r="S315" i="1"/>
  <c r="S326" i="1"/>
  <c r="S336" i="1"/>
  <c r="S345" i="1"/>
  <c r="S353" i="1"/>
  <c r="S361" i="1"/>
  <c r="S369" i="1"/>
  <c r="S377" i="1"/>
  <c r="S385" i="1"/>
  <c r="S393" i="1"/>
  <c r="S400" i="1"/>
  <c r="S405" i="1"/>
  <c r="S411" i="1"/>
  <c r="S416" i="1"/>
  <c r="S421" i="1"/>
  <c r="S427" i="1"/>
  <c r="S432" i="1"/>
  <c r="S437" i="1"/>
  <c r="S443" i="1"/>
  <c r="S448" i="1"/>
  <c r="S453" i="1"/>
  <c r="S459" i="1"/>
  <c r="S464" i="1"/>
  <c r="S469" i="1"/>
  <c r="S475" i="1"/>
  <c r="S480" i="1"/>
  <c r="S485" i="1"/>
  <c r="S491" i="1"/>
  <c r="S496" i="1"/>
  <c r="S501" i="1"/>
  <c r="S507" i="1"/>
  <c r="S512" i="1"/>
  <c r="S517" i="1"/>
  <c r="S523" i="1"/>
  <c r="S528" i="1"/>
  <c r="S533" i="1"/>
  <c r="S539" i="1"/>
  <c r="S544" i="1"/>
  <c r="S549" i="1"/>
  <c r="S555" i="1"/>
  <c r="S560" i="1"/>
  <c r="S565" i="1"/>
  <c r="S571" i="1"/>
  <c r="S576" i="1"/>
  <c r="S581" i="1"/>
  <c r="S587" i="1"/>
  <c r="S592" i="1"/>
  <c r="S597" i="1"/>
  <c r="S603" i="1"/>
  <c r="S608" i="1"/>
  <c r="S613" i="1"/>
  <c r="S619" i="1"/>
  <c r="S624" i="1"/>
  <c r="S629" i="1"/>
  <c r="S635" i="1"/>
  <c r="S640" i="1"/>
  <c r="S10" i="1"/>
  <c r="S31" i="1"/>
  <c r="S52" i="1"/>
  <c r="S74" i="1"/>
  <c r="S95" i="1"/>
  <c r="S116" i="1"/>
  <c r="S138" i="1"/>
  <c r="S159" i="1"/>
  <c r="S180" i="1"/>
  <c r="S202" i="1"/>
  <c r="S223" i="1"/>
  <c r="S244" i="1"/>
  <c r="S266" i="1"/>
  <c r="S287" i="1"/>
  <c r="S308" i="1"/>
  <c r="S330" i="1"/>
  <c r="S348" i="1"/>
  <c r="S364" i="1"/>
  <c r="S380" i="1"/>
  <c r="S396" i="1"/>
  <c r="S407" i="1"/>
  <c r="S417" i="1"/>
  <c r="S428" i="1"/>
  <c r="S439" i="1"/>
  <c r="S449" i="1"/>
  <c r="S460" i="1"/>
  <c r="S471" i="1"/>
  <c r="S481" i="1"/>
  <c r="S492" i="1"/>
  <c r="S503" i="1"/>
  <c r="S513" i="1"/>
  <c r="S524" i="1"/>
  <c r="S535" i="1"/>
  <c r="S545" i="1"/>
  <c r="S556" i="1"/>
  <c r="S567" i="1"/>
  <c r="S577" i="1"/>
  <c r="S588" i="1"/>
  <c r="S599" i="1"/>
  <c r="S609" i="1"/>
  <c r="S620" i="1"/>
  <c r="S631" i="1"/>
  <c r="S641" i="1"/>
  <c r="S648" i="1"/>
  <c r="S656" i="1"/>
  <c r="S663" i="1"/>
  <c r="S669" i="1"/>
  <c r="S677" i="1"/>
  <c r="S684" i="1"/>
  <c r="S691" i="1"/>
  <c r="S699" i="1"/>
  <c r="S705" i="1"/>
  <c r="S712" i="1"/>
  <c r="S720" i="1"/>
  <c r="S727" i="1"/>
  <c r="S733" i="1"/>
  <c r="S741" i="1"/>
  <c r="S748" i="1"/>
  <c r="S755" i="1"/>
  <c r="S763" i="1"/>
  <c r="S768" i="1"/>
  <c r="S773" i="1"/>
  <c r="S779" i="1"/>
  <c r="S784" i="1"/>
  <c r="S789" i="1"/>
  <c r="S795" i="1"/>
  <c r="S800" i="1"/>
  <c r="S805" i="1"/>
  <c r="S811" i="1"/>
  <c r="S816" i="1"/>
  <c r="S821" i="1"/>
  <c r="S827" i="1"/>
  <c r="S832" i="1"/>
  <c r="S837" i="1"/>
  <c r="S843" i="1"/>
  <c r="S848" i="1"/>
  <c r="S853" i="1"/>
  <c r="S859" i="1"/>
  <c r="S863" i="1"/>
  <c r="S867" i="1"/>
  <c r="S871" i="1"/>
  <c r="S875" i="1"/>
  <c r="S879" i="1"/>
  <c r="S883" i="1"/>
  <c r="S887" i="1"/>
  <c r="S891" i="1"/>
  <c r="S895" i="1"/>
  <c r="S899" i="1"/>
  <c r="S903" i="1"/>
  <c r="S907" i="1"/>
  <c r="S911" i="1"/>
  <c r="S915" i="1"/>
  <c r="S919" i="1"/>
  <c r="S923" i="1"/>
  <c r="S927" i="1"/>
  <c r="S931" i="1"/>
  <c r="S935" i="1"/>
  <c r="S939" i="1"/>
  <c r="S943" i="1"/>
  <c r="S947" i="1"/>
  <c r="S951" i="1"/>
  <c r="S955" i="1"/>
  <c r="S959" i="1"/>
  <c r="S963" i="1"/>
  <c r="S967" i="1"/>
  <c r="S971" i="1"/>
  <c r="S975" i="1"/>
  <c r="S979" i="1"/>
  <c r="S983" i="1"/>
  <c r="S987" i="1"/>
  <c r="S991" i="1"/>
  <c r="S995" i="1"/>
  <c r="S999" i="1"/>
  <c r="S1003" i="1"/>
  <c r="S1007" i="1"/>
  <c r="S1011" i="1"/>
  <c r="S1015" i="1"/>
  <c r="S1019" i="1"/>
  <c r="S1023" i="1"/>
  <c r="S1027" i="1"/>
  <c r="S1031" i="1"/>
  <c r="S1035" i="1"/>
  <c r="S1039" i="1"/>
  <c r="S1043" i="1"/>
  <c r="S1047" i="1"/>
  <c r="S1051" i="1"/>
  <c r="S1055" i="1"/>
  <c r="S1059" i="1"/>
  <c r="S1063" i="1"/>
  <c r="S1067" i="1"/>
  <c r="S1071" i="1"/>
  <c r="S1075" i="1"/>
  <c r="S1079" i="1"/>
  <c r="S1083" i="1"/>
  <c r="S1087" i="1"/>
  <c r="S1091" i="1"/>
  <c r="S1095" i="1"/>
  <c r="S1099" i="1"/>
  <c r="S1103" i="1"/>
  <c r="S1107" i="1"/>
  <c r="S1111" i="1"/>
  <c r="S1115" i="1"/>
  <c r="S1119" i="1"/>
  <c r="S1123" i="1"/>
  <c r="S1127" i="1"/>
  <c r="S1131" i="1"/>
  <c r="S1135" i="1"/>
  <c r="S1139" i="1"/>
  <c r="S1143" i="1"/>
  <c r="S1147" i="1"/>
  <c r="S1151" i="1"/>
  <c r="S1155" i="1"/>
  <c r="S1159" i="1"/>
  <c r="S11" i="1"/>
  <c r="S32" i="1"/>
  <c r="S54" i="1"/>
  <c r="S75" i="1"/>
  <c r="S96" i="1"/>
  <c r="S118" i="1"/>
  <c r="S139" i="1"/>
  <c r="S160" i="1"/>
  <c r="S182" i="1"/>
  <c r="S203" i="1"/>
  <c r="S224" i="1"/>
  <c r="S246" i="1"/>
  <c r="S267" i="1"/>
  <c r="S288" i="1"/>
  <c r="S310" i="1"/>
  <c r="S331" i="1"/>
  <c r="S349" i="1"/>
  <c r="S365" i="1"/>
  <c r="S381" i="1"/>
  <c r="S397" i="1"/>
  <c r="S408" i="1"/>
  <c r="S419" i="1"/>
  <c r="S429" i="1"/>
  <c r="S440" i="1"/>
  <c r="S451" i="1"/>
  <c r="S461" i="1"/>
  <c r="S472" i="1"/>
  <c r="S483" i="1"/>
  <c r="S493" i="1"/>
  <c r="S504" i="1"/>
  <c r="S515" i="1"/>
  <c r="S525" i="1"/>
  <c r="S536" i="1"/>
  <c r="S547" i="1"/>
  <c r="S557" i="1"/>
  <c r="S568" i="1"/>
  <c r="S579" i="1"/>
  <c r="S589" i="1"/>
  <c r="S600" i="1"/>
  <c r="S611" i="1"/>
  <c r="S621" i="1"/>
  <c r="S632" i="1"/>
  <c r="S643" i="1"/>
  <c r="S651" i="1"/>
  <c r="S657" i="1"/>
  <c r="S664" i="1"/>
  <c r="S672" i="1"/>
  <c r="S679" i="1"/>
  <c r="S685" i="1"/>
  <c r="S693" i="1"/>
  <c r="S700" i="1"/>
  <c r="S707" i="1"/>
  <c r="S715" i="1"/>
  <c r="S721" i="1"/>
  <c r="S728" i="1"/>
  <c r="S736" i="1"/>
  <c r="S743" i="1"/>
  <c r="S749" i="1"/>
  <c r="S757" i="1"/>
  <c r="S764" i="1"/>
  <c r="S769" i="1"/>
  <c r="S775" i="1"/>
  <c r="S780" i="1"/>
  <c r="S785" i="1"/>
  <c r="S791" i="1"/>
  <c r="S796" i="1"/>
  <c r="S801" i="1"/>
  <c r="S807" i="1"/>
  <c r="S812" i="1"/>
  <c r="S817" i="1"/>
  <c r="S823" i="1"/>
  <c r="S828" i="1"/>
  <c r="S833" i="1"/>
  <c r="S839" i="1"/>
  <c r="S844" i="1"/>
  <c r="S849" i="1"/>
  <c r="S855" i="1"/>
  <c r="S860" i="1"/>
  <c r="S864" i="1"/>
  <c r="S868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  <c r="S1008" i="1"/>
  <c r="S1012" i="1"/>
  <c r="S1016" i="1"/>
  <c r="S1020" i="1"/>
  <c r="S1024" i="1"/>
  <c r="S1028" i="1"/>
  <c r="S1032" i="1"/>
  <c r="S1036" i="1"/>
  <c r="S1040" i="1"/>
  <c r="S1044" i="1"/>
  <c r="S1048" i="1"/>
  <c r="S1052" i="1"/>
  <c r="S1056" i="1"/>
  <c r="S1060" i="1"/>
  <c r="S1064" i="1"/>
  <c r="S1068" i="1"/>
  <c r="S1072" i="1"/>
  <c r="S1076" i="1"/>
  <c r="S1080" i="1"/>
  <c r="S1084" i="1"/>
  <c r="S1088" i="1"/>
  <c r="S1092" i="1"/>
  <c r="S1096" i="1"/>
  <c r="S1100" i="1"/>
  <c r="S1104" i="1"/>
  <c r="S1108" i="1"/>
  <c r="S1112" i="1"/>
  <c r="S1116" i="1"/>
  <c r="S1120" i="1"/>
  <c r="S1124" i="1"/>
  <c r="S1128" i="1"/>
  <c r="S1132" i="1"/>
  <c r="S1136" i="1"/>
  <c r="S1140" i="1"/>
  <c r="S1144" i="1"/>
  <c r="S1148" i="1"/>
  <c r="S1152" i="1"/>
  <c r="S1156" i="1"/>
  <c r="S1160" i="1"/>
  <c r="S1164" i="1"/>
  <c r="S1168" i="1"/>
  <c r="S1172" i="1"/>
  <c r="S1176" i="1"/>
  <c r="S1180" i="1"/>
  <c r="S1184" i="1"/>
  <c r="S1188" i="1"/>
  <c r="S1192" i="1"/>
  <c r="S1196" i="1"/>
  <c r="S1200" i="1"/>
  <c r="S1204" i="1"/>
  <c r="S1208" i="1"/>
  <c r="S1212" i="1"/>
  <c r="S1216" i="1"/>
  <c r="S1220" i="1"/>
  <c r="S1224" i="1"/>
  <c r="S1228" i="1"/>
  <c r="S1999" i="1"/>
  <c r="S1995" i="1"/>
  <c r="S1991" i="1"/>
  <c r="S1987" i="1"/>
  <c r="S1983" i="1"/>
  <c r="S1979" i="1"/>
  <c r="S1975" i="1"/>
  <c r="S1971" i="1"/>
  <c r="S1967" i="1"/>
  <c r="S1963" i="1"/>
  <c r="S1959" i="1"/>
  <c r="S1955" i="1"/>
  <c r="S1951" i="1"/>
  <c r="S1947" i="1"/>
  <c r="S1943" i="1"/>
  <c r="S1939" i="1"/>
  <c r="S1935" i="1"/>
  <c r="S1931" i="1"/>
  <c r="S1927" i="1"/>
  <c r="S1923" i="1"/>
  <c r="S1919" i="1"/>
  <c r="S1915" i="1"/>
  <c r="S1911" i="1"/>
  <c r="S1907" i="1"/>
  <c r="S1903" i="1"/>
  <c r="S1899" i="1"/>
  <c r="S1895" i="1"/>
  <c r="S1891" i="1"/>
  <c r="S1887" i="1"/>
  <c r="S1883" i="1"/>
  <c r="S1879" i="1"/>
  <c r="S1875" i="1"/>
  <c r="S1871" i="1"/>
  <c r="S1867" i="1"/>
  <c r="S1863" i="1"/>
  <c r="S1859" i="1"/>
  <c r="S1855" i="1"/>
  <c r="S1851" i="1"/>
  <c r="S1847" i="1"/>
  <c r="S1843" i="1"/>
  <c r="S1839" i="1"/>
  <c r="S1835" i="1"/>
  <c r="S1831" i="1"/>
  <c r="S1827" i="1"/>
  <c r="S1823" i="1"/>
  <c r="S1819" i="1"/>
  <c r="S1815" i="1"/>
  <c r="S1811" i="1"/>
  <c r="S1807" i="1"/>
  <c r="S1803" i="1"/>
  <c r="S1799" i="1"/>
  <c r="S1795" i="1"/>
  <c r="S1791" i="1"/>
  <c r="S1787" i="1"/>
  <c r="S1783" i="1"/>
  <c r="S1779" i="1"/>
  <c r="S1775" i="1"/>
  <c r="S1771" i="1"/>
  <c r="S1767" i="1"/>
  <c r="S1763" i="1"/>
  <c r="S1759" i="1"/>
  <c r="S1755" i="1"/>
  <c r="S1751" i="1"/>
  <c r="S1747" i="1"/>
  <c r="S1743" i="1"/>
  <c r="S1739" i="1"/>
  <c r="S1735" i="1"/>
  <c r="S1731" i="1"/>
  <c r="S1727" i="1"/>
  <c r="S1723" i="1"/>
  <c r="S1719" i="1"/>
  <c r="S1715" i="1"/>
  <c r="S1711" i="1"/>
  <c r="S1707" i="1"/>
  <c r="S1703" i="1"/>
  <c r="S1699" i="1"/>
  <c r="S1695" i="1"/>
  <c r="S1691" i="1"/>
  <c r="S1687" i="1"/>
  <c r="S1683" i="1"/>
  <c r="S1679" i="1"/>
  <c r="S1675" i="1"/>
  <c r="S1671" i="1"/>
  <c r="S1667" i="1"/>
  <c r="S1663" i="1"/>
  <c r="S1659" i="1"/>
  <c r="S1655" i="1"/>
  <c r="S1651" i="1"/>
  <c r="S1647" i="1"/>
  <c r="S1643" i="1"/>
  <c r="S1639" i="1"/>
  <c r="S1635" i="1"/>
  <c r="S1631" i="1"/>
  <c r="S1627" i="1"/>
  <c r="S1623" i="1"/>
  <c r="S1619" i="1"/>
  <c r="S1615" i="1"/>
  <c r="S1611" i="1"/>
  <c r="S1607" i="1"/>
  <c r="S1603" i="1"/>
  <c r="S1599" i="1"/>
  <c r="S1595" i="1"/>
  <c r="S1591" i="1"/>
  <c r="S1587" i="1"/>
  <c r="S1583" i="1"/>
  <c r="S1579" i="1"/>
  <c r="S1575" i="1"/>
  <c r="S1571" i="1"/>
  <c r="S1567" i="1"/>
  <c r="S1563" i="1"/>
  <c r="S1559" i="1"/>
  <c r="S1555" i="1"/>
  <c r="S1551" i="1"/>
  <c r="S1547" i="1"/>
  <c r="S1543" i="1"/>
  <c r="S1539" i="1"/>
  <c r="S1535" i="1"/>
  <c r="S1531" i="1"/>
  <c r="S1527" i="1"/>
  <c r="S1523" i="1"/>
  <c r="S1519" i="1"/>
  <c r="S1515" i="1"/>
  <c r="S1511" i="1"/>
  <c r="S1507" i="1"/>
  <c r="S1503" i="1"/>
  <c r="S1499" i="1"/>
  <c r="S1495" i="1"/>
  <c r="S1491" i="1"/>
  <c r="S1487" i="1"/>
  <c r="S1483" i="1"/>
  <c r="S1479" i="1"/>
  <c r="S1475" i="1"/>
  <c r="S1471" i="1"/>
  <c r="S1467" i="1"/>
  <c r="S1463" i="1"/>
  <c r="S1459" i="1"/>
  <c r="S1455" i="1"/>
  <c r="S1451" i="1"/>
  <c r="S1447" i="1"/>
  <c r="S1443" i="1"/>
  <c r="S1439" i="1"/>
  <c r="S1435" i="1"/>
  <c r="S1431" i="1"/>
  <c r="S1427" i="1"/>
  <c r="S1423" i="1"/>
  <c r="S1419" i="1"/>
  <c r="S1415" i="1"/>
  <c r="S1411" i="1"/>
  <c r="S1407" i="1"/>
  <c r="S1403" i="1"/>
  <c r="S1399" i="1"/>
  <c r="S1395" i="1"/>
  <c r="S1391" i="1"/>
  <c r="S1387" i="1"/>
  <c r="S1383" i="1"/>
  <c r="S1379" i="1"/>
  <c r="S1375" i="1"/>
  <c r="S1371" i="1"/>
  <c r="S1367" i="1"/>
  <c r="S1363" i="1"/>
  <c r="S1359" i="1"/>
  <c r="S1355" i="1"/>
  <c r="S1351" i="1"/>
  <c r="S1347" i="1"/>
  <c r="S1343" i="1"/>
  <c r="S1339" i="1"/>
  <c r="S1335" i="1"/>
  <c r="S1331" i="1"/>
  <c r="S1327" i="1"/>
  <c r="S1323" i="1"/>
  <c r="S1319" i="1"/>
  <c r="S1315" i="1"/>
  <c r="S1311" i="1"/>
  <c r="S1307" i="1"/>
  <c r="S1303" i="1"/>
  <c r="S1299" i="1"/>
  <c r="S1295" i="1"/>
  <c r="S1291" i="1"/>
  <c r="S1287" i="1"/>
  <c r="S1283" i="1"/>
  <c r="S1279" i="1"/>
  <c r="S1275" i="1"/>
  <c r="S1271" i="1"/>
  <c r="S1267" i="1"/>
  <c r="S1263" i="1"/>
  <c r="S1259" i="1"/>
  <c r="S1255" i="1"/>
  <c r="S1251" i="1"/>
  <c r="S1247" i="1"/>
  <c r="S1243" i="1"/>
  <c r="S1239" i="1"/>
  <c r="S1235" i="1"/>
  <c r="S1231" i="1"/>
  <c r="S1226" i="1"/>
  <c r="S1221" i="1"/>
  <c r="S1215" i="1"/>
  <c r="S1210" i="1"/>
  <c r="S1205" i="1"/>
  <c r="S1199" i="1"/>
  <c r="S1194" i="1"/>
  <c r="S1189" i="1"/>
  <c r="S1183" i="1"/>
  <c r="S1178" i="1"/>
  <c r="S1173" i="1"/>
  <c r="S1167" i="1"/>
  <c r="S1162" i="1"/>
  <c r="S1154" i="1"/>
  <c r="S1146" i="1"/>
  <c r="S1138" i="1"/>
  <c r="S1130" i="1"/>
  <c r="S1122" i="1"/>
  <c r="S1114" i="1"/>
  <c r="S1106" i="1"/>
  <c r="S1098" i="1"/>
  <c r="S1090" i="1"/>
  <c r="S1082" i="1"/>
  <c r="S1074" i="1"/>
  <c r="S1066" i="1"/>
  <c r="S1058" i="1"/>
  <c r="S1050" i="1"/>
  <c r="S1042" i="1"/>
  <c r="S1034" i="1"/>
  <c r="S1026" i="1"/>
  <c r="S1018" i="1"/>
  <c r="S1010" i="1"/>
  <c r="S1002" i="1"/>
  <c r="S994" i="1"/>
  <c r="S986" i="1"/>
  <c r="S978" i="1"/>
  <c r="S970" i="1"/>
  <c r="S962" i="1"/>
  <c r="S954" i="1"/>
  <c r="S946" i="1"/>
  <c r="S938" i="1"/>
  <c r="S930" i="1"/>
  <c r="S922" i="1"/>
  <c r="S914" i="1"/>
  <c r="S906" i="1"/>
  <c r="S898" i="1"/>
  <c r="S890" i="1"/>
  <c r="S882" i="1"/>
  <c r="S874" i="1"/>
  <c r="S866" i="1"/>
  <c r="S857" i="1"/>
  <c r="S847" i="1"/>
  <c r="S836" i="1"/>
  <c r="S825" i="1"/>
  <c r="S815" i="1"/>
  <c r="S804" i="1"/>
  <c r="S793" i="1"/>
  <c r="S783" i="1"/>
  <c r="S772" i="1"/>
  <c r="S760" i="1"/>
  <c r="S747" i="1"/>
  <c r="S732" i="1"/>
  <c r="S717" i="1"/>
  <c r="S704" i="1"/>
  <c r="S689" i="1"/>
  <c r="S675" i="1"/>
  <c r="S661" i="1"/>
  <c r="S647" i="1"/>
  <c r="S627" i="1"/>
  <c r="S605" i="1"/>
  <c r="S584" i="1"/>
  <c r="S563" i="1"/>
  <c r="S541" i="1"/>
  <c r="S520" i="1"/>
  <c r="S499" i="1"/>
  <c r="S477" i="1"/>
  <c r="S456" i="1"/>
  <c r="S435" i="1"/>
  <c r="S413" i="1"/>
  <c r="S389" i="1"/>
  <c r="S357" i="1"/>
  <c r="S320" i="1"/>
  <c r="S278" i="1"/>
  <c r="S235" i="1"/>
  <c r="S192" i="1"/>
  <c r="S150" i="1"/>
  <c r="S107" i="1"/>
  <c r="S64" i="1"/>
  <c r="S22" i="1"/>
  <c r="S1998" i="1"/>
  <c r="S1994" i="1"/>
  <c r="S1990" i="1"/>
  <c r="S1986" i="1"/>
  <c r="S1982" i="1"/>
  <c r="S1978" i="1"/>
  <c r="S1974" i="1"/>
  <c r="S1970" i="1"/>
  <c r="S1966" i="1"/>
  <c r="S1962" i="1"/>
  <c r="S1958" i="1"/>
  <c r="S1954" i="1"/>
  <c r="S1950" i="1"/>
  <c r="S1946" i="1"/>
  <c r="S1942" i="1"/>
  <c r="S1938" i="1"/>
  <c r="S1934" i="1"/>
  <c r="S1930" i="1"/>
  <c r="S1926" i="1"/>
  <c r="S1922" i="1"/>
  <c r="S1918" i="1"/>
  <c r="S1914" i="1"/>
  <c r="S1910" i="1"/>
  <c r="S1906" i="1"/>
  <c r="S1902" i="1"/>
  <c r="S1898" i="1"/>
  <c r="S1894" i="1"/>
  <c r="S1890" i="1"/>
  <c r="S1886" i="1"/>
  <c r="S1882" i="1"/>
  <c r="S1878" i="1"/>
  <c r="S1874" i="1"/>
  <c r="S1870" i="1"/>
  <c r="S1866" i="1"/>
  <c r="S1862" i="1"/>
  <c r="S1858" i="1"/>
  <c r="S1854" i="1"/>
  <c r="S1850" i="1"/>
  <c r="S1846" i="1"/>
  <c r="S1842" i="1"/>
  <c r="S1838" i="1"/>
  <c r="S1834" i="1"/>
  <c r="S1830" i="1"/>
  <c r="S1826" i="1"/>
  <c r="S1822" i="1"/>
  <c r="S1818" i="1"/>
  <c r="S1814" i="1"/>
  <c r="S1810" i="1"/>
  <c r="S1806" i="1"/>
  <c r="S1802" i="1"/>
  <c r="S1798" i="1"/>
  <c r="S1794" i="1"/>
  <c r="S1790" i="1"/>
  <c r="S1786" i="1"/>
  <c r="S1782" i="1"/>
  <c r="S1778" i="1"/>
  <c r="S1774" i="1"/>
  <c r="S1770" i="1"/>
  <c r="S1766" i="1"/>
  <c r="S1762" i="1"/>
  <c r="S1758" i="1"/>
  <c r="S1754" i="1"/>
  <c r="S1750" i="1"/>
  <c r="S1746" i="1"/>
  <c r="S1742" i="1"/>
  <c r="S1738" i="1"/>
  <c r="S1734" i="1"/>
  <c r="S1730" i="1"/>
  <c r="S1726" i="1"/>
  <c r="S1722" i="1"/>
  <c r="S1718" i="1"/>
  <c r="S1714" i="1"/>
  <c r="S1710" i="1"/>
  <c r="S1706" i="1"/>
  <c r="S1702" i="1"/>
  <c r="S1698" i="1"/>
  <c r="S1694" i="1"/>
  <c r="S1690" i="1"/>
  <c r="S1686" i="1"/>
  <c r="S1682" i="1"/>
  <c r="S1678" i="1"/>
  <c r="S1674" i="1"/>
  <c r="S1670" i="1"/>
  <c r="S1666" i="1"/>
  <c r="S1662" i="1"/>
  <c r="S1658" i="1"/>
  <c r="S1654" i="1"/>
  <c r="S1650" i="1"/>
  <c r="S1646" i="1"/>
  <c r="S1642" i="1"/>
  <c r="S1638" i="1"/>
  <c r="S1634" i="1"/>
  <c r="S1630" i="1"/>
  <c r="S1626" i="1"/>
  <c r="S1622" i="1"/>
  <c r="S1618" i="1"/>
  <c r="S1614" i="1"/>
  <c r="S1610" i="1"/>
  <c r="S1606" i="1"/>
  <c r="S1602" i="1"/>
  <c r="S1598" i="1"/>
  <c r="S1594" i="1"/>
  <c r="S1590" i="1"/>
  <c r="S1586" i="1"/>
  <c r="S1582" i="1"/>
  <c r="S1578" i="1"/>
  <c r="S1574" i="1"/>
  <c r="S1570" i="1"/>
  <c r="S1566" i="1"/>
  <c r="S1562" i="1"/>
  <c r="S1558" i="1"/>
  <c r="S1554" i="1"/>
  <c r="S1550" i="1"/>
  <c r="S1546" i="1"/>
  <c r="S1542" i="1"/>
  <c r="S1538" i="1"/>
  <c r="S1534" i="1"/>
  <c r="S1530" i="1"/>
  <c r="S1526" i="1"/>
  <c r="S1522" i="1"/>
  <c r="S1518" i="1"/>
  <c r="S1514" i="1"/>
  <c r="S1510" i="1"/>
  <c r="S1506" i="1"/>
  <c r="S1502" i="1"/>
  <c r="S1498" i="1"/>
  <c r="S1494" i="1"/>
  <c r="S1490" i="1"/>
  <c r="S1486" i="1"/>
  <c r="S1482" i="1"/>
  <c r="S1478" i="1"/>
  <c r="S1474" i="1"/>
  <c r="S1470" i="1"/>
  <c r="S1466" i="1"/>
  <c r="S1462" i="1"/>
  <c r="S1458" i="1"/>
  <c r="S1454" i="1"/>
  <c r="S1450" i="1"/>
  <c r="S1446" i="1"/>
  <c r="S1442" i="1"/>
  <c r="S1438" i="1"/>
  <c r="S1434" i="1"/>
  <c r="S1430" i="1"/>
  <c r="S1426" i="1"/>
  <c r="S1422" i="1"/>
  <c r="S1418" i="1"/>
  <c r="S1414" i="1"/>
  <c r="S1410" i="1"/>
  <c r="S1406" i="1"/>
  <c r="S1402" i="1"/>
  <c r="S1398" i="1"/>
  <c r="S1394" i="1"/>
  <c r="S1390" i="1"/>
  <c r="S1386" i="1"/>
  <c r="S1382" i="1"/>
  <c r="S1378" i="1"/>
  <c r="S1374" i="1"/>
  <c r="S1370" i="1"/>
  <c r="S1366" i="1"/>
  <c r="S1362" i="1"/>
  <c r="S1358" i="1"/>
  <c r="S1354" i="1"/>
  <c r="S1350" i="1"/>
  <c r="S1346" i="1"/>
  <c r="S1342" i="1"/>
  <c r="S1338" i="1"/>
  <c r="S1334" i="1"/>
  <c r="S1330" i="1"/>
  <c r="S1326" i="1"/>
  <c r="S1322" i="1"/>
  <c r="S1318" i="1"/>
  <c r="S1314" i="1"/>
  <c r="S1310" i="1"/>
  <c r="S1306" i="1"/>
  <c r="S1302" i="1"/>
  <c r="S1298" i="1"/>
  <c r="S1294" i="1"/>
  <c r="S1290" i="1"/>
  <c r="S1286" i="1"/>
  <c r="S1282" i="1"/>
  <c r="S1278" i="1"/>
  <c r="S1274" i="1"/>
  <c r="S1270" i="1"/>
  <c r="S1266" i="1"/>
  <c r="S1262" i="1"/>
  <c r="S1258" i="1"/>
  <c r="S1254" i="1"/>
  <c r="S1250" i="1"/>
  <c r="S1246" i="1"/>
  <c r="S1242" i="1"/>
  <c r="S1238" i="1"/>
  <c r="S1234" i="1"/>
  <c r="S1230" i="1"/>
  <c r="S1225" i="1"/>
  <c r="S1219" i="1"/>
  <c r="S1214" i="1"/>
  <c r="S1209" i="1"/>
  <c r="S1203" i="1"/>
  <c r="S1198" i="1"/>
  <c r="S1193" i="1"/>
  <c r="S1187" i="1"/>
  <c r="S1182" i="1"/>
  <c r="S1177" i="1"/>
  <c r="S1171" i="1"/>
  <c r="S1166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6" i="1"/>
  <c r="S845" i="1"/>
  <c r="S835" i="1"/>
  <c r="S824" i="1"/>
  <c r="S813" i="1"/>
  <c r="S803" i="1"/>
  <c r="S792" i="1"/>
  <c r="S781" i="1"/>
  <c r="S771" i="1"/>
  <c r="S759" i="1"/>
  <c r="S744" i="1"/>
  <c r="S731" i="1"/>
  <c r="S716" i="1"/>
  <c r="S701" i="1"/>
  <c r="S688" i="1"/>
  <c r="S673" i="1"/>
  <c r="S659" i="1"/>
  <c r="S645" i="1"/>
  <c r="S625" i="1"/>
  <c r="S604" i="1"/>
  <c r="S583" i="1"/>
  <c r="S561" i="1"/>
  <c r="S540" i="1"/>
  <c r="S519" i="1"/>
  <c r="S497" i="1"/>
  <c r="S476" i="1"/>
  <c r="S455" i="1"/>
  <c r="S433" i="1"/>
  <c r="S412" i="1"/>
  <c r="S388" i="1"/>
  <c r="S356" i="1"/>
  <c r="S319" i="1"/>
  <c r="S276" i="1"/>
  <c r="S234" i="1"/>
  <c r="S191" i="1"/>
  <c r="S148" i="1"/>
  <c r="S106" i="1"/>
  <c r="S63" i="1"/>
  <c r="S20" i="1"/>
  <c r="AA14" i="1" l="1"/>
  <c r="AA9" i="1"/>
  <c r="AD17" i="1" l="1"/>
  <c r="AD19" i="1"/>
  <c r="AH16" i="1"/>
  <c r="AI29" i="1"/>
  <c r="AF29" i="1"/>
  <c r="AN23" i="1"/>
  <c r="AF23" i="1"/>
  <c r="AI23" i="1"/>
  <c r="AE19" i="1"/>
  <c r="AF19" i="1"/>
  <c r="AG19" i="1"/>
  <c r="AH19" i="1"/>
  <c r="AI19" i="1"/>
  <c r="AJ19" i="1"/>
  <c r="AK19" i="1"/>
  <c r="AL19" i="1"/>
  <c r="AM19" i="1"/>
  <c r="AM10" i="1"/>
  <c r="AH10" i="1"/>
  <c r="AG10" i="1"/>
  <c r="AI10" i="1"/>
  <c r="AJ10" i="1"/>
  <c r="AK10" i="1"/>
  <c r="AL10" i="1"/>
  <c r="AG11" i="1"/>
  <c r="AH11" i="1"/>
  <c r="AI11" i="1"/>
  <c r="AJ11" i="1"/>
  <c r="AK11" i="1"/>
  <c r="AL11" i="1"/>
  <c r="AM11" i="1"/>
  <c r="AF11" i="1"/>
  <c r="AF10" i="1"/>
  <c r="AE11" i="1"/>
  <c r="AE10" i="1"/>
  <c r="AD11" i="1"/>
  <c r="AD10" i="1"/>
  <c r="AE7" i="1"/>
  <c r="AD7" i="1"/>
  <c r="AE6" i="1"/>
  <c r="AD6" i="1"/>
  <c r="AC2" i="1"/>
  <c r="AJ12" i="1" l="1"/>
  <c r="AJ15" i="1" s="1"/>
  <c r="AI12" i="1"/>
  <c r="AI15" i="1" s="1"/>
  <c r="AF6" i="1"/>
  <c r="AH6" i="1" s="1"/>
  <c r="AE12" i="1"/>
  <c r="AE14" i="1" s="1"/>
  <c r="AD12" i="1"/>
  <c r="AD15" i="1" s="1"/>
  <c r="AM12" i="1"/>
  <c r="AM15" i="1" s="1"/>
  <c r="AG12" i="1"/>
  <c r="AG14" i="1" s="1"/>
  <c r="AG33" i="1" s="1"/>
  <c r="AL12" i="1"/>
  <c r="AL15" i="1" s="1"/>
  <c r="AH12" i="1"/>
  <c r="AH15" i="1" s="1"/>
  <c r="AK12" i="1"/>
  <c r="AK15" i="1" s="1"/>
  <c r="AF12" i="1"/>
  <c r="AF15" i="1" s="1"/>
  <c r="AF7" i="1"/>
  <c r="AI7" i="1" s="1"/>
  <c r="AJ14" i="1" l="1"/>
  <c r="AM14" i="1"/>
  <c r="AI14" i="1"/>
  <c r="AG15" i="1"/>
  <c r="AG34" i="1" s="1"/>
  <c r="AI6" i="1"/>
  <c r="AD14" i="1"/>
  <c r="AE15" i="1"/>
  <c r="AK14" i="1"/>
  <c r="AH14" i="1"/>
  <c r="AL14" i="1"/>
  <c r="AF14" i="1"/>
  <c r="AH7" i="1"/>
</calcChain>
</file>

<file path=xl/sharedStrings.xml><?xml version="1.0" encoding="utf-8"?>
<sst xmlns="http://schemas.openxmlformats.org/spreadsheetml/2006/main" count="12133" uniqueCount="2080">
  <si>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</si>
  <si>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</si>
  <si>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</si>
  <si>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</si>
  <si>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</si>
  <si>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</si>
  <si>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</si>
  <si>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</si>
  <si>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</si>
  <si>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</si>
  <si>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</si>
  <si>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</si>
  <si>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(мес,)</t>
  </si>
  <si>
    <t>Количество кредитных карт</t>
  </si>
  <si>
    <t>Текущий баланс кредитов</t>
  </si>
  <si>
    <t>Максимальный выданный кредит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</si>
  <si>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</si>
  <si>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</si>
  <si>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</si>
  <si>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</si>
  <si>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</si>
  <si>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</si>
  <si>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</si>
  <si>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>2de017a3-2e01-49cb-a581-08169e83be29</t>
  </si>
  <si>
    <t>10+ лет</t>
  </si>
  <si>
    <t>консолидация кредитов</t>
  </si>
  <si>
    <t>5efb2b2b-bf11-4dfd-a572-3761a2694725</t>
  </si>
  <si>
    <t>в собственности</t>
  </si>
  <si>
    <t>e777faab-98ae-45af-9a86-7ce5b33b1011</t>
  </si>
  <si>
    <t>долгосрочный</t>
  </si>
  <si>
    <t>3 года</t>
  </si>
  <si>
    <t>81536ad9-5ccf-4eb8-befb-47a4d608658e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</si>
  <si>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</si>
  <si>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</si>
  <si>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</si>
  <si>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</si>
  <si>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</si>
  <si>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</si>
  <si>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018973c9-e316-4956-b363-67e134fb0931</t>
  </si>
  <si>
    <t>приобретение жилья</t>
  </si>
  <si>
    <t>af534dea-d27e-4fd6-9de8-efaa52a78ec0</t>
  </si>
  <si>
    <t>2 года</t>
  </si>
  <si>
    <t>235c4a43-dadf-483d-aa44-9d6d77ae4583</t>
  </si>
  <si>
    <t>0de7bcdb-ebf4-4608-ba39-05f083f855b6</t>
  </si>
  <si>
    <t>aa0a6a22-a95e-48e0-ba4f-b83456d424e4</t>
  </si>
  <si>
    <t>11581f68-de3c-49d8-80d9-22268ebb323b</t>
  </si>
  <si>
    <t>900c9191-2c20-4688-af7e-07c59b5d5a24</t>
  </si>
  <si>
    <t>4 года</t>
  </si>
  <si>
    <t>2ac05980-7848-4692-89ae-9321afe650f8</t>
  </si>
  <si>
    <t>3ec886e7-f15d-4c35-83d0-bdec4817ae4b</t>
  </si>
  <si>
    <t>9 лет</t>
  </si>
  <si>
    <t>abb4c446-08ea-49ff-aeb8-5e1e9da673e7</t>
  </si>
  <si>
    <t>7 лет</t>
  </si>
  <si>
    <t>967e8733-7189-49b7-a3ab-6a1d0e1abdac</t>
  </si>
  <si>
    <t>c67b2cb5-9f91-4bcb-9a03-03d1589c6c1a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</si>
  <si>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</si>
  <si>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</si>
  <si>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</si>
  <si>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</si>
  <si>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</si>
  <si>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</si>
  <si>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</si>
  <si>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9baf6d5d-f744-4332-abb0-e939b75cde40</t>
  </si>
  <si>
    <t>1 год</t>
  </si>
  <si>
    <t>2bdc133d-cbbf-46c1-a902-488924082993</t>
  </si>
  <si>
    <t>689da294-ff83-4d49-986a-c61887f6d4e2</t>
  </si>
  <si>
    <t>5129cffc-68a1-4dd9-8bfe-035f3478d6dd</t>
  </si>
  <si>
    <t>иное</t>
  </si>
  <si>
    <t>f4226232-1c33-4d69-ada0-c88245fe345f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</si>
  <si>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</si>
  <si>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</si>
  <si>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</si>
  <si>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</si>
  <si>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</si>
  <si>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2d53b50a-30a2-488e-a287-3780b26e62ba</t>
  </si>
  <si>
    <t>приобретение автомобиля</t>
  </si>
  <si>
    <t>b91032a8-107c-4c0f-9ef8-c517e696f497</t>
  </si>
  <si>
    <t>86b8d158-c6f7-4ff0-8aaf-4eb96a3e6adc</t>
  </si>
  <si>
    <t>d1d8497b-90bf-48ea-a8b1-40c909ab1f97</t>
  </si>
  <si>
    <t>dedbd71d-dabd-4c64-a38f-bb5886e7f8b6</t>
  </si>
  <si>
    <t>f7581a72-d073-48a3-934f-14bdfae93691</t>
  </si>
  <si>
    <t>64560eb4-f50d-4f14-8a86-b46c0381bef2</t>
  </si>
  <si>
    <t>33ca84d6-61ab-4e1c-9312-77228201e7dd</t>
  </si>
  <si>
    <t>847e2dfa-a44c-4ec1-b05f-5d4a33e66885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</si>
  <si>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</si>
  <si>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</si>
  <si>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</si>
  <si>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</si>
  <si>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</si>
  <si>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</si>
  <si>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</si>
  <si>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</si>
  <si>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</si>
  <si>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06d6c4a1-7a06-41c5-aeb1-fe0d7e5c895e</t>
  </si>
  <si>
    <t>41988ec9-7368-42a3-bc2f-9882fb3779f6</t>
  </si>
  <si>
    <t>82b6502d-b24e-43d7-baf5-5624e566bfe3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</si>
  <si>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</si>
  <si>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</si>
  <si>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</si>
  <si>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</si>
  <si>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</si>
  <si>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</si>
  <si>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</si>
  <si>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</si>
  <si>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</si>
  <si>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1902ebd8-4ffa-4182-90dd-89a9eb14a9a0</t>
  </si>
  <si>
    <t>c5e8d25e-4417-4e67-ac03-9d5cf3f903ca</t>
  </si>
  <si>
    <t>8e49b9f9-b15f-4d76-a1f8-2bc90dfdb07f</t>
  </si>
  <si>
    <t>88f97adf-070a-47b1-9657-38276eef7d19</t>
  </si>
  <si>
    <t>0c0f26c2-c4c9-4f63-ae6c-1895438c6966</t>
  </si>
  <si>
    <t>fef3362a-2732-4520-ab83-4ce52074aa4e</t>
  </si>
  <si>
    <t>6ae17645-6b2a-4088-bb0c-1ca8424fedd7</t>
  </si>
  <si>
    <t>570f58b9-c502-4c7d-b1a8-9df512e9daf5</t>
  </si>
  <si>
    <t>c2fe5a7f-9826-48ad-ae02-b2c31cae3463</t>
  </si>
  <si>
    <t>e978f6d8-912e-418e-8649-1b970583f4c8</t>
  </si>
  <si>
    <t>decb6753-c45f-4f8a-ae0d-e8b26d246998</t>
  </si>
  <si>
    <t>a17de546-6b7f-4abf-9af4-99047eeda08a</t>
  </si>
  <si>
    <t>8980b1b1-7f07-49c7-a4f7-4268a61210f5</t>
  </si>
  <si>
    <t>6e8df64b-1404-4c95-8c79-954a601ba585</t>
  </si>
  <si>
    <t>55012e48-1a72-4609-b289-cd25b03f1aea</t>
  </si>
  <si>
    <t>d377d2ea-5cf8-4ee2-b7ba-f5be4dbb1b11</t>
  </si>
  <si>
    <t>47e5d0b1-228e-4fae-a0a5-22f4b9f8ad7d</t>
  </si>
  <si>
    <t>42374c5d-1275-4b47-b0d6-e1c33d02b811</t>
  </si>
  <si>
    <t>2bafd352-5fbb-4435-8316-fa2e7bc6950f</t>
  </si>
  <si>
    <t>3c75455c-6827-49fc-b91d-3001a1a5c9ba</t>
  </si>
  <si>
    <t>ac460fac-928b-4149-b919-69ea4eb9750f</t>
  </si>
  <si>
    <t>d80034d4-37b2-4380-9546-3bc3c9025077</t>
  </si>
  <si>
    <t>034ce7a6-999c-4ffa-a1d2-610f88a29606</t>
  </si>
  <si>
    <t>0f9f9ea4-6122-4fc6-99fd-6c6c38a32138</t>
  </si>
  <si>
    <t>f55d6d2b-646b-4d5d-996e-85f78f6fe3f2</t>
  </si>
  <si>
    <t>e5e051b3-545f-45c7-a975-360b732f7c97</t>
  </si>
  <si>
    <t>377a2055-0d25-4dd0-a7c9-28cb61f68259</t>
  </si>
  <si>
    <t>46dce277-4cdd-4b47-83f8-97078cb41bc0</t>
  </si>
  <si>
    <t>64f770d8-dec2-42e7-8955-6149ce7efd5f</t>
  </si>
  <si>
    <t>4da78dcb-83c2-4338-9a5b-72bd01053f5c</t>
  </si>
  <si>
    <t>4cc38eb2-c463-493a-82e9-1571bacc69a9</t>
  </si>
  <si>
    <t>f4a63c54-c7b6-4132-a5c1-160b09c0a1cf</t>
  </si>
  <si>
    <t>40deeacb-f472-4241-9861-56ce8bfe3151</t>
  </si>
  <si>
    <t>bc653e0d-ccac-4114-b998-f53c9f2dffc8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</si>
  <si>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</si>
  <si>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</si>
  <si>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</si>
  <si>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</si>
  <si>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</si>
  <si>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</si>
  <si>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</si>
  <si>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</si>
  <si>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</si>
  <si>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</si>
  <si>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</si>
  <si>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</si>
  <si>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</si>
  <si>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</si>
  <si>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</si>
  <si>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</si>
  <si>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</si>
  <si>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</si>
  <si>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d7ba72fa-b67b-46e7-8f1b-aa68520b89c8</t>
  </si>
  <si>
    <t>dccb0b43-a54d-47ae-b01b-382d193b475b</t>
  </si>
  <si>
    <t>44c5392a-dab7-4747-a2c7-da56763c6a5e</t>
  </si>
  <si>
    <t>3ecdcd82-6b30-4518-bdf9-92de5833caee</t>
  </si>
  <si>
    <t>4bf2f68f-20e5-44ce-b073-a31953b2f646</t>
  </si>
  <si>
    <t>942d2eb9-a841-4b19-96c3-a9aaa73b0dcf</t>
  </si>
  <si>
    <t>7a826762-3889-4043-9425-363df5f6101d</t>
  </si>
  <si>
    <t>5bdd1ffb-85eb-4072-941e-226eaecebb1f</t>
  </si>
  <si>
    <t>4e5b7ae7-5341-4435-8da8-fa5ed89b6905</t>
  </si>
  <si>
    <t>453062fa-f96e-42e4-add5-d15c812fc141</t>
  </si>
  <si>
    <t>e1ca1603-7399-4ae4-a7cd-d5015c433e8c</t>
  </si>
  <si>
    <t>044bdda9-adf7-4025-b77d-0160e4e834c2</t>
  </si>
  <si>
    <t>eb9b4903-d0df-4a68-bec9-00583ed78f33</t>
  </si>
  <si>
    <t>0c687ecc-cabf-48dd-83cd-b6fa50e11fcb</t>
  </si>
  <si>
    <t>8ded7e5a-b0e0-4d18-a3cf-5ad8cd5fea52</t>
  </si>
  <si>
    <t>f99cee77-ac7d-4d8b-936e-93ada7836e1b</t>
  </si>
  <si>
    <t>c8b825f5-3188-4c38-a4cd-8dd1952d3e20</t>
  </si>
  <si>
    <t>1ccbd292-a4e3-4ac4-bf08-565e66f30fe6</t>
  </si>
  <si>
    <t>c9e10069-780c-4853-aa6f-092a425f2663</t>
  </si>
  <si>
    <t>36096b3d-97e7-4b1e-89bd-660289a7a62d</t>
  </si>
  <si>
    <t>9fa0a981-d220-4f8a-99c2-5321c42f070f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</si>
  <si>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</si>
  <si>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</si>
  <si>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</si>
  <si>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</si>
  <si>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</si>
  <si>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</si>
  <si>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</si>
  <si>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</si>
  <si>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</si>
  <si>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</si>
  <si>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</si>
  <si>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</si>
  <si>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</si>
  <si>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</si>
  <si>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</si>
  <si>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</si>
  <si>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</si>
  <si>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</si>
  <si>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</si>
  <si>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</si>
  <si>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</si>
  <si>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</si>
  <si>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</si>
  <si>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90fdf7b8-8547-4d7d-b7c1-a1a93117fcee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</si>
  <si>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</si>
  <si>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</si>
  <si>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</si>
  <si>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</si>
  <si>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</si>
  <si>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8aad10e5-1d3b-4014-8652-861f974b5dc4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</si>
  <si>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</si>
  <si>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</si>
  <si>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</si>
  <si>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</si>
  <si>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</si>
  <si>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</si>
  <si>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</si>
  <si>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76c63206-8f06-45f1-9973-be2cda8dc4fa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</si>
  <si>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</si>
  <si>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</si>
  <si>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</si>
  <si>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</si>
  <si>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</si>
  <si>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c56cdb33-b1fd-4d8b-9b63-db54333910a8</t>
  </si>
  <si>
    <t>7391b4e2-f7fe-41dd-bb58-eddcce0ea92d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</si>
  <si>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</si>
  <si>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</si>
  <si>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</si>
  <si>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</si>
  <si>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</si>
  <si>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</si>
  <si>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b5c327ed-2316-4b1e-98e4-5e0a31943bef</t>
  </si>
  <si>
    <t>e3c54e03-73c7-418d-9672-f3eda66c4f4f</t>
  </si>
  <si>
    <t>9a378a11-d17c-486f-bdc8-2ce117215d6b</t>
  </si>
  <si>
    <t>b48dacc4-9a81-4817-9efc-62f4678f632b</t>
  </si>
  <si>
    <t>bcb7a8a2-54b9-4d2e-907d-066d7db1332f</t>
  </si>
  <si>
    <t>3569687c-9c83-4902-8499-07554a9de12b</t>
  </si>
  <si>
    <t>477346c7-4293-4c1b-a712-89be53157e28</t>
  </si>
  <si>
    <t>0c83cac3-592e-4d36-a601-b4e50af8e96e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</si>
  <si>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</si>
  <si>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</si>
  <si>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</si>
  <si>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</si>
  <si>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</si>
  <si>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</si>
  <si>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</si>
  <si>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</si>
  <si>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</si>
  <si>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</si>
  <si>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</si>
  <si>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</si>
  <si>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</si>
  <si>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</si>
  <si>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</si>
  <si>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</si>
  <si>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</si>
  <si>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</si>
  <si>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</si>
  <si>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</si>
  <si>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</si>
  <si>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</si>
  <si>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</si>
  <si>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</si>
  <si>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</si>
  <si>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</si>
  <si>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</si>
  <si>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</si>
  <si>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</si>
  <si>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</si>
  <si>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</si>
  <si>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9bf42874-90b7-44b2-8567-0b26b2ce7f77</t>
  </si>
  <si>
    <t>48cdef94-bd16-4df1-98fc-50fc3efae88e</t>
  </si>
  <si>
    <t>bdc8384b-c937-4c0b-b2a5-8e3d755c8d7b</t>
  </si>
  <si>
    <t>c746e142-7048-4f4d-b3ff-294bc3673b3c</t>
  </si>
  <si>
    <t>9f11cce9-12a9-48ff-a776-62aa7f6beebf</t>
  </si>
  <si>
    <t>2f026faa-1ea6-47b1-8be0-c69631b988f6</t>
  </si>
  <si>
    <t>7b2a256c-be3f-4f98-b797-f9f38f075a66</t>
  </si>
  <si>
    <t>a02537d3-16b1-4a7a-a8a0-e7cf0ff98e6c</t>
  </si>
  <si>
    <t>3e28b8e1-eec6-4c4a-8b1b-d718535bc995</t>
  </si>
  <si>
    <t>c8d35d40-d82a-4eed-9768-c09e61f8fe68</t>
  </si>
  <si>
    <t>eef2c01f-7676-48e3-96d2-5d965f7efbd7</t>
  </si>
  <si>
    <t>7a4ecabe-6d54-4609-a0f0-17b20b1622a9</t>
  </si>
  <si>
    <t>4a38f197-1e4a-49f9-bc02-7563c7663f69</t>
  </si>
  <si>
    <t>ee5f9ebe-0bc7-4be2-ba09-07329fb9f0f9</t>
  </si>
  <si>
    <t>70e8b7c3-5c89-43d9-91b2-54c5f82e6aeb</t>
  </si>
  <si>
    <t>b2e263f2-7ca6-4def-ae66-425aca9a44ce</t>
  </si>
  <si>
    <t>1c9b370f-8dce-4135-af08-8fdea9fcc3fa</t>
  </si>
  <si>
    <t>fe12ac96-f1c9-4ee1-8564-7b9c407be684</t>
  </si>
  <si>
    <t>016cec7a-d077-4efa-8ce1-01cb0c3f14ce</t>
  </si>
  <si>
    <t>6d3ed03d-9b0f-4730-857f-2c31484bcb0c</t>
  </si>
  <si>
    <t>d05982f1-bfcd-418f-add8-afcdd79c1e02</t>
  </si>
  <si>
    <t>597d860d-c890-4f31-b476-f8996bb8fdc4</t>
  </si>
  <si>
    <t>ce0e117f-d104-4681-82cb-4bbe32ca48dd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</si>
  <si>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</si>
  <si>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</si>
  <si>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</si>
  <si>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</si>
  <si>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</si>
  <si>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</si>
  <si>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</si>
  <si>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</si>
  <si>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</si>
  <si>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</si>
  <si>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</si>
  <si>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</si>
  <si>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</si>
  <si>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</si>
  <si>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</si>
  <si>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</si>
  <si>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</si>
  <si>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</si>
  <si>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</si>
  <si>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</si>
  <si>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</si>
  <si>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</si>
  <si>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8cd8a9f1-ee07-4ba2-a0f8-87aa31435c90</t>
  </si>
  <si>
    <t>baba73db-8398-4d46-be16-3344448fc21f</t>
  </si>
  <si>
    <t>22702252-ce3f-49f3-b62b-92022bf4c7fb</t>
  </si>
  <si>
    <t>dabfeeab-b80c-41ab-90ae-8d3549d3c72b</t>
  </si>
  <si>
    <t>df9f570e-c620-4065-a045-1fdb1441d8ca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</si>
  <si>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</si>
  <si>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</si>
  <si>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</si>
  <si>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</si>
  <si>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</si>
  <si>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d75c5d50-9703-4571-85e9-37c19de411c5</t>
  </si>
  <si>
    <t>87630839-daf3-4eab-9d2a-f53837fbb87a</t>
  </si>
  <si>
    <t>9d6258bf-f326-4fa5-8d51-c61c4e09ea84</t>
  </si>
  <si>
    <t>ceb55b24-7481-4290-a522-f9455d6f051c</t>
  </si>
  <si>
    <t>30e80eb8-22e8-43b1-a927-6c98e5d1ff3c</t>
  </si>
  <si>
    <t>561f4e5e-1c14-48f6-a973-f88429fdc265</t>
  </si>
  <si>
    <t>e18f7cf9-0093-4946-a878-e239f14f2db7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</si>
  <si>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</si>
  <si>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</si>
  <si>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</si>
  <si>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</si>
  <si>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</si>
  <si>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</si>
  <si>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</si>
  <si>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</si>
  <si>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</si>
  <si>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</si>
  <si>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</si>
  <si>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</si>
  <si>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09c6f224-cf1f-4c50-b3ac-30c93dc5ff28</t>
  </si>
  <si>
    <t>ca4f90bc-7222-4792-9061-6b30772818bf</t>
  </si>
  <si>
    <t>073e047d-fe1a-4d74-87e8-27fc569a9052</t>
  </si>
  <si>
    <t>f2c78905-f5de-4b37-97db-2b169ffb76a7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</si>
  <si>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</si>
  <si>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</si>
  <si>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</si>
  <si>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</si>
  <si>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</si>
  <si>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</si>
  <si>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</si>
  <si>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</si>
  <si>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</si>
  <si>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</si>
  <si>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</si>
  <si>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</si>
  <si>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</si>
  <si>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</si>
  <si>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</si>
  <si>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</si>
  <si>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</si>
  <si>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</si>
  <si>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</si>
  <si>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</si>
  <si>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</si>
  <si>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</si>
  <si>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</si>
  <si>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</si>
  <si>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</si>
  <si>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</si>
  <si>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</si>
  <si>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</si>
  <si>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</si>
  <si>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>ffbd01e5-5886-47fa-82e7-0c29cb14f30f</t>
  </si>
  <si>
    <t>5f88aa1b-7526-47b4-99cf-51671f27817c</t>
  </si>
  <si>
    <t>7d0315cd-ebd7-4580-b1fd-5396d5719556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</si>
  <si>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</si>
  <si>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</si>
  <si>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</si>
  <si>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</si>
  <si>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</si>
  <si>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</si>
  <si>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</si>
  <si>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</si>
  <si>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</si>
  <si>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</si>
  <si>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</si>
  <si>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</si>
  <si>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</si>
  <si>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</si>
  <si>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</si>
  <si>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</si>
  <si>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</si>
  <si>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</si>
  <si>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</si>
  <si>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</si>
  <si>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</si>
  <si>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cf3d93fb-6762-4a14-afa9-05b252698f34</t>
  </si>
  <si>
    <t>03709adc-3272-4711-9845-70f4cb09550a</t>
  </si>
  <si>
    <t>edfb58ce-4aaa-4ab9-a448-caba8034a937</t>
  </si>
  <si>
    <t>de7e5f8e-bdf9-4eaa-8266-9e16da5be3c2</t>
  </si>
  <si>
    <t>884afe37-a98f-4454-ac38-512e49de8002</t>
  </si>
  <si>
    <t>5f8d13d9-fc42-491d-beb7-6872bb2e8b8e</t>
  </si>
  <si>
    <t>f48c2e72-a017-483f-8bd2-c260d081cbee</t>
  </si>
  <si>
    <t>42790d99-2adc-4eee-9c18-1937c3b43424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</si>
  <si>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</si>
  <si>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</si>
  <si>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</si>
  <si>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</si>
  <si>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</si>
  <si>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</si>
  <si>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09c612b9-a6f2-4a03-9901-160dbc03b4a9</t>
  </si>
  <si>
    <t>17f9fb19-deb1-4746-a388-491b55556cc3</t>
  </si>
  <si>
    <t>0cdf50b9-efc7-4577-8bf6-6ff6ffdf86c1</t>
  </si>
  <si>
    <t>55ee39ef-0a44-4b79-8154-a512c22bdb97</t>
  </si>
  <si>
    <t>bb433d07-83ce-45b4-95aa-88f6da823bbe</t>
  </si>
  <si>
    <t>1a5685b7-450d-44c6-9390-2e16387f7cd8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</si>
  <si>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</si>
  <si>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</si>
  <si>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</si>
  <si>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</si>
  <si>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</si>
  <si>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</si>
  <si>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>1818da89-2018-4750-b7e4-70ba4d13e86a</t>
  </si>
  <si>
    <t>96014749-34d9-4449-9a6d-874b6b762986</t>
  </si>
  <si>
    <t>8d3fe0d8-97d9-4e39-9d69-a030e72ba161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</si>
  <si>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</si>
  <si>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</si>
  <si>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</si>
  <si>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</si>
  <si>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</si>
  <si>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f4f1de27-a30b-41c6-9357-79a73a23ed12</t>
  </si>
  <si>
    <t>6d385ad8-34ab-4eb7-8364-97a516c00e3a</t>
  </si>
  <si>
    <t>37e59c53-92cc-4abb-a7d4-918188a8c485</t>
  </si>
  <si>
    <t>d0a8be34-eef9-4005-beb5-cfb5b0468222</t>
  </si>
  <si>
    <t>86b76475-e158-42ee-a94b-ac9f7916ebf3</t>
  </si>
  <si>
    <t>6c301164-4828-4de3-9a2c-767bf95e9c23</t>
  </si>
  <si>
    <t>a7802168-2b18-49ef-b6a5-a88de894c9b1</t>
  </si>
  <si>
    <t>e8ddad09-0042-42d4-93aa-b45dd89fbddd</t>
  </si>
  <si>
    <t>a7f14ec6-d7f1-41c1-8a88-69fd6a5d807b</t>
  </si>
  <si>
    <t>efe184e6-8ff3-437b-9990-9cd1870cadf3</t>
  </si>
  <si>
    <t>c89321f5-ed4f-47b7-a45b-198cf02fedd8</t>
  </si>
  <si>
    <t>2a01b536-ed56-49a8-b2b6-b07f131cb7dd</t>
  </si>
  <si>
    <t>3d31b81f-ea84-4e18-8b0d-2027e26a4ca4</t>
  </si>
  <si>
    <t>d532715b-a0ea-4ceb-8b35-71f5a626815e</t>
  </si>
  <si>
    <t>023fa202-c60a-4d28-9961-3fe45d280800</t>
  </si>
  <si>
    <t>121f643b-6e0c-47c6-87b6-b9a924207efa</t>
  </si>
  <si>
    <t>314a1015-c9e0-4fd1-bc2f-f210436d1a62</t>
  </si>
  <si>
    <t>eb62bb6a-89db-4c1e-81ee-219ca7dff471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</si>
  <si>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</si>
  <si>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</si>
  <si>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</si>
  <si>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</si>
  <si>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</si>
  <si>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</si>
  <si>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a7f73a96-01e2-457e-846e-5c8d18d4221a</t>
  </si>
  <si>
    <t>8e3e3601-6f19-4818-8915-4c3e3f58c2fd</t>
  </si>
  <si>
    <t>ceeff234-9aa8-494f-9935-e1a963b27960</t>
  </si>
  <si>
    <t>14caac2b-1ab5-4625-adce-733b26643f70</t>
  </si>
  <si>
    <t>ab46b1a7-f937-4ba9-ac98-270344120cf7</t>
  </si>
  <si>
    <t>d3291318-0960-44db-beb2-cae8cf8029d4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</si>
  <si>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</si>
  <si>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</si>
  <si>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</si>
  <si>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</si>
  <si>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</si>
  <si>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</si>
  <si>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>4e3eee3d-4f66-4a08-8060-154c1cbc29fc</t>
  </si>
  <si>
    <t>21a58539-2489-4b5a-8606-b7a64e606fec</t>
  </si>
  <si>
    <t>c6abf067-c8b9-44f9-be06-4271cb13e550</t>
  </si>
  <si>
    <t>907ae5a2-9fe1-4093-9d47-94af6af76f0e</t>
  </si>
  <si>
    <t>b36af03c-aabf-4817-a356-cba3f9b80aa0</t>
  </si>
  <si>
    <t>44836e28-1f4b-428f-aea6-073ab6437c68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</si>
  <si>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</si>
  <si>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</si>
  <si>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</si>
  <si>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</si>
  <si>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</si>
  <si>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</si>
  <si>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</si>
  <si>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</si>
  <si>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</si>
  <si>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</si>
  <si>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</si>
  <si>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</si>
  <si>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</si>
  <si>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</si>
  <si>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</si>
  <si>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</si>
  <si>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>277f0c8d-3100-4734-acde-eabfda554112</t>
  </si>
  <si>
    <t>d52fe572-9db8-419c-91c9-33ec04025163</t>
  </si>
  <si>
    <t>ea4d01b3-bfe1-4759-b165-10a3043c7257</t>
  </si>
  <si>
    <t>b96bd37d-f920-4e89-8707-53349a8a3e6c</t>
  </si>
  <si>
    <t>e15c3081-4cec-4988-ae46-073d7ef52a61</t>
  </si>
  <si>
    <t>279c0b13-4338-47e8-8387-5e2abd791216</t>
  </si>
  <si>
    <t>9078506e-5fe4-461c-a420-66321502c708</t>
  </si>
  <si>
    <t>d7887c0c-decc-4fb2-adb2-f6f65c6d4f15</t>
  </si>
  <si>
    <t>e7bbc5c3-bd7a-4803-a170-7eaa2d8de78a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</si>
  <si>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</si>
  <si>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</si>
  <si>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</si>
  <si>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</si>
  <si>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</si>
  <si>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</si>
  <si>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</si>
  <si>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</si>
  <si>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</si>
  <si>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</si>
  <si>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</si>
  <si>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</si>
  <si>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</si>
  <si>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</si>
  <si>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</si>
  <si>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</si>
  <si>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</si>
  <si>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</si>
  <si>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</si>
  <si>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</si>
  <si>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</si>
  <si>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</si>
  <si>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</si>
  <si>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</si>
  <si>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</si>
  <si>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</si>
  <si>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</si>
  <si>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</si>
  <si>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</si>
  <si>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</si>
  <si>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</si>
  <si>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</si>
  <si>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</si>
  <si>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</si>
  <si>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</si>
  <si>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</si>
  <si>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</si>
  <si>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</si>
  <si>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</si>
  <si>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</si>
  <si>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</si>
  <si>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</si>
  <si>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30f76659-bfdf-42a3-9468-7deab5c7628c</t>
  </si>
  <si>
    <t>e912ddc2-7e6b-4bdb-9789-f018e98d545f</t>
  </si>
  <si>
    <t>287ed51c-6930-4d09-8110-f2632691d379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</si>
  <si>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</si>
  <si>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</si>
  <si>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</si>
  <si>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</si>
  <si>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</si>
  <si>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</si>
  <si>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</si>
  <si>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</si>
  <si>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</si>
  <si>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</si>
  <si>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</si>
  <si>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</si>
  <si>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</si>
  <si>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</si>
  <si>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>33fe01b7-03a2-4b28-a52a-5614a33e5cd6</t>
  </si>
  <si>
    <t>13e096cd-097c-4b51-8c32-c57776e6d263</t>
  </si>
  <si>
    <t>f07498c8-c9ae-463f-8c8a-2736112aff77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</si>
  <si>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</si>
  <si>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</si>
  <si>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</si>
  <si>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</si>
  <si>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</si>
  <si>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</si>
  <si>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</si>
  <si>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</si>
  <si>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</si>
  <si>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</si>
  <si>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</si>
  <si>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</si>
  <si>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</si>
  <si>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</si>
  <si>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</si>
  <si>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</si>
  <si>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</si>
  <si>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</si>
  <si>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</si>
  <si>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</si>
  <si>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</si>
  <si>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</si>
  <si>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</si>
  <si>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</si>
  <si>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>fd1688de-094b-43e1-a37c-94c0f457636d</t>
  </si>
  <si>
    <t>91378b9c-ca3a-4c12-a0dc-1394d30be104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</si>
  <si>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</si>
  <si>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</si>
  <si>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</si>
  <si>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</si>
  <si>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</si>
  <si>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</si>
  <si>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</si>
  <si>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</si>
  <si>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</si>
  <si>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</si>
  <si>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</si>
  <si>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</si>
  <si>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</si>
  <si>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</si>
  <si>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</si>
  <si>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</si>
  <si>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</si>
  <si>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</si>
  <si>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</si>
  <si>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</si>
  <si>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</si>
  <si>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</si>
  <si>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</si>
  <si>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</si>
  <si>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</si>
  <si>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</si>
  <si>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</si>
  <si>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</si>
  <si>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</si>
  <si>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</si>
  <si>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</si>
  <si>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</si>
  <si>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</si>
  <si>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</si>
  <si>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</si>
  <si>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</si>
  <si>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</si>
  <si>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</si>
  <si>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</si>
  <si>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</si>
  <si>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</si>
  <si>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</si>
  <si>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</si>
  <si>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</si>
  <si>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</si>
  <si>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</si>
  <si>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</si>
  <si>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</si>
  <si>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</si>
  <si>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</si>
  <si>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</si>
  <si>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</si>
  <si>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</si>
  <si>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</si>
  <si>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e32dd752-4b67-4d08-8a23-3970d69c0266</t>
  </si>
  <si>
    <t>d1d30005-1f5e-4aed-aa30-e56fd3d50f88</t>
  </si>
  <si>
    <t>144df0a2-30a3-4224-8d51-4a04563e2bd0</t>
  </si>
  <si>
    <t>4d35c0ce-d663-4b9f-a2ee-fe39e6006659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</si>
  <si>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</si>
  <si>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</si>
  <si>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</si>
  <si>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</si>
  <si>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</si>
  <si>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</si>
  <si>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98abffdc-c2d7-4416-8893-b081628d8767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</si>
  <si>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</si>
  <si>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</si>
  <si>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</si>
  <si>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</si>
  <si>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</si>
  <si>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</si>
  <si>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</si>
  <si>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</si>
  <si>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</si>
  <si>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</si>
  <si>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</si>
  <si>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</si>
  <si>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</si>
  <si>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</si>
  <si>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</si>
  <si>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</si>
  <si>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</si>
  <si>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</si>
  <si>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</si>
  <si>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</si>
  <si>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</si>
  <si>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</si>
  <si>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</si>
  <si>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</si>
  <si>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>040a5b08-32b2-40db-a2bd-09a0d85e2c75</t>
  </si>
  <si>
    <t>d39c970b-ed77-43a5-9bdc-672aa33cbf39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</si>
  <si>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</si>
  <si>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</si>
  <si>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</si>
  <si>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</si>
  <si>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</si>
  <si>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</si>
  <si>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</si>
  <si>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</si>
  <si>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</si>
  <si>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</si>
  <si>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</si>
  <si>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</si>
  <si>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</si>
  <si>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</si>
  <si>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</si>
  <si>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</si>
  <si>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</si>
  <si>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</si>
  <si>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</si>
  <si>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</si>
  <si>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</si>
  <si>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</si>
  <si>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</si>
  <si>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</si>
  <si>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</si>
  <si>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</si>
  <si>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</si>
  <si>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</si>
  <si>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</si>
  <si>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</si>
  <si>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</si>
  <si>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</si>
  <si>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</si>
  <si>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</si>
  <si>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>dc696953-fa56-4593-9a55-0b3a15c837b2</t>
  </si>
  <si>
    <t>16acb987-ed6d-4981-bccf-bc996c633135</t>
  </si>
  <si>
    <t>4cd8f95a-1974-4201-9bb3-c4407dae8b2b</t>
  </si>
  <si>
    <t>404b9a82-1fb5-4fe8-9e9c-a1bfe38b2c7c</t>
  </si>
  <si>
    <t>358f1ac4-3cee-4790-becf-462f7c01e5de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</si>
  <si>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</si>
  <si>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</si>
  <si>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</si>
  <si>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</si>
  <si>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</si>
  <si>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</si>
  <si>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</si>
  <si>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</si>
  <si>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</si>
  <si>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</si>
  <si>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</si>
  <si>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</si>
  <si>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</si>
  <si>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>2b8ce339-04fe-4247-b357-fc1ea38eccf7</t>
  </si>
  <si>
    <t>55df5dac-6c24-4b89-ba00-41b1d89c2258</t>
  </si>
  <si>
    <t>cd840ed8-f67f-43da-98b8-228af20f19c6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</si>
  <si>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</si>
  <si>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</si>
  <si>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</si>
  <si>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</si>
  <si>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</si>
  <si>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</si>
  <si>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</si>
  <si>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</si>
  <si>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</si>
  <si>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</si>
  <si>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</si>
  <si>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>823293b1-6fea-4db4-b406-2d68e574715b</t>
  </si>
  <si>
    <t>780a5a3e-61e6-4473-b00d-a4109f2361a6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</si>
  <si>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</si>
  <si>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</si>
  <si>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</si>
  <si>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</si>
  <si>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</si>
  <si>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</si>
  <si>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</si>
  <si>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</si>
  <si>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</si>
  <si>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</si>
  <si>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</si>
  <si>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</si>
  <si>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>3f8e5612-feb2-4743-8b6a-7beb018ad41c</t>
  </si>
  <si>
    <t>d2e7d8bf-d1ad-40b3-9d17-45e0aa8fcb9b</t>
  </si>
  <si>
    <t>53049afb-6bac-44f9-91b4-ba3f7e263920</t>
  </si>
  <si>
    <t>d387058f-3b39-48ab-9eea-10e3c70ede07</t>
  </si>
  <si>
    <t>cf1765cc-be60-4fe6-8b18-249245fa037a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</si>
  <si>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</si>
  <si>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</si>
  <si>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</si>
  <si>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</si>
  <si>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</si>
  <si>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</si>
  <si>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</si>
  <si>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</si>
  <si>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</si>
  <si>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</si>
  <si>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</si>
  <si>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</si>
  <si>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</si>
  <si>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</si>
  <si>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</si>
  <si>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</si>
  <si>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</si>
  <si>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</si>
  <si>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>cc698d70-1b24-4b4a-b886-e835a29e22a3</t>
  </si>
  <si>
    <t>716d4bf3-6479-428d-9979-904aaf7a453c</t>
  </si>
  <si>
    <t>00fa638b-e857-458f-a849-f76e374cc2c3</t>
  </si>
  <si>
    <t>379e73c5-b1e9-4d58-b345-84f54fe43385</t>
  </si>
  <si>
    <t>1a7a407e-f91c-44ea-80ed-f5f4f890a394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</si>
  <si>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</si>
  <si>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</si>
  <si>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</si>
  <si>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</si>
  <si>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</si>
  <si>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</si>
  <si>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</si>
  <si>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</si>
  <si>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</si>
  <si>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</si>
  <si>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</si>
  <si>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</si>
  <si>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</si>
  <si>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</si>
  <si>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</si>
  <si>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</si>
  <si>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</si>
  <si>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</si>
  <si>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</si>
  <si>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</si>
  <si>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</si>
  <si>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</si>
  <si>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</si>
  <si>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</si>
  <si>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</si>
  <si>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</si>
  <si>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</si>
  <si>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</si>
  <si>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</si>
  <si>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</si>
  <si>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</si>
  <si>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</si>
  <si>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</si>
  <si>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</si>
  <si>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</si>
  <si>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</si>
  <si>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</si>
  <si>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</si>
  <si>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</si>
  <si>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</si>
  <si>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</si>
  <si>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</si>
  <si>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</si>
  <si>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</si>
  <si>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</si>
  <si>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</si>
  <si>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</si>
  <si>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</si>
  <si>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</si>
  <si>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</si>
  <si>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</si>
  <si>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</si>
  <si>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</si>
  <si>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</si>
  <si>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</si>
  <si>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</si>
  <si>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</si>
  <si>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>666c0266-76b1-4f00-934e-6047498e61be</t>
  </si>
  <si>
    <t>173c7174-1d5e-4e59-bdee-354b32a171c5</t>
  </si>
  <si>
    <t>21ae217c-b415-4102-b033-9e99c04cb2e5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</si>
  <si>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</si>
  <si>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</si>
  <si>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</si>
  <si>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</si>
  <si>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</si>
  <si>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</si>
  <si>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</si>
  <si>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</si>
  <si>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</si>
  <si>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</si>
  <si>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</si>
  <si>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</si>
  <si>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</si>
  <si>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</si>
  <si>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</si>
  <si>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</si>
  <si>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</si>
  <si>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</si>
  <si>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</si>
  <si>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</si>
  <si>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</si>
  <si>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</si>
  <si>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</si>
  <si>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</si>
  <si>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</si>
  <si>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</si>
  <si>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</si>
  <si>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</si>
  <si>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</si>
  <si>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</si>
  <si>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</si>
  <si>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</si>
  <si>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</si>
  <si>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</si>
  <si>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</si>
  <si>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</si>
  <si>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</si>
  <si>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</si>
  <si>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</si>
  <si>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</si>
  <si>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</si>
  <si>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</si>
  <si>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</si>
  <si>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</si>
  <si>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</si>
  <si>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</si>
  <si>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</si>
  <si>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</si>
  <si>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</si>
  <si>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</si>
  <si>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</si>
  <si>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</si>
  <si>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</si>
  <si>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</si>
  <si>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</si>
  <si>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</si>
  <si>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</si>
  <si>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</si>
  <si>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</si>
  <si>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</si>
  <si>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</si>
  <si>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</si>
  <si>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</si>
  <si>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</si>
  <si>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</si>
  <si>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</si>
  <si>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</si>
  <si>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</si>
  <si>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</si>
  <si>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</si>
  <si>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</si>
  <si>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</si>
  <si>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</si>
  <si>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</si>
  <si>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</si>
  <si>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</si>
  <si>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</si>
  <si>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</si>
  <si>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</si>
  <si>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</si>
  <si>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</si>
  <si>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</si>
  <si>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</si>
  <si>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</si>
  <si>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</si>
  <si>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</si>
  <si>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</si>
  <si>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</si>
  <si>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</si>
  <si>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</si>
  <si>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</si>
  <si>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</si>
  <si>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</si>
  <si>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</si>
  <si>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</si>
  <si>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</si>
  <si>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</si>
  <si>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</si>
  <si>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</si>
  <si>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</si>
  <si>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</si>
  <si>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</si>
  <si>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</si>
  <si>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</si>
  <si>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</si>
  <si>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</si>
  <si>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</si>
  <si>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</si>
  <si>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</si>
  <si>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</si>
  <si>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</si>
  <si>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</si>
  <si>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</si>
  <si>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</si>
  <si>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</si>
  <si>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</si>
  <si>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</si>
  <si>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</si>
  <si>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</si>
  <si>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</si>
  <si>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</si>
  <si>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</si>
  <si>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</si>
  <si>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</si>
  <si>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</si>
  <si>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</si>
  <si>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</si>
  <si>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</si>
  <si>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</si>
  <si>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</si>
  <si>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</si>
  <si>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</si>
  <si>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</si>
  <si>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</si>
  <si>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</si>
  <si>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</si>
  <si>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</si>
  <si>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</si>
  <si>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</si>
  <si>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</si>
  <si>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</si>
  <si>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</si>
  <si>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</si>
  <si>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</si>
  <si>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</si>
  <si>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</si>
  <si>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</si>
  <si>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</si>
  <si>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</si>
  <si>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</si>
  <si>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</si>
  <si>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</si>
  <si>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</si>
  <si>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</si>
  <si>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</si>
  <si>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</si>
  <si>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</si>
  <si>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</si>
  <si>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</si>
  <si>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</si>
  <si>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</si>
  <si>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</si>
  <si>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</si>
  <si>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</si>
  <si>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</si>
  <si>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</si>
  <si>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</si>
  <si>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</si>
  <si>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</si>
  <si>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</si>
  <si>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</si>
  <si>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</si>
  <si>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</si>
  <si>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</si>
  <si>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</si>
  <si>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</si>
  <si>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</si>
  <si>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</si>
  <si>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</si>
  <si>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</si>
  <si>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</si>
  <si>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</si>
  <si>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</si>
  <si>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</si>
  <si>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</si>
  <si>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</si>
  <si>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</si>
  <si>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</si>
  <si>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</si>
  <si>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</si>
  <si>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</si>
  <si>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</si>
  <si>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</si>
  <si>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</si>
  <si>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</si>
  <si>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</si>
  <si>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</si>
  <si>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</si>
  <si>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</si>
  <si>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</si>
  <si>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</si>
  <si>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</si>
  <si>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</si>
  <si>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</si>
  <si>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</si>
  <si>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</si>
  <si>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</si>
  <si>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</si>
  <si>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</si>
  <si>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</si>
  <si>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</si>
  <si>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</si>
  <si>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</si>
  <si>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</si>
  <si>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</si>
  <si>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</si>
  <si>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</si>
  <si>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</si>
  <si>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</si>
  <si>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</si>
  <si>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</si>
  <si>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</si>
  <si>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</si>
  <si>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</si>
  <si>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</si>
  <si>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</si>
  <si>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</si>
  <si>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</si>
  <si>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</si>
  <si>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</si>
  <si>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</si>
  <si>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</si>
  <si>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</si>
  <si>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</si>
  <si>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</si>
  <si>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</si>
  <si>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</si>
  <si>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</si>
  <si>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</si>
  <si>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</si>
  <si>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</si>
  <si>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</si>
  <si>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</si>
  <si>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</si>
  <si>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</si>
  <si>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</si>
  <si>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</si>
  <si>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</si>
  <si>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</si>
  <si>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</si>
  <si>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</si>
  <si>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</si>
  <si>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</si>
  <si>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</si>
  <si>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</si>
  <si>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</si>
  <si>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</si>
  <si>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</si>
  <si>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</si>
  <si>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</si>
  <si>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</si>
  <si>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</si>
  <si>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</si>
  <si>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</si>
  <si>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</si>
  <si>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</si>
  <si>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</si>
  <si>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</si>
  <si>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</si>
  <si>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</si>
  <si>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</si>
  <si>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</si>
  <si>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</si>
  <si>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</si>
  <si>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</si>
  <si>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</si>
  <si>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</si>
  <si>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</si>
  <si>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</si>
  <si>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</si>
  <si>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</si>
  <si>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</si>
  <si>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</si>
  <si>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</si>
  <si>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</si>
  <si>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</si>
  <si>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</si>
  <si>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</si>
  <si>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</si>
  <si>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</si>
  <si>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</si>
  <si>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</si>
  <si>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</si>
  <si>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</si>
  <si>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</si>
  <si>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</si>
  <si>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</si>
  <si>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</si>
  <si>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</si>
  <si>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</si>
  <si>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</si>
  <si>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</si>
  <si>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</si>
  <si>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</si>
  <si>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</si>
  <si>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</si>
  <si>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</si>
  <si>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</si>
  <si>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</si>
  <si>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</si>
  <si>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</si>
  <si>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</si>
  <si>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</si>
  <si>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</si>
  <si>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</si>
  <si>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</si>
  <si>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</si>
  <si>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</si>
  <si>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</si>
  <si>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</si>
  <si>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</si>
  <si>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</si>
  <si>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</si>
  <si>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</si>
  <si>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</si>
  <si>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</si>
  <si>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</si>
  <si>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</si>
  <si>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</si>
  <si>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</si>
  <si>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</si>
  <si>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</si>
  <si>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</si>
  <si>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</si>
  <si>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</si>
  <si>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</si>
  <si>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</si>
  <si>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</si>
  <si>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</si>
  <si>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</si>
  <si>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>442eacdb-5cef-4093-ab03-1d1c561eef1b</t>
  </si>
  <si>
    <t>66cce1d8-9e3d-484f-8849-971ee395e4d4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</si>
  <si>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</si>
  <si>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</si>
  <si>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</si>
  <si>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</si>
  <si>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</si>
  <si>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</si>
  <si>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</si>
  <si>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</si>
  <si>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</si>
  <si>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</si>
  <si>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</si>
  <si>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</si>
  <si>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</si>
  <si>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</si>
  <si>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</si>
  <si>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</si>
  <si>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</si>
  <si>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</si>
  <si>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</si>
  <si>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</si>
  <si>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</si>
  <si>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</si>
  <si>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</si>
  <si>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</si>
  <si>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</si>
  <si>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</si>
  <si>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</si>
  <si>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</si>
  <si>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</si>
  <si>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</si>
  <si>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</si>
  <si>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</si>
  <si>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</si>
  <si>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</si>
  <si>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</si>
  <si>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</si>
  <si>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</si>
  <si>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</si>
  <si>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</si>
  <si>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</si>
  <si>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</si>
  <si>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</si>
  <si>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</si>
  <si>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</si>
  <si>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</si>
  <si>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</si>
  <si>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</si>
  <si>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</si>
  <si>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</si>
  <si>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</si>
  <si>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</si>
  <si>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</si>
  <si>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</si>
  <si>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</si>
  <si>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</si>
  <si>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</si>
  <si>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</si>
  <si>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</si>
  <si>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</si>
  <si>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</si>
  <si>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</si>
  <si>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</si>
  <si>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</si>
  <si>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</si>
  <si>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</si>
  <si>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</si>
  <si>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</si>
  <si>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</si>
  <si>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</si>
  <si>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</si>
  <si>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</si>
  <si>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</si>
  <si>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</si>
  <si>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</si>
  <si>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</si>
  <si>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</si>
  <si>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</si>
  <si>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</si>
  <si>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</si>
  <si>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</si>
  <si>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</si>
  <si>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</si>
  <si>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</si>
  <si>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</si>
  <si>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</si>
  <si>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</si>
  <si>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</si>
  <si>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</si>
  <si>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</si>
  <si>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</si>
  <si>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187eb9b2-aaec-4360-8a20-195d00a39cb8</t>
  </si>
  <si>
    <t>26877bff-3569-4024-a7e2-af24ae637977</t>
  </si>
  <si>
    <t>22435cfd-b071-455f-901a-dd2a9d3eda3c</t>
  </si>
  <si>
    <t>47110b7f-da2c-4574-a1cf-dd1ea84ce804</t>
  </si>
  <si>
    <t>cd02c9c2-4702-4252-9e7c-5e7577942a3a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</si>
  <si>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</si>
  <si>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</si>
  <si>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</si>
  <si>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</si>
  <si>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</si>
  <si>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</si>
  <si>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</si>
  <si>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</si>
  <si>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</si>
  <si>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</si>
  <si>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</si>
  <si>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</si>
  <si>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</si>
  <si>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</si>
  <si>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</si>
  <si>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</si>
  <si>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</si>
  <si>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</si>
  <si>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>27e215bd-7daf-40ce-ace8-5b5568e62eed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</si>
  <si>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</si>
  <si>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</si>
  <si>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</si>
  <si>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</si>
  <si>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</si>
  <si>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</si>
  <si>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</si>
  <si>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</si>
  <si>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</si>
  <si>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</si>
  <si>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</si>
  <si>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</si>
  <si>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</si>
  <si>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</si>
  <si>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</si>
  <si>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</si>
  <si>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</si>
  <si>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</si>
  <si>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</si>
  <si>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</si>
  <si>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</si>
  <si>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</si>
  <si>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</si>
  <si>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</si>
  <si>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</si>
  <si>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</si>
  <si>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</si>
  <si>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</si>
  <si>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</si>
  <si>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</si>
  <si>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</si>
  <si>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</si>
  <si>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</si>
  <si>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</si>
  <si>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</si>
  <si>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</si>
  <si>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</si>
  <si>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</si>
  <si>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</si>
  <si>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</si>
  <si>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</si>
  <si>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</si>
  <si>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</si>
  <si>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</si>
  <si>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</si>
  <si>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</si>
  <si>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</si>
  <si>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</si>
  <si>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</si>
  <si>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</si>
  <si>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</si>
  <si>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</si>
  <si>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</si>
  <si>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</si>
  <si>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</si>
  <si>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</si>
  <si>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</si>
  <si>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</si>
  <si>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</si>
  <si>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</si>
  <si>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</si>
  <si>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</si>
  <si>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</si>
  <si>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</si>
  <si>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</si>
  <si>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</si>
  <si>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</si>
  <si>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</si>
  <si>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</si>
  <si>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</si>
  <si>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</si>
  <si>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</si>
  <si>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</si>
  <si>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</si>
  <si>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</si>
  <si>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</si>
  <si>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</si>
  <si>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</si>
  <si>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</si>
  <si>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</si>
  <si>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</si>
  <si>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</si>
  <si>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</si>
  <si>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</si>
  <si>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</si>
  <si>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</si>
  <si>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</si>
  <si>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</si>
  <si>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</si>
  <si>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</si>
  <si>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</si>
  <si>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</si>
  <si>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</si>
  <si>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</si>
  <si>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</si>
  <si>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</si>
  <si>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</si>
  <si>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</si>
  <si>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</si>
  <si>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</si>
  <si>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</si>
  <si>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</si>
  <si>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</si>
  <si>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</si>
  <si>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</si>
  <si>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</si>
  <si>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</si>
  <si>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</si>
  <si>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</si>
  <si>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</si>
  <si>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</si>
  <si>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</si>
  <si>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</si>
  <si>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</si>
  <si>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</si>
  <si>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</si>
  <si>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</si>
  <si>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</si>
  <si>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</si>
  <si>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</si>
  <si>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</si>
  <si>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</si>
  <si>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</si>
  <si>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</si>
  <si>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</si>
  <si>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</si>
  <si>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</si>
  <si>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</si>
  <si>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</si>
  <si>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</si>
  <si>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</si>
  <si>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</si>
  <si>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</si>
  <si>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</si>
  <si>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</si>
  <si>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</si>
  <si>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</si>
  <si>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</si>
  <si>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</si>
  <si>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</si>
  <si>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</si>
  <si>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</si>
  <si>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</si>
  <si>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</si>
  <si>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</si>
  <si>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</si>
  <si>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</si>
  <si>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</si>
  <si>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</si>
  <si>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</si>
  <si>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</si>
  <si>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</si>
  <si>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</si>
  <si>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</si>
  <si>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</si>
  <si>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</si>
  <si>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</si>
  <si>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</si>
  <si>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</si>
  <si>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</si>
  <si>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</si>
  <si>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</si>
  <si>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</si>
  <si>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</si>
  <si>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</si>
  <si>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</si>
  <si>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</si>
  <si>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</si>
  <si>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</si>
  <si>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</si>
  <si>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</si>
  <si>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</si>
  <si>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</si>
  <si>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</si>
  <si>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</si>
  <si>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</si>
  <si>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</si>
  <si>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</si>
  <si>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</si>
  <si>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</si>
  <si>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</si>
  <si>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>ad9257ea-3056-4867-a4d3-7b1938405649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</si>
  <si>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</si>
  <si>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</si>
  <si>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</si>
  <si>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</si>
  <si>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</si>
  <si>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</si>
  <si>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</si>
  <si>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</si>
  <si>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</si>
  <si>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</si>
  <si>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</si>
  <si>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</si>
  <si>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</si>
  <si>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</si>
  <si>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</si>
  <si>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</si>
  <si>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</si>
  <si>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</si>
  <si>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</si>
  <si>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</si>
  <si>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</si>
  <si>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</si>
  <si>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</si>
  <si>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</si>
  <si>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</si>
  <si>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</si>
  <si>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</si>
  <si>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</si>
  <si>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</si>
  <si>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</si>
  <si>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</si>
  <si>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</si>
  <si>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</si>
  <si>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</si>
  <si>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</si>
  <si>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</si>
  <si>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</si>
  <si>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</si>
  <si>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</si>
  <si>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</si>
  <si>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</si>
  <si>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</si>
  <si>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</si>
  <si>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</si>
  <si>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</si>
  <si>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</si>
  <si>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</si>
  <si>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</si>
  <si>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</si>
  <si>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</si>
  <si>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</si>
  <si>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</si>
  <si>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</si>
  <si>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</si>
  <si>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</si>
  <si>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</si>
  <si>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</si>
  <si>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</si>
  <si>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</si>
  <si>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</si>
  <si>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</si>
  <si>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</si>
  <si>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</si>
  <si>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</si>
  <si>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</si>
  <si>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</si>
  <si>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</si>
  <si>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</si>
  <si>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</si>
  <si>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</si>
  <si>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</si>
  <si>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</si>
  <si>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</si>
  <si>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</si>
  <si>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</si>
  <si>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</si>
  <si>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</si>
  <si>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</si>
  <si>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</si>
  <si>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</si>
  <si>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</si>
  <si>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</si>
  <si>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</si>
  <si>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</si>
  <si>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</si>
  <si>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</si>
  <si>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</si>
  <si>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</si>
  <si>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</si>
  <si>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</si>
  <si>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</si>
  <si>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</si>
  <si>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</si>
  <si>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</si>
  <si>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</si>
  <si>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</si>
  <si>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</si>
  <si>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</si>
  <si>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</si>
  <si>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</si>
  <si>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</si>
  <si>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</si>
  <si>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</si>
  <si>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</si>
  <si>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</si>
  <si>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</si>
  <si>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</si>
  <si>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</si>
  <si>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</si>
  <si>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</si>
  <si>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</si>
  <si>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</si>
  <si>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</si>
  <si>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</si>
  <si>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</si>
  <si>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</si>
  <si>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</si>
  <si>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</si>
  <si>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</si>
  <si>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</si>
  <si>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</si>
  <si>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</si>
  <si>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</si>
  <si>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</si>
  <si>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</si>
  <si>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</si>
  <si>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</si>
  <si>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</si>
  <si>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</si>
  <si>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</si>
  <si>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</si>
  <si>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</si>
  <si>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</si>
  <si>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</si>
  <si>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</si>
  <si>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</si>
  <si>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</si>
  <si>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</si>
  <si>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</si>
  <si>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</si>
  <si>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</si>
  <si>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</si>
  <si>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</si>
  <si>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</si>
  <si>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</si>
  <si>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</si>
  <si>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</si>
  <si>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</si>
  <si>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</si>
  <si>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</si>
  <si>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</si>
  <si>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</si>
  <si>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</si>
  <si>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</si>
  <si>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</si>
  <si>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</si>
  <si>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</si>
  <si>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</si>
  <si>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</si>
  <si>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</si>
  <si>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</si>
  <si>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</si>
  <si>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</si>
  <si>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</si>
  <si>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</si>
  <si>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</si>
  <si>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</si>
  <si>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</si>
  <si>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</si>
  <si>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</si>
  <si>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</si>
  <si>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</si>
  <si>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</si>
  <si>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</si>
  <si>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</si>
  <si>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</si>
  <si>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</si>
  <si>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</si>
  <si>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</si>
  <si>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</si>
  <si>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</si>
  <si>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</si>
  <si>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</si>
  <si>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</si>
  <si>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</si>
  <si>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</si>
  <si>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</si>
  <si>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</si>
  <si>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</si>
  <si>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</si>
  <si>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</si>
  <si>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</si>
  <si>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</si>
  <si>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</si>
  <si>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</si>
  <si>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</si>
  <si>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</si>
  <si>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</si>
  <si>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</si>
  <si>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</si>
  <si>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</si>
  <si>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</si>
  <si>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</si>
  <si>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</si>
  <si>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</si>
  <si>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</si>
  <si>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</si>
  <si>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</si>
  <si>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</si>
  <si>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</si>
  <si>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</si>
  <si>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</si>
  <si>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</si>
  <si>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</si>
  <si>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</si>
  <si>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</si>
  <si>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</si>
  <si>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</si>
  <si>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</si>
  <si>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</si>
  <si>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</si>
  <si>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</si>
  <si>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</si>
  <si>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</si>
  <si>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</si>
  <si>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</si>
  <si>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</si>
  <si>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</si>
  <si>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</si>
  <si>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</si>
  <si>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</si>
  <si>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</si>
  <si>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</si>
  <si>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</si>
  <si>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</si>
  <si>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</si>
  <si>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</si>
  <si>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</si>
  <si>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</si>
  <si>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</si>
  <si>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</si>
  <si>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</si>
  <si>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</si>
  <si>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</si>
  <si>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</si>
  <si>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</si>
  <si>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</si>
  <si>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</si>
  <si>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</si>
  <si>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</si>
  <si>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</si>
  <si>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</si>
  <si>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</si>
  <si>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</si>
  <si>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</si>
  <si>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</si>
  <si>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</si>
  <si>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</si>
  <si>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</si>
  <si>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</si>
  <si>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</si>
  <si>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</si>
  <si>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</si>
  <si>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</si>
  <si>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</si>
  <si>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</si>
  <si>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</si>
  <si>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</si>
  <si>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</si>
  <si>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</si>
  <si>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</si>
  <si>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</si>
  <si>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</si>
  <si>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</si>
  <si>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</si>
  <si>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</si>
  <si>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</si>
  <si>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</si>
  <si>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</si>
  <si>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</si>
  <si>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</si>
  <si>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</si>
  <si>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</si>
  <si>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</si>
  <si>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</si>
  <si>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</si>
  <si>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</si>
  <si>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</si>
  <si>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</si>
  <si>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</si>
  <si>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</si>
  <si>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</si>
  <si>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</si>
  <si>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</si>
  <si>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</si>
  <si>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</si>
  <si>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</si>
  <si>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</si>
  <si>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</si>
  <si>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</si>
  <si>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</si>
  <si>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</si>
  <si>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</si>
  <si>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</si>
  <si>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</si>
  <si>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</si>
  <si>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</si>
  <si>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</si>
  <si>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</si>
  <si>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</si>
  <si>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</si>
  <si>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</si>
  <si>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</si>
  <si>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</si>
  <si>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</si>
  <si>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</si>
  <si>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</si>
  <si>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</si>
  <si>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</si>
  <si>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</si>
  <si>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</si>
  <si>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</si>
  <si>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</si>
  <si>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</si>
  <si>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</si>
  <si>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</si>
  <si>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</si>
  <si>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</si>
  <si>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</si>
  <si>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</si>
  <si>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</si>
  <si>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</si>
  <si>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</si>
  <si>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</si>
  <si>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</si>
  <si>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</si>
  <si>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</si>
  <si>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</si>
  <si>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</si>
  <si>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</si>
  <si>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</si>
  <si>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</si>
  <si>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</si>
  <si>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</si>
  <si>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</si>
  <si>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</si>
  <si>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</si>
  <si>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</si>
  <si>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</si>
  <si>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</si>
  <si>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</si>
  <si>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</si>
  <si>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</si>
  <si>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</si>
  <si>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</si>
  <si>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</si>
  <si>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</si>
  <si>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</si>
  <si>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</si>
  <si>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</si>
  <si>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</si>
  <si>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</si>
  <si>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</si>
  <si>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</si>
  <si>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</si>
  <si>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</si>
  <si>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</si>
  <si>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</si>
  <si>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</si>
  <si>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</si>
  <si>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</si>
  <si>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</si>
  <si>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</si>
  <si>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</si>
  <si>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</si>
  <si>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</si>
  <si>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</si>
  <si>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</si>
  <si>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</si>
  <si>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</si>
  <si>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</si>
  <si>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</si>
  <si>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</si>
  <si>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</si>
  <si>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</si>
  <si>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</si>
  <si>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</si>
  <si>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</si>
  <si>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</si>
  <si>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</si>
  <si>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</si>
  <si>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</si>
  <si>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</si>
  <si>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</si>
  <si>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</si>
  <si>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</si>
  <si>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</si>
  <si>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</si>
  <si>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</si>
  <si>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</si>
  <si>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</si>
  <si>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</si>
  <si>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</si>
  <si>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</si>
  <si>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</si>
  <si>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</si>
  <si>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</si>
  <si>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</si>
  <si>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</si>
  <si>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</si>
  <si>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</si>
  <si>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</si>
  <si>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</si>
  <si>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</si>
  <si>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</si>
  <si>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</si>
  <si>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</si>
  <si>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</si>
  <si>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</si>
  <si>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</si>
  <si>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</si>
  <si>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</si>
  <si>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</si>
  <si>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</si>
  <si>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</si>
  <si>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</si>
  <si>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</si>
  <si>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</si>
  <si>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</si>
  <si>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</si>
  <si>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</si>
  <si>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</si>
  <si>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</si>
  <si>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</si>
  <si>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</si>
  <si>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</si>
  <si>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</si>
  <si>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</si>
  <si>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</si>
  <si>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</si>
  <si>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</si>
  <si>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</si>
  <si>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</si>
  <si>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</si>
  <si>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</si>
  <si>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</si>
  <si>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</si>
  <si>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</si>
  <si>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</si>
  <si>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</si>
  <si>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</si>
  <si>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</si>
  <si>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</si>
  <si>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</si>
  <si>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</si>
  <si>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</si>
  <si>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</si>
  <si>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</si>
  <si>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</si>
  <si>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</si>
  <si>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</si>
  <si>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</si>
  <si>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</si>
  <si>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</si>
  <si>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</si>
  <si>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</si>
  <si>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</si>
  <si>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</si>
  <si>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</si>
  <si>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</si>
  <si>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</si>
  <si>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</si>
  <si>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</si>
  <si>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</si>
  <si>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</si>
  <si>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</si>
  <si>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</si>
  <si>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</si>
  <si>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</si>
  <si>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</si>
  <si>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</si>
  <si>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</si>
  <si>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</si>
  <si>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</si>
  <si>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</si>
  <si>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</si>
  <si>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</si>
  <si>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</si>
  <si>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</si>
  <si>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</si>
  <si>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</si>
  <si>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</si>
  <si>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</si>
  <si>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</si>
  <si>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</si>
  <si>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</si>
  <si>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</si>
  <si>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</si>
  <si>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</si>
  <si>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</si>
  <si>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</si>
  <si>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</si>
  <si>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</si>
  <si>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</si>
  <si>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</si>
  <si>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</si>
  <si>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</si>
  <si>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</si>
  <si>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</si>
  <si>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</si>
  <si>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</si>
  <si>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</si>
  <si>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</si>
  <si>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</si>
  <si>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</si>
  <si>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</si>
  <si>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</si>
  <si>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</si>
  <si>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</si>
  <si>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</si>
  <si>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</si>
  <si>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</si>
  <si>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</si>
  <si>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</si>
  <si>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</si>
  <si>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</si>
  <si>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</si>
  <si>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</si>
  <si>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</si>
  <si>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</si>
  <si>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</si>
  <si>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</si>
  <si>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</si>
  <si>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</si>
  <si>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</si>
  <si>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</si>
  <si>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</si>
  <si>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</si>
  <si>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</si>
  <si>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</si>
  <si>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</si>
  <si>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</si>
  <si>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</si>
  <si>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</si>
  <si>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</si>
  <si>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</si>
  <si>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</si>
  <si>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</si>
  <si>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</si>
  <si>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</si>
  <si>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</si>
  <si>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</si>
  <si>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расходы на обучение</t>
  </si>
  <si>
    <t>Медицинские счета</t>
  </si>
  <si>
    <t>малый бизнес</t>
  </si>
  <si>
    <t>свадьба</t>
  </si>
  <si>
    <t>Квартиль 1</t>
  </si>
  <si>
    <t>Межкарт</t>
  </si>
  <si>
    <t>Нижняя гр</t>
  </si>
  <si>
    <t>Верхняя гр</t>
  </si>
  <si>
    <t>Квартиль 3</t>
  </si>
  <si>
    <t xml:space="preserve">Ассиметричность </t>
  </si>
  <si>
    <t>Нет</t>
  </si>
  <si>
    <t>Да</t>
  </si>
  <si>
    <t>Ср знач</t>
  </si>
  <si>
    <t>Медиана</t>
  </si>
  <si>
    <t>Мода</t>
  </si>
  <si>
    <t>Ассиметричность</t>
  </si>
  <si>
    <t>Дисперсия</t>
  </si>
  <si>
    <t>После удаления макс значений</t>
  </si>
  <si>
    <t>До удаления</t>
  </si>
  <si>
    <t>выбросы еж платеж</t>
  </si>
  <si>
    <t>Среднее</t>
  </si>
  <si>
    <t>Недвижимость в ипотеке</t>
  </si>
  <si>
    <t>&lt; 1</t>
  </si>
  <si>
    <t>ср знач</t>
  </si>
  <si>
    <t>min</t>
  </si>
  <si>
    <t>max</t>
  </si>
  <si>
    <t>сумма</t>
  </si>
  <si>
    <t>кредитный рейтинг</t>
  </si>
  <si>
    <t>min max КР</t>
  </si>
  <si>
    <t>min max Посл нар</t>
  </si>
  <si>
    <t>min max Кол кр карт</t>
  </si>
  <si>
    <t>min max Число нар кред дог</t>
  </si>
  <si>
    <t>Срок с посл наруш</t>
  </si>
  <si>
    <t>Количество кр карт</t>
  </si>
  <si>
    <t>Число наруш кр дог</t>
  </si>
  <si>
    <t>Ежем доход</t>
  </si>
  <si>
    <t>Доля ежем плат/ежем доход</t>
  </si>
  <si>
    <t xml:space="preserve">размер кредита </t>
  </si>
  <si>
    <t>Z РК</t>
  </si>
  <si>
    <t>Станд откл</t>
  </si>
  <si>
    <t>Названия строк</t>
  </si>
  <si>
    <t>Общий итог</t>
  </si>
  <si>
    <t>Количество по полю Стаж работы на текущем месте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</si>
</sst>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0000"/>
  </numFmts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2" fontId="1" fillId="2" borderId="2" xfId="0" applyNumberFormat="1" applyFont="1" applyFill="1" applyBorder="1"/>
    <xf numFmtId="1" fontId="0" fillId="0" borderId="0" xfId="0" applyNumberFormat="1"/>
    <xf numFmtId="165" fontId="0" fillId="0" borderId="0" xfId="0" applyNumberFormat="1"/>
    <xf numFmtId="2" fontId="0" fillId="0" borderId="1" xfId="0" applyNumberFormat="1" applyFont="1" applyBorder="1"/>
    <xf numFmtId="0" fontId="3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65" formatCode="0.0000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64" formatCode="#,##0.00\ &quot;₽&quot;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Годовой доход и кр</a:t>
            </a:r>
            <a:r>
              <a:rPr lang="ru-RU" baseline="0"/>
              <a:t> рейтинг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Лист1!$I$2:$I$2001</c:f>
              <c:numCache>
                <c:formatCode>0.00</c:formatCode>
                <c:ptCount val="2000"/>
                <c:pt idx="0">
                  <c:v>725</c:v>
                </c:pt>
                <c:pt idx="1">
                  <c:v>0</c:v>
                </c:pt>
                <c:pt idx="2">
                  <c:v>750</c:v>
                </c:pt>
                <c:pt idx="3">
                  <c:v>749</c:v>
                </c:pt>
                <c:pt idx="4">
                  <c:v>741</c:v>
                </c:pt>
                <c:pt idx="5">
                  <c:v>726</c:v>
                </c:pt>
                <c:pt idx="6">
                  <c:v>738</c:v>
                </c:pt>
                <c:pt idx="7">
                  <c:v>716</c:v>
                </c:pt>
                <c:pt idx="8">
                  <c:v>0</c:v>
                </c:pt>
                <c:pt idx="9">
                  <c:v>738</c:v>
                </c:pt>
                <c:pt idx="10">
                  <c:v>747</c:v>
                </c:pt>
                <c:pt idx="11">
                  <c:v>0</c:v>
                </c:pt>
                <c:pt idx="12">
                  <c:v>748</c:v>
                </c:pt>
                <c:pt idx="13">
                  <c:v>701</c:v>
                </c:pt>
                <c:pt idx="14">
                  <c:v>735</c:v>
                </c:pt>
                <c:pt idx="15">
                  <c:v>748</c:v>
                </c:pt>
                <c:pt idx="16">
                  <c:v>0</c:v>
                </c:pt>
                <c:pt idx="17">
                  <c:v>748</c:v>
                </c:pt>
                <c:pt idx="18">
                  <c:v>751</c:v>
                </c:pt>
                <c:pt idx="19">
                  <c:v>678</c:v>
                </c:pt>
                <c:pt idx="20">
                  <c:v>705</c:v>
                </c:pt>
                <c:pt idx="21">
                  <c:v>734</c:v>
                </c:pt>
                <c:pt idx="22">
                  <c:v>687</c:v>
                </c:pt>
                <c:pt idx="23">
                  <c:v>751</c:v>
                </c:pt>
                <c:pt idx="24">
                  <c:v>0</c:v>
                </c:pt>
                <c:pt idx="25">
                  <c:v>668</c:v>
                </c:pt>
                <c:pt idx="26">
                  <c:v>681</c:v>
                </c:pt>
                <c:pt idx="27">
                  <c:v>709</c:v>
                </c:pt>
                <c:pt idx="28">
                  <c:v>0</c:v>
                </c:pt>
                <c:pt idx="29">
                  <c:v>724</c:v>
                </c:pt>
                <c:pt idx="30">
                  <c:v>738</c:v>
                </c:pt>
                <c:pt idx="31">
                  <c:v>0</c:v>
                </c:pt>
                <c:pt idx="32">
                  <c:v>743</c:v>
                </c:pt>
                <c:pt idx="33">
                  <c:v>696</c:v>
                </c:pt>
                <c:pt idx="34">
                  <c:v>751</c:v>
                </c:pt>
                <c:pt idx="35">
                  <c:v>747</c:v>
                </c:pt>
                <c:pt idx="36">
                  <c:v>735</c:v>
                </c:pt>
                <c:pt idx="37">
                  <c:v>740</c:v>
                </c:pt>
                <c:pt idx="38">
                  <c:v>744</c:v>
                </c:pt>
                <c:pt idx="39">
                  <c:v>0</c:v>
                </c:pt>
                <c:pt idx="40">
                  <c:v>737</c:v>
                </c:pt>
                <c:pt idx="41">
                  <c:v>716</c:v>
                </c:pt>
                <c:pt idx="42">
                  <c:v>716</c:v>
                </c:pt>
                <c:pt idx="43">
                  <c:v>718</c:v>
                </c:pt>
                <c:pt idx="44">
                  <c:v>750</c:v>
                </c:pt>
                <c:pt idx="45">
                  <c:v>712</c:v>
                </c:pt>
                <c:pt idx="46">
                  <c:v>741</c:v>
                </c:pt>
                <c:pt idx="47">
                  <c:v>0</c:v>
                </c:pt>
                <c:pt idx="48">
                  <c:v>717</c:v>
                </c:pt>
                <c:pt idx="49">
                  <c:v>723</c:v>
                </c:pt>
                <c:pt idx="50">
                  <c:v>0</c:v>
                </c:pt>
                <c:pt idx="51">
                  <c:v>0</c:v>
                </c:pt>
                <c:pt idx="52">
                  <c:v>723</c:v>
                </c:pt>
                <c:pt idx="53">
                  <c:v>736</c:v>
                </c:pt>
                <c:pt idx="54">
                  <c:v>723</c:v>
                </c:pt>
                <c:pt idx="55">
                  <c:v>0</c:v>
                </c:pt>
                <c:pt idx="56">
                  <c:v>723</c:v>
                </c:pt>
                <c:pt idx="57">
                  <c:v>0</c:v>
                </c:pt>
                <c:pt idx="58">
                  <c:v>726</c:v>
                </c:pt>
                <c:pt idx="59">
                  <c:v>714</c:v>
                </c:pt>
                <c:pt idx="60">
                  <c:v>0</c:v>
                </c:pt>
                <c:pt idx="61">
                  <c:v>683</c:v>
                </c:pt>
                <c:pt idx="62">
                  <c:v>747</c:v>
                </c:pt>
                <c:pt idx="63">
                  <c:v>0</c:v>
                </c:pt>
                <c:pt idx="64">
                  <c:v>0</c:v>
                </c:pt>
                <c:pt idx="65">
                  <c:v>734</c:v>
                </c:pt>
                <c:pt idx="66">
                  <c:v>0</c:v>
                </c:pt>
                <c:pt idx="67">
                  <c:v>703</c:v>
                </c:pt>
                <c:pt idx="68">
                  <c:v>749</c:v>
                </c:pt>
                <c:pt idx="69">
                  <c:v>0</c:v>
                </c:pt>
                <c:pt idx="70">
                  <c:v>0</c:v>
                </c:pt>
                <c:pt idx="71">
                  <c:v>736</c:v>
                </c:pt>
                <c:pt idx="72">
                  <c:v>0</c:v>
                </c:pt>
                <c:pt idx="73">
                  <c:v>0</c:v>
                </c:pt>
                <c:pt idx="74">
                  <c:v>747</c:v>
                </c:pt>
                <c:pt idx="75">
                  <c:v>737</c:v>
                </c:pt>
                <c:pt idx="76">
                  <c:v>615</c:v>
                </c:pt>
                <c:pt idx="77">
                  <c:v>0</c:v>
                </c:pt>
                <c:pt idx="78">
                  <c:v>656</c:v>
                </c:pt>
                <c:pt idx="79">
                  <c:v>723</c:v>
                </c:pt>
                <c:pt idx="80">
                  <c:v>747</c:v>
                </c:pt>
                <c:pt idx="81">
                  <c:v>0</c:v>
                </c:pt>
                <c:pt idx="82">
                  <c:v>744</c:v>
                </c:pt>
                <c:pt idx="83">
                  <c:v>747</c:v>
                </c:pt>
                <c:pt idx="84">
                  <c:v>0</c:v>
                </c:pt>
                <c:pt idx="85">
                  <c:v>0</c:v>
                </c:pt>
                <c:pt idx="86">
                  <c:v>710</c:v>
                </c:pt>
                <c:pt idx="87">
                  <c:v>0</c:v>
                </c:pt>
                <c:pt idx="88">
                  <c:v>0</c:v>
                </c:pt>
                <c:pt idx="89">
                  <c:v>750</c:v>
                </c:pt>
                <c:pt idx="90">
                  <c:v>0</c:v>
                </c:pt>
                <c:pt idx="91">
                  <c:v>0</c:v>
                </c:pt>
                <c:pt idx="92">
                  <c:v>743</c:v>
                </c:pt>
                <c:pt idx="93">
                  <c:v>667</c:v>
                </c:pt>
                <c:pt idx="94">
                  <c:v>0</c:v>
                </c:pt>
                <c:pt idx="95">
                  <c:v>728</c:v>
                </c:pt>
                <c:pt idx="96">
                  <c:v>735</c:v>
                </c:pt>
                <c:pt idx="97">
                  <c:v>0</c:v>
                </c:pt>
                <c:pt idx="98">
                  <c:v>0</c:v>
                </c:pt>
                <c:pt idx="99">
                  <c:v>742</c:v>
                </c:pt>
                <c:pt idx="100">
                  <c:v>719</c:v>
                </c:pt>
                <c:pt idx="101">
                  <c:v>748</c:v>
                </c:pt>
                <c:pt idx="102">
                  <c:v>750</c:v>
                </c:pt>
                <c:pt idx="103">
                  <c:v>744</c:v>
                </c:pt>
                <c:pt idx="104">
                  <c:v>0</c:v>
                </c:pt>
                <c:pt idx="105">
                  <c:v>737</c:v>
                </c:pt>
                <c:pt idx="106">
                  <c:v>740</c:v>
                </c:pt>
                <c:pt idx="107">
                  <c:v>654</c:v>
                </c:pt>
                <c:pt idx="108">
                  <c:v>715</c:v>
                </c:pt>
                <c:pt idx="109">
                  <c:v>717</c:v>
                </c:pt>
                <c:pt idx="110">
                  <c:v>708</c:v>
                </c:pt>
                <c:pt idx="111">
                  <c:v>685</c:v>
                </c:pt>
                <c:pt idx="112">
                  <c:v>596</c:v>
                </c:pt>
                <c:pt idx="113">
                  <c:v>746</c:v>
                </c:pt>
                <c:pt idx="114">
                  <c:v>751</c:v>
                </c:pt>
                <c:pt idx="115">
                  <c:v>747</c:v>
                </c:pt>
                <c:pt idx="116">
                  <c:v>618</c:v>
                </c:pt>
                <c:pt idx="117">
                  <c:v>748</c:v>
                </c:pt>
                <c:pt idx="118">
                  <c:v>739</c:v>
                </c:pt>
                <c:pt idx="119">
                  <c:v>0</c:v>
                </c:pt>
                <c:pt idx="120">
                  <c:v>747</c:v>
                </c:pt>
                <c:pt idx="121">
                  <c:v>740</c:v>
                </c:pt>
                <c:pt idx="122">
                  <c:v>731</c:v>
                </c:pt>
                <c:pt idx="123">
                  <c:v>0</c:v>
                </c:pt>
                <c:pt idx="124">
                  <c:v>714</c:v>
                </c:pt>
                <c:pt idx="125">
                  <c:v>676</c:v>
                </c:pt>
                <c:pt idx="126">
                  <c:v>727</c:v>
                </c:pt>
                <c:pt idx="127">
                  <c:v>738</c:v>
                </c:pt>
                <c:pt idx="128">
                  <c:v>0</c:v>
                </c:pt>
                <c:pt idx="129">
                  <c:v>738</c:v>
                </c:pt>
                <c:pt idx="130">
                  <c:v>0</c:v>
                </c:pt>
                <c:pt idx="131">
                  <c:v>725</c:v>
                </c:pt>
                <c:pt idx="132">
                  <c:v>734</c:v>
                </c:pt>
                <c:pt idx="133">
                  <c:v>749</c:v>
                </c:pt>
                <c:pt idx="134">
                  <c:v>0</c:v>
                </c:pt>
                <c:pt idx="135">
                  <c:v>748</c:v>
                </c:pt>
                <c:pt idx="136">
                  <c:v>0</c:v>
                </c:pt>
                <c:pt idx="137">
                  <c:v>708</c:v>
                </c:pt>
                <c:pt idx="138">
                  <c:v>720</c:v>
                </c:pt>
                <c:pt idx="139">
                  <c:v>723</c:v>
                </c:pt>
                <c:pt idx="140">
                  <c:v>702</c:v>
                </c:pt>
                <c:pt idx="141">
                  <c:v>733</c:v>
                </c:pt>
                <c:pt idx="142">
                  <c:v>741</c:v>
                </c:pt>
                <c:pt idx="143">
                  <c:v>0</c:v>
                </c:pt>
                <c:pt idx="144">
                  <c:v>739</c:v>
                </c:pt>
                <c:pt idx="145">
                  <c:v>733</c:v>
                </c:pt>
                <c:pt idx="146">
                  <c:v>737</c:v>
                </c:pt>
                <c:pt idx="147">
                  <c:v>743</c:v>
                </c:pt>
                <c:pt idx="148">
                  <c:v>0</c:v>
                </c:pt>
                <c:pt idx="149">
                  <c:v>721</c:v>
                </c:pt>
                <c:pt idx="150">
                  <c:v>745</c:v>
                </c:pt>
                <c:pt idx="151">
                  <c:v>680</c:v>
                </c:pt>
                <c:pt idx="152">
                  <c:v>737</c:v>
                </c:pt>
                <c:pt idx="153">
                  <c:v>0</c:v>
                </c:pt>
                <c:pt idx="154">
                  <c:v>749</c:v>
                </c:pt>
                <c:pt idx="155">
                  <c:v>748</c:v>
                </c:pt>
                <c:pt idx="156">
                  <c:v>680</c:v>
                </c:pt>
                <c:pt idx="157">
                  <c:v>0</c:v>
                </c:pt>
                <c:pt idx="158">
                  <c:v>726</c:v>
                </c:pt>
                <c:pt idx="159">
                  <c:v>0</c:v>
                </c:pt>
                <c:pt idx="160">
                  <c:v>745</c:v>
                </c:pt>
                <c:pt idx="161">
                  <c:v>742</c:v>
                </c:pt>
                <c:pt idx="162">
                  <c:v>751</c:v>
                </c:pt>
                <c:pt idx="163">
                  <c:v>735</c:v>
                </c:pt>
                <c:pt idx="164">
                  <c:v>722</c:v>
                </c:pt>
                <c:pt idx="165">
                  <c:v>713</c:v>
                </c:pt>
                <c:pt idx="166">
                  <c:v>733</c:v>
                </c:pt>
                <c:pt idx="167">
                  <c:v>0</c:v>
                </c:pt>
                <c:pt idx="168">
                  <c:v>677</c:v>
                </c:pt>
                <c:pt idx="169">
                  <c:v>742</c:v>
                </c:pt>
                <c:pt idx="170">
                  <c:v>749</c:v>
                </c:pt>
                <c:pt idx="171">
                  <c:v>0</c:v>
                </c:pt>
                <c:pt idx="172">
                  <c:v>685</c:v>
                </c:pt>
                <c:pt idx="173">
                  <c:v>718</c:v>
                </c:pt>
                <c:pt idx="174">
                  <c:v>744</c:v>
                </c:pt>
                <c:pt idx="175">
                  <c:v>733</c:v>
                </c:pt>
                <c:pt idx="176">
                  <c:v>0</c:v>
                </c:pt>
                <c:pt idx="177">
                  <c:v>0</c:v>
                </c:pt>
                <c:pt idx="178">
                  <c:v>707</c:v>
                </c:pt>
                <c:pt idx="179">
                  <c:v>749</c:v>
                </c:pt>
                <c:pt idx="180">
                  <c:v>739</c:v>
                </c:pt>
                <c:pt idx="181">
                  <c:v>738</c:v>
                </c:pt>
                <c:pt idx="182">
                  <c:v>727</c:v>
                </c:pt>
                <c:pt idx="183">
                  <c:v>739</c:v>
                </c:pt>
                <c:pt idx="184">
                  <c:v>750</c:v>
                </c:pt>
                <c:pt idx="185">
                  <c:v>746</c:v>
                </c:pt>
                <c:pt idx="186">
                  <c:v>692</c:v>
                </c:pt>
                <c:pt idx="187">
                  <c:v>749</c:v>
                </c:pt>
                <c:pt idx="188">
                  <c:v>747</c:v>
                </c:pt>
                <c:pt idx="189">
                  <c:v>743</c:v>
                </c:pt>
                <c:pt idx="190">
                  <c:v>705</c:v>
                </c:pt>
                <c:pt idx="191">
                  <c:v>713</c:v>
                </c:pt>
                <c:pt idx="192">
                  <c:v>728</c:v>
                </c:pt>
                <c:pt idx="193">
                  <c:v>691</c:v>
                </c:pt>
                <c:pt idx="194">
                  <c:v>0</c:v>
                </c:pt>
                <c:pt idx="195">
                  <c:v>713</c:v>
                </c:pt>
                <c:pt idx="196">
                  <c:v>0</c:v>
                </c:pt>
                <c:pt idx="197">
                  <c:v>659</c:v>
                </c:pt>
                <c:pt idx="198">
                  <c:v>744</c:v>
                </c:pt>
                <c:pt idx="199">
                  <c:v>0</c:v>
                </c:pt>
                <c:pt idx="200">
                  <c:v>736</c:v>
                </c:pt>
                <c:pt idx="201">
                  <c:v>733</c:v>
                </c:pt>
                <c:pt idx="202">
                  <c:v>747</c:v>
                </c:pt>
                <c:pt idx="203">
                  <c:v>656</c:v>
                </c:pt>
                <c:pt idx="204">
                  <c:v>750</c:v>
                </c:pt>
                <c:pt idx="205">
                  <c:v>0</c:v>
                </c:pt>
                <c:pt idx="206">
                  <c:v>720</c:v>
                </c:pt>
                <c:pt idx="207">
                  <c:v>0</c:v>
                </c:pt>
                <c:pt idx="208">
                  <c:v>739</c:v>
                </c:pt>
                <c:pt idx="209">
                  <c:v>673</c:v>
                </c:pt>
                <c:pt idx="210">
                  <c:v>745</c:v>
                </c:pt>
                <c:pt idx="211">
                  <c:v>745</c:v>
                </c:pt>
                <c:pt idx="212">
                  <c:v>747</c:v>
                </c:pt>
                <c:pt idx="213">
                  <c:v>703</c:v>
                </c:pt>
                <c:pt idx="214">
                  <c:v>742</c:v>
                </c:pt>
                <c:pt idx="215">
                  <c:v>736</c:v>
                </c:pt>
                <c:pt idx="216">
                  <c:v>724</c:v>
                </c:pt>
                <c:pt idx="217">
                  <c:v>717</c:v>
                </c:pt>
                <c:pt idx="218">
                  <c:v>715</c:v>
                </c:pt>
                <c:pt idx="219">
                  <c:v>746</c:v>
                </c:pt>
                <c:pt idx="220">
                  <c:v>0</c:v>
                </c:pt>
                <c:pt idx="221">
                  <c:v>0</c:v>
                </c:pt>
                <c:pt idx="222">
                  <c:v>721</c:v>
                </c:pt>
                <c:pt idx="223">
                  <c:v>744</c:v>
                </c:pt>
                <c:pt idx="224">
                  <c:v>0</c:v>
                </c:pt>
                <c:pt idx="225">
                  <c:v>687</c:v>
                </c:pt>
                <c:pt idx="226">
                  <c:v>653</c:v>
                </c:pt>
                <c:pt idx="227">
                  <c:v>715</c:v>
                </c:pt>
                <c:pt idx="228">
                  <c:v>731</c:v>
                </c:pt>
                <c:pt idx="229">
                  <c:v>747</c:v>
                </c:pt>
                <c:pt idx="230">
                  <c:v>0</c:v>
                </c:pt>
                <c:pt idx="231">
                  <c:v>719</c:v>
                </c:pt>
                <c:pt idx="232">
                  <c:v>715</c:v>
                </c:pt>
                <c:pt idx="233">
                  <c:v>665</c:v>
                </c:pt>
                <c:pt idx="234">
                  <c:v>698</c:v>
                </c:pt>
                <c:pt idx="235">
                  <c:v>705</c:v>
                </c:pt>
                <c:pt idx="236">
                  <c:v>676</c:v>
                </c:pt>
                <c:pt idx="237">
                  <c:v>717</c:v>
                </c:pt>
                <c:pt idx="238">
                  <c:v>714</c:v>
                </c:pt>
                <c:pt idx="239">
                  <c:v>719</c:v>
                </c:pt>
                <c:pt idx="240">
                  <c:v>0</c:v>
                </c:pt>
                <c:pt idx="241">
                  <c:v>0</c:v>
                </c:pt>
                <c:pt idx="242">
                  <c:v>702</c:v>
                </c:pt>
                <c:pt idx="243">
                  <c:v>745</c:v>
                </c:pt>
                <c:pt idx="244">
                  <c:v>748</c:v>
                </c:pt>
                <c:pt idx="245">
                  <c:v>737</c:v>
                </c:pt>
                <c:pt idx="246">
                  <c:v>750</c:v>
                </c:pt>
                <c:pt idx="247">
                  <c:v>0</c:v>
                </c:pt>
                <c:pt idx="248">
                  <c:v>712</c:v>
                </c:pt>
                <c:pt idx="249">
                  <c:v>705</c:v>
                </c:pt>
                <c:pt idx="250">
                  <c:v>706</c:v>
                </c:pt>
                <c:pt idx="251">
                  <c:v>678</c:v>
                </c:pt>
                <c:pt idx="252">
                  <c:v>0</c:v>
                </c:pt>
                <c:pt idx="253">
                  <c:v>0</c:v>
                </c:pt>
                <c:pt idx="254">
                  <c:v>746</c:v>
                </c:pt>
                <c:pt idx="255">
                  <c:v>749</c:v>
                </c:pt>
                <c:pt idx="256">
                  <c:v>724</c:v>
                </c:pt>
                <c:pt idx="257">
                  <c:v>719</c:v>
                </c:pt>
                <c:pt idx="258">
                  <c:v>716</c:v>
                </c:pt>
                <c:pt idx="259">
                  <c:v>691</c:v>
                </c:pt>
                <c:pt idx="260">
                  <c:v>0</c:v>
                </c:pt>
                <c:pt idx="261">
                  <c:v>745</c:v>
                </c:pt>
                <c:pt idx="262">
                  <c:v>741</c:v>
                </c:pt>
                <c:pt idx="263">
                  <c:v>697</c:v>
                </c:pt>
                <c:pt idx="264">
                  <c:v>749</c:v>
                </c:pt>
                <c:pt idx="265">
                  <c:v>731</c:v>
                </c:pt>
                <c:pt idx="266">
                  <c:v>694</c:v>
                </c:pt>
                <c:pt idx="267">
                  <c:v>746</c:v>
                </c:pt>
                <c:pt idx="268">
                  <c:v>0</c:v>
                </c:pt>
                <c:pt idx="269">
                  <c:v>741</c:v>
                </c:pt>
                <c:pt idx="270">
                  <c:v>734</c:v>
                </c:pt>
                <c:pt idx="271">
                  <c:v>730</c:v>
                </c:pt>
                <c:pt idx="272">
                  <c:v>751</c:v>
                </c:pt>
                <c:pt idx="273">
                  <c:v>738</c:v>
                </c:pt>
                <c:pt idx="274">
                  <c:v>726</c:v>
                </c:pt>
                <c:pt idx="275">
                  <c:v>739</c:v>
                </c:pt>
                <c:pt idx="276">
                  <c:v>737</c:v>
                </c:pt>
                <c:pt idx="277">
                  <c:v>704</c:v>
                </c:pt>
                <c:pt idx="278">
                  <c:v>676</c:v>
                </c:pt>
                <c:pt idx="279">
                  <c:v>725</c:v>
                </c:pt>
                <c:pt idx="280">
                  <c:v>0</c:v>
                </c:pt>
                <c:pt idx="281">
                  <c:v>730</c:v>
                </c:pt>
                <c:pt idx="282">
                  <c:v>719</c:v>
                </c:pt>
                <c:pt idx="283">
                  <c:v>743</c:v>
                </c:pt>
                <c:pt idx="284">
                  <c:v>728</c:v>
                </c:pt>
                <c:pt idx="285">
                  <c:v>685</c:v>
                </c:pt>
                <c:pt idx="286">
                  <c:v>747</c:v>
                </c:pt>
                <c:pt idx="287">
                  <c:v>704</c:v>
                </c:pt>
                <c:pt idx="288">
                  <c:v>738</c:v>
                </c:pt>
                <c:pt idx="289">
                  <c:v>745</c:v>
                </c:pt>
                <c:pt idx="290">
                  <c:v>703</c:v>
                </c:pt>
                <c:pt idx="291">
                  <c:v>751</c:v>
                </c:pt>
                <c:pt idx="292">
                  <c:v>731</c:v>
                </c:pt>
                <c:pt idx="293">
                  <c:v>747</c:v>
                </c:pt>
                <c:pt idx="294">
                  <c:v>741</c:v>
                </c:pt>
                <c:pt idx="295">
                  <c:v>0</c:v>
                </c:pt>
                <c:pt idx="296">
                  <c:v>710</c:v>
                </c:pt>
                <c:pt idx="297">
                  <c:v>744</c:v>
                </c:pt>
                <c:pt idx="298">
                  <c:v>722</c:v>
                </c:pt>
                <c:pt idx="299">
                  <c:v>717</c:v>
                </c:pt>
                <c:pt idx="300">
                  <c:v>723</c:v>
                </c:pt>
                <c:pt idx="301">
                  <c:v>668</c:v>
                </c:pt>
                <c:pt idx="302">
                  <c:v>692</c:v>
                </c:pt>
                <c:pt idx="303">
                  <c:v>0</c:v>
                </c:pt>
                <c:pt idx="304">
                  <c:v>0</c:v>
                </c:pt>
                <c:pt idx="305">
                  <c:v>736</c:v>
                </c:pt>
                <c:pt idx="306">
                  <c:v>0</c:v>
                </c:pt>
                <c:pt idx="307">
                  <c:v>741</c:v>
                </c:pt>
                <c:pt idx="308">
                  <c:v>735</c:v>
                </c:pt>
                <c:pt idx="309">
                  <c:v>0</c:v>
                </c:pt>
                <c:pt idx="310">
                  <c:v>734</c:v>
                </c:pt>
                <c:pt idx="311">
                  <c:v>749</c:v>
                </c:pt>
                <c:pt idx="312">
                  <c:v>713</c:v>
                </c:pt>
                <c:pt idx="313">
                  <c:v>744</c:v>
                </c:pt>
                <c:pt idx="314">
                  <c:v>722</c:v>
                </c:pt>
                <c:pt idx="315">
                  <c:v>728</c:v>
                </c:pt>
                <c:pt idx="316">
                  <c:v>0</c:v>
                </c:pt>
                <c:pt idx="317">
                  <c:v>701</c:v>
                </c:pt>
                <c:pt idx="318">
                  <c:v>687</c:v>
                </c:pt>
                <c:pt idx="319">
                  <c:v>692</c:v>
                </c:pt>
                <c:pt idx="320">
                  <c:v>0</c:v>
                </c:pt>
                <c:pt idx="321">
                  <c:v>658</c:v>
                </c:pt>
                <c:pt idx="322">
                  <c:v>736</c:v>
                </c:pt>
                <c:pt idx="323">
                  <c:v>722</c:v>
                </c:pt>
                <c:pt idx="324">
                  <c:v>724</c:v>
                </c:pt>
                <c:pt idx="325">
                  <c:v>723</c:v>
                </c:pt>
                <c:pt idx="326">
                  <c:v>748</c:v>
                </c:pt>
                <c:pt idx="327">
                  <c:v>725</c:v>
                </c:pt>
                <c:pt idx="328">
                  <c:v>676</c:v>
                </c:pt>
                <c:pt idx="329">
                  <c:v>706</c:v>
                </c:pt>
                <c:pt idx="330">
                  <c:v>0</c:v>
                </c:pt>
                <c:pt idx="331">
                  <c:v>738</c:v>
                </c:pt>
                <c:pt idx="332">
                  <c:v>726</c:v>
                </c:pt>
                <c:pt idx="333">
                  <c:v>721</c:v>
                </c:pt>
                <c:pt idx="334">
                  <c:v>0</c:v>
                </c:pt>
                <c:pt idx="335">
                  <c:v>748</c:v>
                </c:pt>
                <c:pt idx="336">
                  <c:v>722</c:v>
                </c:pt>
                <c:pt idx="337">
                  <c:v>746</c:v>
                </c:pt>
                <c:pt idx="338">
                  <c:v>0</c:v>
                </c:pt>
                <c:pt idx="339">
                  <c:v>700</c:v>
                </c:pt>
                <c:pt idx="340">
                  <c:v>745</c:v>
                </c:pt>
                <c:pt idx="341">
                  <c:v>723</c:v>
                </c:pt>
                <c:pt idx="342">
                  <c:v>693</c:v>
                </c:pt>
                <c:pt idx="343">
                  <c:v>749</c:v>
                </c:pt>
                <c:pt idx="344">
                  <c:v>717</c:v>
                </c:pt>
                <c:pt idx="345">
                  <c:v>0</c:v>
                </c:pt>
                <c:pt idx="346">
                  <c:v>705</c:v>
                </c:pt>
                <c:pt idx="347">
                  <c:v>0</c:v>
                </c:pt>
                <c:pt idx="348">
                  <c:v>623</c:v>
                </c:pt>
                <c:pt idx="349">
                  <c:v>0</c:v>
                </c:pt>
                <c:pt idx="350">
                  <c:v>723</c:v>
                </c:pt>
                <c:pt idx="351">
                  <c:v>714</c:v>
                </c:pt>
                <c:pt idx="352">
                  <c:v>0</c:v>
                </c:pt>
                <c:pt idx="353">
                  <c:v>724</c:v>
                </c:pt>
                <c:pt idx="354">
                  <c:v>748</c:v>
                </c:pt>
                <c:pt idx="355">
                  <c:v>741</c:v>
                </c:pt>
                <c:pt idx="356">
                  <c:v>728</c:v>
                </c:pt>
                <c:pt idx="357">
                  <c:v>728</c:v>
                </c:pt>
                <c:pt idx="358">
                  <c:v>668</c:v>
                </c:pt>
                <c:pt idx="359">
                  <c:v>749</c:v>
                </c:pt>
                <c:pt idx="360">
                  <c:v>0</c:v>
                </c:pt>
                <c:pt idx="361">
                  <c:v>734</c:v>
                </c:pt>
                <c:pt idx="362">
                  <c:v>749</c:v>
                </c:pt>
                <c:pt idx="363">
                  <c:v>725</c:v>
                </c:pt>
                <c:pt idx="364">
                  <c:v>744</c:v>
                </c:pt>
                <c:pt idx="365">
                  <c:v>696</c:v>
                </c:pt>
                <c:pt idx="366">
                  <c:v>696</c:v>
                </c:pt>
                <c:pt idx="367">
                  <c:v>0</c:v>
                </c:pt>
                <c:pt idx="368">
                  <c:v>717</c:v>
                </c:pt>
                <c:pt idx="369">
                  <c:v>0</c:v>
                </c:pt>
                <c:pt idx="370">
                  <c:v>737</c:v>
                </c:pt>
                <c:pt idx="371">
                  <c:v>702</c:v>
                </c:pt>
                <c:pt idx="372">
                  <c:v>741</c:v>
                </c:pt>
                <c:pt idx="373">
                  <c:v>743</c:v>
                </c:pt>
                <c:pt idx="374">
                  <c:v>746</c:v>
                </c:pt>
                <c:pt idx="375">
                  <c:v>0</c:v>
                </c:pt>
                <c:pt idx="376">
                  <c:v>708</c:v>
                </c:pt>
                <c:pt idx="377">
                  <c:v>739</c:v>
                </c:pt>
                <c:pt idx="378">
                  <c:v>737</c:v>
                </c:pt>
                <c:pt idx="379">
                  <c:v>722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721</c:v>
                </c:pt>
                <c:pt idx="384">
                  <c:v>718</c:v>
                </c:pt>
                <c:pt idx="385">
                  <c:v>725</c:v>
                </c:pt>
                <c:pt idx="386">
                  <c:v>739</c:v>
                </c:pt>
                <c:pt idx="387">
                  <c:v>713</c:v>
                </c:pt>
                <c:pt idx="388">
                  <c:v>745</c:v>
                </c:pt>
                <c:pt idx="389">
                  <c:v>702</c:v>
                </c:pt>
                <c:pt idx="390">
                  <c:v>676</c:v>
                </c:pt>
                <c:pt idx="391">
                  <c:v>0</c:v>
                </c:pt>
                <c:pt idx="392">
                  <c:v>0</c:v>
                </c:pt>
                <c:pt idx="393">
                  <c:v>742</c:v>
                </c:pt>
                <c:pt idx="394">
                  <c:v>724</c:v>
                </c:pt>
                <c:pt idx="395">
                  <c:v>652</c:v>
                </c:pt>
                <c:pt idx="396">
                  <c:v>737</c:v>
                </c:pt>
                <c:pt idx="397">
                  <c:v>685</c:v>
                </c:pt>
                <c:pt idx="398">
                  <c:v>745</c:v>
                </c:pt>
                <c:pt idx="399">
                  <c:v>716</c:v>
                </c:pt>
                <c:pt idx="400">
                  <c:v>735</c:v>
                </c:pt>
                <c:pt idx="401">
                  <c:v>0</c:v>
                </c:pt>
                <c:pt idx="402">
                  <c:v>735</c:v>
                </c:pt>
                <c:pt idx="403">
                  <c:v>0</c:v>
                </c:pt>
                <c:pt idx="404">
                  <c:v>659</c:v>
                </c:pt>
                <c:pt idx="405">
                  <c:v>0</c:v>
                </c:pt>
                <c:pt idx="406">
                  <c:v>699</c:v>
                </c:pt>
                <c:pt idx="407">
                  <c:v>0</c:v>
                </c:pt>
                <c:pt idx="408">
                  <c:v>682</c:v>
                </c:pt>
                <c:pt idx="409">
                  <c:v>744</c:v>
                </c:pt>
                <c:pt idx="410">
                  <c:v>742</c:v>
                </c:pt>
                <c:pt idx="411">
                  <c:v>707</c:v>
                </c:pt>
                <c:pt idx="412">
                  <c:v>684</c:v>
                </c:pt>
                <c:pt idx="413">
                  <c:v>734</c:v>
                </c:pt>
                <c:pt idx="414">
                  <c:v>0</c:v>
                </c:pt>
                <c:pt idx="415">
                  <c:v>734</c:v>
                </c:pt>
                <c:pt idx="416">
                  <c:v>750</c:v>
                </c:pt>
                <c:pt idx="417">
                  <c:v>744</c:v>
                </c:pt>
                <c:pt idx="418">
                  <c:v>654</c:v>
                </c:pt>
                <c:pt idx="419">
                  <c:v>710</c:v>
                </c:pt>
                <c:pt idx="420">
                  <c:v>731</c:v>
                </c:pt>
                <c:pt idx="421">
                  <c:v>698</c:v>
                </c:pt>
                <c:pt idx="422">
                  <c:v>0</c:v>
                </c:pt>
                <c:pt idx="423">
                  <c:v>672</c:v>
                </c:pt>
                <c:pt idx="424">
                  <c:v>0</c:v>
                </c:pt>
                <c:pt idx="425">
                  <c:v>670</c:v>
                </c:pt>
                <c:pt idx="426">
                  <c:v>707</c:v>
                </c:pt>
                <c:pt idx="427">
                  <c:v>0</c:v>
                </c:pt>
                <c:pt idx="428">
                  <c:v>712</c:v>
                </c:pt>
                <c:pt idx="429">
                  <c:v>0</c:v>
                </c:pt>
                <c:pt idx="430">
                  <c:v>707</c:v>
                </c:pt>
                <c:pt idx="431">
                  <c:v>718</c:v>
                </c:pt>
                <c:pt idx="432">
                  <c:v>741</c:v>
                </c:pt>
                <c:pt idx="433">
                  <c:v>718</c:v>
                </c:pt>
                <c:pt idx="434">
                  <c:v>736</c:v>
                </c:pt>
                <c:pt idx="435">
                  <c:v>722</c:v>
                </c:pt>
                <c:pt idx="436">
                  <c:v>743</c:v>
                </c:pt>
                <c:pt idx="437">
                  <c:v>712</c:v>
                </c:pt>
                <c:pt idx="438">
                  <c:v>691</c:v>
                </c:pt>
                <c:pt idx="439">
                  <c:v>739</c:v>
                </c:pt>
                <c:pt idx="440">
                  <c:v>0</c:v>
                </c:pt>
                <c:pt idx="441">
                  <c:v>703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740</c:v>
                </c:pt>
                <c:pt idx="446">
                  <c:v>684</c:v>
                </c:pt>
                <c:pt idx="447">
                  <c:v>0</c:v>
                </c:pt>
                <c:pt idx="448">
                  <c:v>0</c:v>
                </c:pt>
                <c:pt idx="449">
                  <c:v>736</c:v>
                </c:pt>
                <c:pt idx="450">
                  <c:v>0</c:v>
                </c:pt>
                <c:pt idx="451">
                  <c:v>747</c:v>
                </c:pt>
                <c:pt idx="452">
                  <c:v>743</c:v>
                </c:pt>
                <c:pt idx="453">
                  <c:v>736</c:v>
                </c:pt>
                <c:pt idx="454">
                  <c:v>741</c:v>
                </c:pt>
                <c:pt idx="455">
                  <c:v>709</c:v>
                </c:pt>
                <c:pt idx="456">
                  <c:v>713</c:v>
                </c:pt>
                <c:pt idx="457">
                  <c:v>723</c:v>
                </c:pt>
                <c:pt idx="458">
                  <c:v>700</c:v>
                </c:pt>
                <c:pt idx="459">
                  <c:v>749</c:v>
                </c:pt>
                <c:pt idx="460">
                  <c:v>653</c:v>
                </c:pt>
                <c:pt idx="461">
                  <c:v>0</c:v>
                </c:pt>
                <c:pt idx="462">
                  <c:v>0</c:v>
                </c:pt>
                <c:pt idx="463">
                  <c:v>690</c:v>
                </c:pt>
                <c:pt idx="464">
                  <c:v>0</c:v>
                </c:pt>
                <c:pt idx="465">
                  <c:v>710</c:v>
                </c:pt>
                <c:pt idx="466">
                  <c:v>738</c:v>
                </c:pt>
                <c:pt idx="467">
                  <c:v>707</c:v>
                </c:pt>
                <c:pt idx="468">
                  <c:v>657</c:v>
                </c:pt>
                <c:pt idx="469">
                  <c:v>0</c:v>
                </c:pt>
                <c:pt idx="470">
                  <c:v>669</c:v>
                </c:pt>
                <c:pt idx="471">
                  <c:v>678</c:v>
                </c:pt>
                <c:pt idx="472">
                  <c:v>715</c:v>
                </c:pt>
                <c:pt idx="473">
                  <c:v>744</c:v>
                </c:pt>
                <c:pt idx="474">
                  <c:v>722</c:v>
                </c:pt>
                <c:pt idx="475">
                  <c:v>749</c:v>
                </c:pt>
                <c:pt idx="476">
                  <c:v>743</c:v>
                </c:pt>
                <c:pt idx="477">
                  <c:v>716</c:v>
                </c:pt>
                <c:pt idx="478">
                  <c:v>646</c:v>
                </c:pt>
                <c:pt idx="479">
                  <c:v>688</c:v>
                </c:pt>
                <c:pt idx="480">
                  <c:v>729</c:v>
                </c:pt>
                <c:pt idx="481">
                  <c:v>0</c:v>
                </c:pt>
                <c:pt idx="482">
                  <c:v>731</c:v>
                </c:pt>
                <c:pt idx="483">
                  <c:v>682</c:v>
                </c:pt>
                <c:pt idx="484">
                  <c:v>656</c:v>
                </c:pt>
                <c:pt idx="485">
                  <c:v>683</c:v>
                </c:pt>
                <c:pt idx="486">
                  <c:v>675</c:v>
                </c:pt>
                <c:pt idx="487">
                  <c:v>715</c:v>
                </c:pt>
                <c:pt idx="488">
                  <c:v>729</c:v>
                </c:pt>
                <c:pt idx="489">
                  <c:v>711</c:v>
                </c:pt>
                <c:pt idx="490">
                  <c:v>739</c:v>
                </c:pt>
                <c:pt idx="491">
                  <c:v>0</c:v>
                </c:pt>
                <c:pt idx="492">
                  <c:v>0</c:v>
                </c:pt>
                <c:pt idx="493">
                  <c:v>740</c:v>
                </c:pt>
                <c:pt idx="494">
                  <c:v>723</c:v>
                </c:pt>
                <c:pt idx="495">
                  <c:v>714</c:v>
                </c:pt>
                <c:pt idx="496">
                  <c:v>717</c:v>
                </c:pt>
                <c:pt idx="497">
                  <c:v>0</c:v>
                </c:pt>
                <c:pt idx="498">
                  <c:v>740</c:v>
                </c:pt>
                <c:pt idx="499">
                  <c:v>701</c:v>
                </c:pt>
                <c:pt idx="500">
                  <c:v>731</c:v>
                </c:pt>
                <c:pt idx="501">
                  <c:v>0</c:v>
                </c:pt>
                <c:pt idx="502">
                  <c:v>701</c:v>
                </c:pt>
                <c:pt idx="503">
                  <c:v>747</c:v>
                </c:pt>
                <c:pt idx="504">
                  <c:v>726</c:v>
                </c:pt>
                <c:pt idx="505">
                  <c:v>0</c:v>
                </c:pt>
                <c:pt idx="506">
                  <c:v>717</c:v>
                </c:pt>
                <c:pt idx="507">
                  <c:v>747</c:v>
                </c:pt>
                <c:pt idx="508">
                  <c:v>723</c:v>
                </c:pt>
                <c:pt idx="509">
                  <c:v>741</c:v>
                </c:pt>
                <c:pt idx="510">
                  <c:v>738</c:v>
                </c:pt>
                <c:pt idx="511">
                  <c:v>743</c:v>
                </c:pt>
                <c:pt idx="512">
                  <c:v>699</c:v>
                </c:pt>
                <c:pt idx="513">
                  <c:v>0</c:v>
                </c:pt>
                <c:pt idx="514">
                  <c:v>746</c:v>
                </c:pt>
                <c:pt idx="515">
                  <c:v>652</c:v>
                </c:pt>
                <c:pt idx="516">
                  <c:v>0</c:v>
                </c:pt>
                <c:pt idx="517">
                  <c:v>743</c:v>
                </c:pt>
                <c:pt idx="518">
                  <c:v>699</c:v>
                </c:pt>
                <c:pt idx="519">
                  <c:v>742</c:v>
                </c:pt>
                <c:pt idx="520">
                  <c:v>730</c:v>
                </c:pt>
                <c:pt idx="521">
                  <c:v>738</c:v>
                </c:pt>
                <c:pt idx="522">
                  <c:v>0</c:v>
                </c:pt>
                <c:pt idx="523">
                  <c:v>636</c:v>
                </c:pt>
                <c:pt idx="524">
                  <c:v>737</c:v>
                </c:pt>
                <c:pt idx="525">
                  <c:v>723</c:v>
                </c:pt>
                <c:pt idx="526">
                  <c:v>738</c:v>
                </c:pt>
                <c:pt idx="527">
                  <c:v>738</c:v>
                </c:pt>
                <c:pt idx="528">
                  <c:v>702</c:v>
                </c:pt>
                <c:pt idx="529">
                  <c:v>745</c:v>
                </c:pt>
                <c:pt idx="530">
                  <c:v>750</c:v>
                </c:pt>
                <c:pt idx="531">
                  <c:v>693</c:v>
                </c:pt>
                <c:pt idx="532">
                  <c:v>722</c:v>
                </c:pt>
                <c:pt idx="533">
                  <c:v>691</c:v>
                </c:pt>
                <c:pt idx="534">
                  <c:v>738</c:v>
                </c:pt>
                <c:pt idx="535">
                  <c:v>0</c:v>
                </c:pt>
                <c:pt idx="536">
                  <c:v>704</c:v>
                </c:pt>
                <c:pt idx="537">
                  <c:v>738</c:v>
                </c:pt>
                <c:pt idx="538">
                  <c:v>712</c:v>
                </c:pt>
                <c:pt idx="539">
                  <c:v>710</c:v>
                </c:pt>
                <c:pt idx="540">
                  <c:v>741</c:v>
                </c:pt>
                <c:pt idx="541">
                  <c:v>709</c:v>
                </c:pt>
                <c:pt idx="542">
                  <c:v>717</c:v>
                </c:pt>
                <c:pt idx="543">
                  <c:v>728</c:v>
                </c:pt>
                <c:pt idx="544">
                  <c:v>732</c:v>
                </c:pt>
                <c:pt idx="545">
                  <c:v>0</c:v>
                </c:pt>
                <c:pt idx="546">
                  <c:v>729</c:v>
                </c:pt>
                <c:pt idx="547">
                  <c:v>745</c:v>
                </c:pt>
                <c:pt idx="548">
                  <c:v>746</c:v>
                </c:pt>
                <c:pt idx="549">
                  <c:v>672</c:v>
                </c:pt>
                <c:pt idx="550">
                  <c:v>743</c:v>
                </c:pt>
                <c:pt idx="551">
                  <c:v>748</c:v>
                </c:pt>
                <c:pt idx="552">
                  <c:v>739</c:v>
                </c:pt>
                <c:pt idx="553">
                  <c:v>0</c:v>
                </c:pt>
                <c:pt idx="554">
                  <c:v>736</c:v>
                </c:pt>
                <c:pt idx="555">
                  <c:v>746</c:v>
                </c:pt>
                <c:pt idx="556">
                  <c:v>741</c:v>
                </c:pt>
                <c:pt idx="557">
                  <c:v>0</c:v>
                </c:pt>
                <c:pt idx="558">
                  <c:v>748</c:v>
                </c:pt>
                <c:pt idx="559">
                  <c:v>0</c:v>
                </c:pt>
                <c:pt idx="560">
                  <c:v>0</c:v>
                </c:pt>
                <c:pt idx="561">
                  <c:v>723</c:v>
                </c:pt>
                <c:pt idx="562">
                  <c:v>739</c:v>
                </c:pt>
                <c:pt idx="563">
                  <c:v>729</c:v>
                </c:pt>
                <c:pt idx="564">
                  <c:v>657</c:v>
                </c:pt>
                <c:pt idx="565">
                  <c:v>670</c:v>
                </c:pt>
                <c:pt idx="566">
                  <c:v>708</c:v>
                </c:pt>
                <c:pt idx="567">
                  <c:v>0</c:v>
                </c:pt>
                <c:pt idx="568">
                  <c:v>680</c:v>
                </c:pt>
                <c:pt idx="569">
                  <c:v>721</c:v>
                </c:pt>
                <c:pt idx="570">
                  <c:v>720</c:v>
                </c:pt>
                <c:pt idx="571">
                  <c:v>747</c:v>
                </c:pt>
                <c:pt idx="572">
                  <c:v>612</c:v>
                </c:pt>
                <c:pt idx="573">
                  <c:v>706</c:v>
                </c:pt>
                <c:pt idx="574">
                  <c:v>740</c:v>
                </c:pt>
                <c:pt idx="575">
                  <c:v>721</c:v>
                </c:pt>
                <c:pt idx="576">
                  <c:v>686</c:v>
                </c:pt>
                <c:pt idx="577">
                  <c:v>748</c:v>
                </c:pt>
                <c:pt idx="578">
                  <c:v>0</c:v>
                </c:pt>
                <c:pt idx="579">
                  <c:v>0</c:v>
                </c:pt>
                <c:pt idx="580">
                  <c:v>737</c:v>
                </c:pt>
                <c:pt idx="581">
                  <c:v>696</c:v>
                </c:pt>
                <c:pt idx="582">
                  <c:v>732</c:v>
                </c:pt>
                <c:pt idx="583">
                  <c:v>734</c:v>
                </c:pt>
                <c:pt idx="584">
                  <c:v>712</c:v>
                </c:pt>
                <c:pt idx="585">
                  <c:v>746</c:v>
                </c:pt>
                <c:pt idx="586">
                  <c:v>747</c:v>
                </c:pt>
                <c:pt idx="587">
                  <c:v>0</c:v>
                </c:pt>
                <c:pt idx="588">
                  <c:v>722</c:v>
                </c:pt>
                <c:pt idx="589">
                  <c:v>683</c:v>
                </c:pt>
                <c:pt idx="590">
                  <c:v>690</c:v>
                </c:pt>
                <c:pt idx="591">
                  <c:v>0</c:v>
                </c:pt>
                <c:pt idx="592">
                  <c:v>738</c:v>
                </c:pt>
                <c:pt idx="593">
                  <c:v>715</c:v>
                </c:pt>
                <c:pt idx="594">
                  <c:v>719</c:v>
                </c:pt>
                <c:pt idx="595">
                  <c:v>706</c:v>
                </c:pt>
                <c:pt idx="596">
                  <c:v>712</c:v>
                </c:pt>
                <c:pt idx="597">
                  <c:v>731</c:v>
                </c:pt>
                <c:pt idx="598">
                  <c:v>743</c:v>
                </c:pt>
                <c:pt idx="599">
                  <c:v>0</c:v>
                </c:pt>
                <c:pt idx="600">
                  <c:v>594</c:v>
                </c:pt>
                <c:pt idx="601">
                  <c:v>738</c:v>
                </c:pt>
                <c:pt idx="602">
                  <c:v>695</c:v>
                </c:pt>
                <c:pt idx="603">
                  <c:v>730</c:v>
                </c:pt>
                <c:pt idx="604">
                  <c:v>696</c:v>
                </c:pt>
                <c:pt idx="605">
                  <c:v>749</c:v>
                </c:pt>
                <c:pt idx="606">
                  <c:v>742</c:v>
                </c:pt>
                <c:pt idx="607">
                  <c:v>707</c:v>
                </c:pt>
                <c:pt idx="608">
                  <c:v>721</c:v>
                </c:pt>
                <c:pt idx="609">
                  <c:v>744</c:v>
                </c:pt>
                <c:pt idx="610">
                  <c:v>683</c:v>
                </c:pt>
                <c:pt idx="611">
                  <c:v>683</c:v>
                </c:pt>
                <c:pt idx="612">
                  <c:v>0</c:v>
                </c:pt>
                <c:pt idx="613">
                  <c:v>744</c:v>
                </c:pt>
                <c:pt idx="614">
                  <c:v>0</c:v>
                </c:pt>
                <c:pt idx="615">
                  <c:v>0</c:v>
                </c:pt>
                <c:pt idx="616">
                  <c:v>750</c:v>
                </c:pt>
                <c:pt idx="617">
                  <c:v>735</c:v>
                </c:pt>
                <c:pt idx="618">
                  <c:v>726</c:v>
                </c:pt>
                <c:pt idx="619">
                  <c:v>660</c:v>
                </c:pt>
                <c:pt idx="620">
                  <c:v>751</c:v>
                </c:pt>
                <c:pt idx="621">
                  <c:v>713</c:v>
                </c:pt>
                <c:pt idx="622">
                  <c:v>737</c:v>
                </c:pt>
                <c:pt idx="623">
                  <c:v>735</c:v>
                </c:pt>
                <c:pt idx="624">
                  <c:v>0</c:v>
                </c:pt>
                <c:pt idx="625">
                  <c:v>725</c:v>
                </c:pt>
                <c:pt idx="626">
                  <c:v>0</c:v>
                </c:pt>
                <c:pt idx="627">
                  <c:v>703</c:v>
                </c:pt>
                <c:pt idx="628">
                  <c:v>725</c:v>
                </c:pt>
                <c:pt idx="629">
                  <c:v>734</c:v>
                </c:pt>
                <c:pt idx="630">
                  <c:v>695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723</c:v>
                </c:pt>
                <c:pt idx="635">
                  <c:v>678</c:v>
                </c:pt>
                <c:pt idx="636">
                  <c:v>703</c:v>
                </c:pt>
                <c:pt idx="637">
                  <c:v>0</c:v>
                </c:pt>
                <c:pt idx="638">
                  <c:v>715</c:v>
                </c:pt>
                <c:pt idx="639">
                  <c:v>0</c:v>
                </c:pt>
                <c:pt idx="640">
                  <c:v>682</c:v>
                </c:pt>
                <c:pt idx="641">
                  <c:v>0</c:v>
                </c:pt>
                <c:pt idx="642">
                  <c:v>726</c:v>
                </c:pt>
                <c:pt idx="643">
                  <c:v>741</c:v>
                </c:pt>
                <c:pt idx="644">
                  <c:v>706</c:v>
                </c:pt>
                <c:pt idx="645">
                  <c:v>691</c:v>
                </c:pt>
                <c:pt idx="646">
                  <c:v>740</c:v>
                </c:pt>
                <c:pt idx="647">
                  <c:v>744</c:v>
                </c:pt>
                <c:pt idx="648">
                  <c:v>722</c:v>
                </c:pt>
                <c:pt idx="649">
                  <c:v>700</c:v>
                </c:pt>
                <c:pt idx="650">
                  <c:v>714</c:v>
                </c:pt>
                <c:pt idx="651">
                  <c:v>702</c:v>
                </c:pt>
                <c:pt idx="652">
                  <c:v>715</c:v>
                </c:pt>
                <c:pt idx="653">
                  <c:v>725</c:v>
                </c:pt>
                <c:pt idx="654">
                  <c:v>737</c:v>
                </c:pt>
                <c:pt idx="655">
                  <c:v>0</c:v>
                </c:pt>
                <c:pt idx="656">
                  <c:v>657</c:v>
                </c:pt>
                <c:pt idx="657">
                  <c:v>739</c:v>
                </c:pt>
                <c:pt idx="658">
                  <c:v>685</c:v>
                </c:pt>
                <c:pt idx="659">
                  <c:v>740</c:v>
                </c:pt>
                <c:pt idx="660">
                  <c:v>0</c:v>
                </c:pt>
                <c:pt idx="661">
                  <c:v>733</c:v>
                </c:pt>
                <c:pt idx="662">
                  <c:v>673</c:v>
                </c:pt>
                <c:pt idx="663">
                  <c:v>0</c:v>
                </c:pt>
                <c:pt idx="664">
                  <c:v>0</c:v>
                </c:pt>
                <c:pt idx="665">
                  <c:v>667</c:v>
                </c:pt>
                <c:pt idx="666">
                  <c:v>744</c:v>
                </c:pt>
                <c:pt idx="667">
                  <c:v>748</c:v>
                </c:pt>
                <c:pt idx="668">
                  <c:v>734</c:v>
                </c:pt>
                <c:pt idx="669">
                  <c:v>731</c:v>
                </c:pt>
                <c:pt idx="670">
                  <c:v>704</c:v>
                </c:pt>
                <c:pt idx="671">
                  <c:v>0</c:v>
                </c:pt>
                <c:pt idx="672">
                  <c:v>733</c:v>
                </c:pt>
                <c:pt idx="673">
                  <c:v>716</c:v>
                </c:pt>
                <c:pt idx="674">
                  <c:v>710</c:v>
                </c:pt>
                <c:pt idx="675">
                  <c:v>747</c:v>
                </c:pt>
                <c:pt idx="676">
                  <c:v>0</c:v>
                </c:pt>
                <c:pt idx="677">
                  <c:v>714</c:v>
                </c:pt>
                <c:pt idx="678">
                  <c:v>736</c:v>
                </c:pt>
                <c:pt idx="679">
                  <c:v>746</c:v>
                </c:pt>
                <c:pt idx="680">
                  <c:v>722</c:v>
                </c:pt>
                <c:pt idx="681">
                  <c:v>737</c:v>
                </c:pt>
                <c:pt idx="682">
                  <c:v>614</c:v>
                </c:pt>
                <c:pt idx="683">
                  <c:v>743</c:v>
                </c:pt>
                <c:pt idx="684">
                  <c:v>747</c:v>
                </c:pt>
                <c:pt idx="685">
                  <c:v>688</c:v>
                </c:pt>
                <c:pt idx="686">
                  <c:v>728</c:v>
                </c:pt>
                <c:pt idx="687">
                  <c:v>747</c:v>
                </c:pt>
                <c:pt idx="688">
                  <c:v>736</c:v>
                </c:pt>
                <c:pt idx="689">
                  <c:v>747</c:v>
                </c:pt>
                <c:pt idx="690">
                  <c:v>706</c:v>
                </c:pt>
                <c:pt idx="691">
                  <c:v>709</c:v>
                </c:pt>
                <c:pt idx="692">
                  <c:v>715</c:v>
                </c:pt>
                <c:pt idx="693">
                  <c:v>746</c:v>
                </c:pt>
                <c:pt idx="694">
                  <c:v>741</c:v>
                </c:pt>
                <c:pt idx="695">
                  <c:v>676</c:v>
                </c:pt>
                <c:pt idx="696">
                  <c:v>710</c:v>
                </c:pt>
                <c:pt idx="697">
                  <c:v>691</c:v>
                </c:pt>
                <c:pt idx="698">
                  <c:v>745</c:v>
                </c:pt>
                <c:pt idx="699">
                  <c:v>749</c:v>
                </c:pt>
                <c:pt idx="700">
                  <c:v>745</c:v>
                </c:pt>
                <c:pt idx="701">
                  <c:v>681</c:v>
                </c:pt>
                <c:pt idx="702">
                  <c:v>735</c:v>
                </c:pt>
                <c:pt idx="703">
                  <c:v>0</c:v>
                </c:pt>
                <c:pt idx="704">
                  <c:v>736</c:v>
                </c:pt>
                <c:pt idx="705">
                  <c:v>0</c:v>
                </c:pt>
                <c:pt idx="706">
                  <c:v>0</c:v>
                </c:pt>
                <c:pt idx="707">
                  <c:v>745</c:v>
                </c:pt>
                <c:pt idx="708">
                  <c:v>0</c:v>
                </c:pt>
                <c:pt idx="709">
                  <c:v>719</c:v>
                </c:pt>
                <c:pt idx="710">
                  <c:v>739</c:v>
                </c:pt>
                <c:pt idx="711">
                  <c:v>745</c:v>
                </c:pt>
                <c:pt idx="712">
                  <c:v>736</c:v>
                </c:pt>
                <c:pt idx="713">
                  <c:v>708</c:v>
                </c:pt>
                <c:pt idx="714">
                  <c:v>680</c:v>
                </c:pt>
                <c:pt idx="715">
                  <c:v>725</c:v>
                </c:pt>
                <c:pt idx="716">
                  <c:v>0</c:v>
                </c:pt>
                <c:pt idx="717">
                  <c:v>726</c:v>
                </c:pt>
                <c:pt idx="718">
                  <c:v>715</c:v>
                </c:pt>
                <c:pt idx="719">
                  <c:v>680</c:v>
                </c:pt>
                <c:pt idx="720">
                  <c:v>689</c:v>
                </c:pt>
                <c:pt idx="721">
                  <c:v>714</c:v>
                </c:pt>
                <c:pt idx="722">
                  <c:v>710</c:v>
                </c:pt>
                <c:pt idx="723">
                  <c:v>699</c:v>
                </c:pt>
                <c:pt idx="724">
                  <c:v>739</c:v>
                </c:pt>
                <c:pt idx="725">
                  <c:v>742</c:v>
                </c:pt>
                <c:pt idx="726">
                  <c:v>737</c:v>
                </c:pt>
                <c:pt idx="727">
                  <c:v>746</c:v>
                </c:pt>
                <c:pt idx="728">
                  <c:v>0</c:v>
                </c:pt>
                <c:pt idx="729">
                  <c:v>740</c:v>
                </c:pt>
                <c:pt idx="730">
                  <c:v>0</c:v>
                </c:pt>
                <c:pt idx="731">
                  <c:v>718</c:v>
                </c:pt>
                <c:pt idx="732">
                  <c:v>713</c:v>
                </c:pt>
                <c:pt idx="733">
                  <c:v>701</c:v>
                </c:pt>
                <c:pt idx="734">
                  <c:v>687</c:v>
                </c:pt>
                <c:pt idx="735">
                  <c:v>745</c:v>
                </c:pt>
                <c:pt idx="736">
                  <c:v>0</c:v>
                </c:pt>
                <c:pt idx="737">
                  <c:v>737</c:v>
                </c:pt>
                <c:pt idx="738">
                  <c:v>0</c:v>
                </c:pt>
                <c:pt idx="739">
                  <c:v>747</c:v>
                </c:pt>
                <c:pt idx="740">
                  <c:v>0</c:v>
                </c:pt>
                <c:pt idx="741">
                  <c:v>730</c:v>
                </c:pt>
                <c:pt idx="742">
                  <c:v>727</c:v>
                </c:pt>
                <c:pt idx="743">
                  <c:v>722</c:v>
                </c:pt>
                <c:pt idx="744">
                  <c:v>716</c:v>
                </c:pt>
                <c:pt idx="745">
                  <c:v>741</c:v>
                </c:pt>
                <c:pt idx="746">
                  <c:v>730</c:v>
                </c:pt>
                <c:pt idx="747">
                  <c:v>0</c:v>
                </c:pt>
                <c:pt idx="748">
                  <c:v>715</c:v>
                </c:pt>
                <c:pt idx="749">
                  <c:v>713</c:v>
                </c:pt>
                <c:pt idx="750">
                  <c:v>738</c:v>
                </c:pt>
                <c:pt idx="751">
                  <c:v>728</c:v>
                </c:pt>
                <c:pt idx="752">
                  <c:v>746</c:v>
                </c:pt>
                <c:pt idx="753">
                  <c:v>747</c:v>
                </c:pt>
                <c:pt idx="754">
                  <c:v>696</c:v>
                </c:pt>
                <c:pt idx="755">
                  <c:v>737</c:v>
                </c:pt>
                <c:pt idx="756">
                  <c:v>0</c:v>
                </c:pt>
                <c:pt idx="757">
                  <c:v>740</c:v>
                </c:pt>
                <c:pt idx="758">
                  <c:v>744</c:v>
                </c:pt>
                <c:pt idx="759">
                  <c:v>694</c:v>
                </c:pt>
                <c:pt idx="760">
                  <c:v>716</c:v>
                </c:pt>
                <c:pt idx="761">
                  <c:v>741</c:v>
                </c:pt>
                <c:pt idx="762">
                  <c:v>0</c:v>
                </c:pt>
                <c:pt idx="763">
                  <c:v>728</c:v>
                </c:pt>
                <c:pt idx="764">
                  <c:v>0</c:v>
                </c:pt>
                <c:pt idx="765">
                  <c:v>724</c:v>
                </c:pt>
                <c:pt idx="766">
                  <c:v>664</c:v>
                </c:pt>
                <c:pt idx="767">
                  <c:v>0</c:v>
                </c:pt>
                <c:pt idx="768">
                  <c:v>716</c:v>
                </c:pt>
                <c:pt idx="769">
                  <c:v>696</c:v>
                </c:pt>
                <c:pt idx="770">
                  <c:v>744</c:v>
                </c:pt>
                <c:pt idx="771">
                  <c:v>691</c:v>
                </c:pt>
                <c:pt idx="772">
                  <c:v>726</c:v>
                </c:pt>
                <c:pt idx="773">
                  <c:v>695</c:v>
                </c:pt>
                <c:pt idx="774">
                  <c:v>699</c:v>
                </c:pt>
                <c:pt idx="775">
                  <c:v>731</c:v>
                </c:pt>
                <c:pt idx="776">
                  <c:v>749</c:v>
                </c:pt>
                <c:pt idx="777">
                  <c:v>724</c:v>
                </c:pt>
                <c:pt idx="778">
                  <c:v>657</c:v>
                </c:pt>
                <c:pt idx="779">
                  <c:v>0</c:v>
                </c:pt>
                <c:pt idx="780">
                  <c:v>708</c:v>
                </c:pt>
                <c:pt idx="781">
                  <c:v>651</c:v>
                </c:pt>
                <c:pt idx="782">
                  <c:v>724</c:v>
                </c:pt>
                <c:pt idx="783">
                  <c:v>742</c:v>
                </c:pt>
                <c:pt idx="784">
                  <c:v>729</c:v>
                </c:pt>
                <c:pt idx="785">
                  <c:v>674</c:v>
                </c:pt>
                <c:pt idx="786">
                  <c:v>0</c:v>
                </c:pt>
                <c:pt idx="787">
                  <c:v>723</c:v>
                </c:pt>
                <c:pt idx="788">
                  <c:v>0</c:v>
                </c:pt>
                <c:pt idx="789">
                  <c:v>703</c:v>
                </c:pt>
                <c:pt idx="790">
                  <c:v>740</c:v>
                </c:pt>
                <c:pt idx="791">
                  <c:v>678</c:v>
                </c:pt>
                <c:pt idx="792">
                  <c:v>738</c:v>
                </c:pt>
                <c:pt idx="793">
                  <c:v>0</c:v>
                </c:pt>
                <c:pt idx="794">
                  <c:v>724</c:v>
                </c:pt>
                <c:pt idx="795">
                  <c:v>0</c:v>
                </c:pt>
                <c:pt idx="796">
                  <c:v>0</c:v>
                </c:pt>
                <c:pt idx="797">
                  <c:v>689</c:v>
                </c:pt>
                <c:pt idx="798">
                  <c:v>737</c:v>
                </c:pt>
                <c:pt idx="799">
                  <c:v>0</c:v>
                </c:pt>
                <c:pt idx="800">
                  <c:v>0</c:v>
                </c:pt>
                <c:pt idx="801">
                  <c:v>695</c:v>
                </c:pt>
                <c:pt idx="802">
                  <c:v>714</c:v>
                </c:pt>
                <c:pt idx="803">
                  <c:v>718</c:v>
                </c:pt>
                <c:pt idx="804">
                  <c:v>738</c:v>
                </c:pt>
                <c:pt idx="805">
                  <c:v>722</c:v>
                </c:pt>
                <c:pt idx="806">
                  <c:v>722</c:v>
                </c:pt>
                <c:pt idx="807">
                  <c:v>711</c:v>
                </c:pt>
                <c:pt idx="808">
                  <c:v>0</c:v>
                </c:pt>
                <c:pt idx="809">
                  <c:v>724</c:v>
                </c:pt>
                <c:pt idx="810">
                  <c:v>685</c:v>
                </c:pt>
                <c:pt idx="811">
                  <c:v>737</c:v>
                </c:pt>
                <c:pt idx="812">
                  <c:v>0</c:v>
                </c:pt>
                <c:pt idx="813">
                  <c:v>729</c:v>
                </c:pt>
                <c:pt idx="814">
                  <c:v>710</c:v>
                </c:pt>
                <c:pt idx="815">
                  <c:v>0</c:v>
                </c:pt>
                <c:pt idx="816">
                  <c:v>732</c:v>
                </c:pt>
                <c:pt idx="817">
                  <c:v>0</c:v>
                </c:pt>
                <c:pt idx="818">
                  <c:v>639</c:v>
                </c:pt>
                <c:pt idx="819">
                  <c:v>696</c:v>
                </c:pt>
                <c:pt idx="820">
                  <c:v>732</c:v>
                </c:pt>
                <c:pt idx="821">
                  <c:v>675</c:v>
                </c:pt>
                <c:pt idx="822">
                  <c:v>681</c:v>
                </c:pt>
                <c:pt idx="823">
                  <c:v>730</c:v>
                </c:pt>
                <c:pt idx="824">
                  <c:v>744</c:v>
                </c:pt>
                <c:pt idx="825">
                  <c:v>739</c:v>
                </c:pt>
                <c:pt idx="826">
                  <c:v>719</c:v>
                </c:pt>
                <c:pt idx="827">
                  <c:v>737</c:v>
                </c:pt>
                <c:pt idx="828">
                  <c:v>729</c:v>
                </c:pt>
                <c:pt idx="829">
                  <c:v>727</c:v>
                </c:pt>
                <c:pt idx="830">
                  <c:v>735</c:v>
                </c:pt>
                <c:pt idx="831">
                  <c:v>743</c:v>
                </c:pt>
                <c:pt idx="832">
                  <c:v>0</c:v>
                </c:pt>
                <c:pt idx="833">
                  <c:v>721</c:v>
                </c:pt>
                <c:pt idx="834">
                  <c:v>741</c:v>
                </c:pt>
                <c:pt idx="835">
                  <c:v>743</c:v>
                </c:pt>
                <c:pt idx="836">
                  <c:v>731</c:v>
                </c:pt>
                <c:pt idx="837">
                  <c:v>745</c:v>
                </c:pt>
                <c:pt idx="838">
                  <c:v>741</c:v>
                </c:pt>
                <c:pt idx="839">
                  <c:v>734</c:v>
                </c:pt>
                <c:pt idx="840">
                  <c:v>713</c:v>
                </c:pt>
                <c:pt idx="841">
                  <c:v>727</c:v>
                </c:pt>
                <c:pt idx="842">
                  <c:v>0</c:v>
                </c:pt>
                <c:pt idx="843">
                  <c:v>709</c:v>
                </c:pt>
                <c:pt idx="844">
                  <c:v>735</c:v>
                </c:pt>
                <c:pt idx="845">
                  <c:v>679</c:v>
                </c:pt>
                <c:pt idx="846">
                  <c:v>0</c:v>
                </c:pt>
                <c:pt idx="847">
                  <c:v>713</c:v>
                </c:pt>
                <c:pt idx="848">
                  <c:v>746</c:v>
                </c:pt>
                <c:pt idx="849">
                  <c:v>719</c:v>
                </c:pt>
                <c:pt idx="850">
                  <c:v>671</c:v>
                </c:pt>
                <c:pt idx="851">
                  <c:v>691</c:v>
                </c:pt>
                <c:pt idx="852">
                  <c:v>0</c:v>
                </c:pt>
                <c:pt idx="853">
                  <c:v>727</c:v>
                </c:pt>
                <c:pt idx="854">
                  <c:v>0</c:v>
                </c:pt>
                <c:pt idx="855">
                  <c:v>745</c:v>
                </c:pt>
                <c:pt idx="856">
                  <c:v>730</c:v>
                </c:pt>
                <c:pt idx="857">
                  <c:v>686</c:v>
                </c:pt>
                <c:pt idx="858">
                  <c:v>742</c:v>
                </c:pt>
                <c:pt idx="859">
                  <c:v>710</c:v>
                </c:pt>
                <c:pt idx="860">
                  <c:v>0</c:v>
                </c:pt>
                <c:pt idx="861">
                  <c:v>741</c:v>
                </c:pt>
                <c:pt idx="862">
                  <c:v>694</c:v>
                </c:pt>
                <c:pt idx="863">
                  <c:v>742</c:v>
                </c:pt>
                <c:pt idx="864">
                  <c:v>729</c:v>
                </c:pt>
                <c:pt idx="865">
                  <c:v>0</c:v>
                </c:pt>
                <c:pt idx="866">
                  <c:v>657</c:v>
                </c:pt>
                <c:pt idx="867">
                  <c:v>629</c:v>
                </c:pt>
                <c:pt idx="868">
                  <c:v>744</c:v>
                </c:pt>
                <c:pt idx="869">
                  <c:v>749</c:v>
                </c:pt>
                <c:pt idx="870">
                  <c:v>0</c:v>
                </c:pt>
                <c:pt idx="871">
                  <c:v>690</c:v>
                </c:pt>
                <c:pt idx="872">
                  <c:v>686</c:v>
                </c:pt>
                <c:pt idx="873">
                  <c:v>718</c:v>
                </c:pt>
                <c:pt idx="874">
                  <c:v>0</c:v>
                </c:pt>
                <c:pt idx="875">
                  <c:v>725</c:v>
                </c:pt>
                <c:pt idx="876">
                  <c:v>743</c:v>
                </c:pt>
                <c:pt idx="877">
                  <c:v>666</c:v>
                </c:pt>
                <c:pt idx="878">
                  <c:v>649</c:v>
                </c:pt>
                <c:pt idx="879">
                  <c:v>718</c:v>
                </c:pt>
                <c:pt idx="880">
                  <c:v>702</c:v>
                </c:pt>
                <c:pt idx="881">
                  <c:v>719</c:v>
                </c:pt>
                <c:pt idx="882">
                  <c:v>720</c:v>
                </c:pt>
                <c:pt idx="883">
                  <c:v>0</c:v>
                </c:pt>
                <c:pt idx="884">
                  <c:v>658</c:v>
                </c:pt>
                <c:pt idx="885">
                  <c:v>718</c:v>
                </c:pt>
                <c:pt idx="886">
                  <c:v>680</c:v>
                </c:pt>
                <c:pt idx="887">
                  <c:v>672</c:v>
                </c:pt>
                <c:pt idx="888">
                  <c:v>731</c:v>
                </c:pt>
                <c:pt idx="889">
                  <c:v>742</c:v>
                </c:pt>
                <c:pt idx="890">
                  <c:v>739</c:v>
                </c:pt>
                <c:pt idx="891">
                  <c:v>654</c:v>
                </c:pt>
                <c:pt idx="892">
                  <c:v>633</c:v>
                </c:pt>
                <c:pt idx="893">
                  <c:v>731</c:v>
                </c:pt>
                <c:pt idx="894">
                  <c:v>738</c:v>
                </c:pt>
                <c:pt idx="895">
                  <c:v>739</c:v>
                </c:pt>
                <c:pt idx="896">
                  <c:v>746</c:v>
                </c:pt>
                <c:pt idx="897">
                  <c:v>720</c:v>
                </c:pt>
                <c:pt idx="898">
                  <c:v>663</c:v>
                </c:pt>
                <c:pt idx="899">
                  <c:v>732</c:v>
                </c:pt>
                <c:pt idx="900">
                  <c:v>692</c:v>
                </c:pt>
                <c:pt idx="901">
                  <c:v>720</c:v>
                </c:pt>
                <c:pt idx="902">
                  <c:v>0</c:v>
                </c:pt>
                <c:pt idx="903">
                  <c:v>747</c:v>
                </c:pt>
                <c:pt idx="904">
                  <c:v>702</c:v>
                </c:pt>
                <c:pt idx="905">
                  <c:v>738</c:v>
                </c:pt>
                <c:pt idx="906">
                  <c:v>732</c:v>
                </c:pt>
                <c:pt idx="907">
                  <c:v>735</c:v>
                </c:pt>
                <c:pt idx="908">
                  <c:v>0</c:v>
                </c:pt>
                <c:pt idx="909">
                  <c:v>721</c:v>
                </c:pt>
                <c:pt idx="910">
                  <c:v>743</c:v>
                </c:pt>
                <c:pt idx="911">
                  <c:v>0</c:v>
                </c:pt>
                <c:pt idx="912">
                  <c:v>743</c:v>
                </c:pt>
                <c:pt idx="913">
                  <c:v>704</c:v>
                </c:pt>
                <c:pt idx="914">
                  <c:v>0</c:v>
                </c:pt>
                <c:pt idx="915">
                  <c:v>716</c:v>
                </c:pt>
                <c:pt idx="916">
                  <c:v>0</c:v>
                </c:pt>
                <c:pt idx="917">
                  <c:v>737</c:v>
                </c:pt>
                <c:pt idx="918">
                  <c:v>0</c:v>
                </c:pt>
                <c:pt idx="919">
                  <c:v>740</c:v>
                </c:pt>
                <c:pt idx="920">
                  <c:v>0</c:v>
                </c:pt>
                <c:pt idx="921">
                  <c:v>698</c:v>
                </c:pt>
                <c:pt idx="922">
                  <c:v>748</c:v>
                </c:pt>
                <c:pt idx="923">
                  <c:v>0</c:v>
                </c:pt>
                <c:pt idx="924">
                  <c:v>672</c:v>
                </c:pt>
                <c:pt idx="925">
                  <c:v>737</c:v>
                </c:pt>
                <c:pt idx="926">
                  <c:v>719</c:v>
                </c:pt>
                <c:pt idx="927">
                  <c:v>0</c:v>
                </c:pt>
                <c:pt idx="928">
                  <c:v>688</c:v>
                </c:pt>
                <c:pt idx="929">
                  <c:v>747</c:v>
                </c:pt>
                <c:pt idx="930">
                  <c:v>614</c:v>
                </c:pt>
                <c:pt idx="931">
                  <c:v>0</c:v>
                </c:pt>
                <c:pt idx="932">
                  <c:v>704</c:v>
                </c:pt>
                <c:pt idx="933">
                  <c:v>727</c:v>
                </c:pt>
                <c:pt idx="934">
                  <c:v>750</c:v>
                </c:pt>
                <c:pt idx="935">
                  <c:v>721</c:v>
                </c:pt>
                <c:pt idx="936">
                  <c:v>682</c:v>
                </c:pt>
                <c:pt idx="937">
                  <c:v>0</c:v>
                </c:pt>
                <c:pt idx="938">
                  <c:v>700</c:v>
                </c:pt>
                <c:pt idx="939">
                  <c:v>0</c:v>
                </c:pt>
                <c:pt idx="940">
                  <c:v>715</c:v>
                </c:pt>
                <c:pt idx="941">
                  <c:v>740</c:v>
                </c:pt>
                <c:pt idx="942">
                  <c:v>726</c:v>
                </c:pt>
                <c:pt idx="943">
                  <c:v>711</c:v>
                </c:pt>
                <c:pt idx="944">
                  <c:v>704</c:v>
                </c:pt>
                <c:pt idx="945">
                  <c:v>739</c:v>
                </c:pt>
                <c:pt idx="946">
                  <c:v>742</c:v>
                </c:pt>
                <c:pt idx="947">
                  <c:v>703</c:v>
                </c:pt>
                <c:pt idx="948">
                  <c:v>743</c:v>
                </c:pt>
                <c:pt idx="949">
                  <c:v>697</c:v>
                </c:pt>
                <c:pt idx="950">
                  <c:v>737</c:v>
                </c:pt>
                <c:pt idx="951">
                  <c:v>711</c:v>
                </c:pt>
                <c:pt idx="952">
                  <c:v>744</c:v>
                </c:pt>
                <c:pt idx="953">
                  <c:v>748</c:v>
                </c:pt>
                <c:pt idx="954">
                  <c:v>0</c:v>
                </c:pt>
                <c:pt idx="955">
                  <c:v>0</c:v>
                </c:pt>
                <c:pt idx="956">
                  <c:v>747</c:v>
                </c:pt>
                <c:pt idx="957">
                  <c:v>748</c:v>
                </c:pt>
                <c:pt idx="958">
                  <c:v>724</c:v>
                </c:pt>
                <c:pt idx="959">
                  <c:v>744</c:v>
                </c:pt>
                <c:pt idx="960">
                  <c:v>0</c:v>
                </c:pt>
                <c:pt idx="961">
                  <c:v>746</c:v>
                </c:pt>
                <c:pt idx="962">
                  <c:v>0</c:v>
                </c:pt>
                <c:pt idx="963">
                  <c:v>0</c:v>
                </c:pt>
                <c:pt idx="964">
                  <c:v>739</c:v>
                </c:pt>
                <c:pt idx="965">
                  <c:v>0</c:v>
                </c:pt>
                <c:pt idx="966">
                  <c:v>730</c:v>
                </c:pt>
                <c:pt idx="967">
                  <c:v>717</c:v>
                </c:pt>
                <c:pt idx="968">
                  <c:v>586</c:v>
                </c:pt>
                <c:pt idx="969">
                  <c:v>717</c:v>
                </c:pt>
                <c:pt idx="970">
                  <c:v>741</c:v>
                </c:pt>
                <c:pt idx="971">
                  <c:v>0</c:v>
                </c:pt>
                <c:pt idx="972">
                  <c:v>737</c:v>
                </c:pt>
                <c:pt idx="973">
                  <c:v>712</c:v>
                </c:pt>
                <c:pt idx="974">
                  <c:v>698</c:v>
                </c:pt>
                <c:pt idx="975">
                  <c:v>735</c:v>
                </c:pt>
                <c:pt idx="976">
                  <c:v>719</c:v>
                </c:pt>
                <c:pt idx="977">
                  <c:v>726</c:v>
                </c:pt>
                <c:pt idx="978">
                  <c:v>733</c:v>
                </c:pt>
                <c:pt idx="979">
                  <c:v>741</c:v>
                </c:pt>
                <c:pt idx="980">
                  <c:v>743</c:v>
                </c:pt>
                <c:pt idx="981">
                  <c:v>0</c:v>
                </c:pt>
                <c:pt idx="982">
                  <c:v>724</c:v>
                </c:pt>
                <c:pt idx="983">
                  <c:v>735</c:v>
                </c:pt>
                <c:pt idx="984">
                  <c:v>702</c:v>
                </c:pt>
                <c:pt idx="985">
                  <c:v>738</c:v>
                </c:pt>
                <c:pt idx="986">
                  <c:v>725</c:v>
                </c:pt>
                <c:pt idx="987">
                  <c:v>745</c:v>
                </c:pt>
                <c:pt idx="988">
                  <c:v>727</c:v>
                </c:pt>
                <c:pt idx="989">
                  <c:v>0</c:v>
                </c:pt>
                <c:pt idx="990">
                  <c:v>723</c:v>
                </c:pt>
                <c:pt idx="991">
                  <c:v>0</c:v>
                </c:pt>
                <c:pt idx="992">
                  <c:v>750</c:v>
                </c:pt>
                <c:pt idx="993">
                  <c:v>718</c:v>
                </c:pt>
                <c:pt idx="994">
                  <c:v>713</c:v>
                </c:pt>
                <c:pt idx="995">
                  <c:v>693</c:v>
                </c:pt>
                <c:pt idx="996">
                  <c:v>740</c:v>
                </c:pt>
                <c:pt idx="997">
                  <c:v>0</c:v>
                </c:pt>
                <c:pt idx="998">
                  <c:v>738</c:v>
                </c:pt>
                <c:pt idx="999">
                  <c:v>681</c:v>
                </c:pt>
                <c:pt idx="1000">
                  <c:v>719</c:v>
                </c:pt>
                <c:pt idx="1001">
                  <c:v>720</c:v>
                </c:pt>
                <c:pt idx="1002">
                  <c:v>699</c:v>
                </c:pt>
                <c:pt idx="1003">
                  <c:v>732</c:v>
                </c:pt>
                <c:pt idx="1004">
                  <c:v>693</c:v>
                </c:pt>
                <c:pt idx="1005">
                  <c:v>723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744</c:v>
                </c:pt>
                <c:pt idx="1011">
                  <c:v>723</c:v>
                </c:pt>
                <c:pt idx="1012">
                  <c:v>733</c:v>
                </c:pt>
                <c:pt idx="1013">
                  <c:v>686</c:v>
                </c:pt>
                <c:pt idx="1014">
                  <c:v>720</c:v>
                </c:pt>
                <c:pt idx="1015">
                  <c:v>746</c:v>
                </c:pt>
                <c:pt idx="1016">
                  <c:v>0</c:v>
                </c:pt>
                <c:pt idx="1017">
                  <c:v>690</c:v>
                </c:pt>
                <c:pt idx="1018">
                  <c:v>647</c:v>
                </c:pt>
                <c:pt idx="1019">
                  <c:v>691</c:v>
                </c:pt>
                <c:pt idx="1020">
                  <c:v>675</c:v>
                </c:pt>
                <c:pt idx="1021">
                  <c:v>747</c:v>
                </c:pt>
                <c:pt idx="1022">
                  <c:v>0</c:v>
                </c:pt>
                <c:pt idx="1023">
                  <c:v>704</c:v>
                </c:pt>
                <c:pt idx="1024">
                  <c:v>719</c:v>
                </c:pt>
                <c:pt idx="1025">
                  <c:v>0</c:v>
                </c:pt>
                <c:pt idx="1026">
                  <c:v>0</c:v>
                </c:pt>
                <c:pt idx="1027">
                  <c:v>730</c:v>
                </c:pt>
                <c:pt idx="1028">
                  <c:v>673</c:v>
                </c:pt>
                <c:pt idx="1029">
                  <c:v>724</c:v>
                </c:pt>
                <c:pt idx="1030">
                  <c:v>724</c:v>
                </c:pt>
                <c:pt idx="1031">
                  <c:v>729</c:v>
                </c:pt>
                <c:pt idx="1032">
                  <c:v>720</c:v>
                </c:pt>
                <c:pt idx="1033">
                  <c:v>738</c:v>
                </c:pt>
                <c:pt idx="1034">
                  <c:v>647</c:v>
                </c:pt>
                <c:pt idx="1035">
                  <c:v>738</c:v>
                </c:pt>
                <c:pt idx="1036">
                  <c:v>666</c:v>
                </c:pt>
                <c:pt idx="1037">
                  <c:v>728</c:v>
                </c:pt>
                <c:pt idx="1038">
                  <c:v>744</c:v>
                </c:pt>
                <c:pt idx="1039">
                  <c:v>0</c:v>
                </c:pt>
                <c:pt idx="1040">
                  <c:v>669</c:v>
                </c:pt>
                <c:pt idx="1041">
                  <c:v>723</c:v>
                </c:pt>
                <c:pt idx="1042">
                  <c:v>749</c:v>
                </c:pt>
                <c:pt idx="1043">
                  <c:v>747</c:v>
                </c:pt>
                <c:pt idx="1044">
                  <c:v>743</c:v>
                </c:pt>
                <c:pt idx="1045">
                  <c:v>740</c:v>
                </c:pt>
                <c:pt idx="1046">
                  <c:v>0</c:v>
                </c:pt>
                <c:pt idx="1047">
                  <c:v>725</c:v>
                </c:pt>
                <c:pt idx="1048">
                  <c:v>727</c:v>
                </c:pt>
                <c:pt idx="1049">
                  <c:v>743</c:v>
                </c:pt>
                <c:pt idx="1050">
                  <c:v>0</c:v>
                </c:pt>
                <c:pt idx="1051">
                  <c:v>0</c:v>
                </c:pt>
                <c:pt idx="1052">
                  <c:v>739</c:v>
                </c:pt>
                <c:pt idx="1053">
                  <c:v>0</c:v>
                </c:pt>
                <c:pt idx="1054">
                  <c:v>726</c:v>
                </c:pt>
                <c:pt idx="1055">
                  <c:v>719</c:v>
                </c:pt>
                <c:pt idx="1056">
                  <c:v>0</c:v>
                </c:pt>
                <c:pt idx="1057">
                  <c:v>710</c:v>
                </c:pt>
                <c:pt idx="1058">
                  <c:v>735</c:v>
                </c:pt>
                <c:pt idx="1059">
                  <c:v>682</c:v>
                </c:pt>
                <c:pt idx="1060">
                  <c:v>0</c:v>
                </c:pt>
                <c:pt idx="1061">
                  <c:v>716</c:v>
                </c:pt>
                <c:pt idx="1062">
                  <c:v>0</c:v>
                </c:pt>
                <c:pt idx="1063">
                  <c:v>724</c:v>
                </c:pt>
                <c:pt idx="1064">
                  <c:v>738</c:v>
                </c:pt>
                <c:pt idx="1065">
                  <c:v>716</c:v>
                </c:pt>
                <c:pt idx="1066">
                  <c:v>0</c:v>
                </c:pt>
                <c:pt idx="1067">
                  <c:v>708</c:v>
                </c:pt>
                <c:pt idx="1068">
                  <c:v>705</c:v>
                </c:pt>
                <c:pt idx="1069">
                  <c:v>725</c:v>
                </c:pt>
                <c:pt idx="1070">
                  <c:v>740</c:v>
                </c:pt>
                <c:pt idx="1071">
                  <c:v>680</c:v>
                </c:pt>
                <c:pt idx="1072">
                  <c:v>721</c:v>
                </c:pt>
                <c:pt idx="1073">
                  <c:v>0</c:v>
                </c:pt>
                <c:pt idx="1074">
                  <c:v>731</c:v>
                </c:pt>
                <c:pt idx="1075">
                  <c:v>0</c:v>
                </c:pt>
                <c:pt idx="1076">
                  <c:v>726</c:v>
                </c:pt>
                <c:pt idx="1077">
                  <c:v>681</c:v>
                </c:pt>
                <c:pt idx="1078">
                  <c:v>692</c:v>
                </c:pt>
                <c:pt idx="1079">
                  <c:v>0</c:v>
                </c:pt>
                <c:pt idx="1080">
                  <c:v>0</c:v>
                </c:pt>
                <c:pt idx="1081">
                  <c:v>709</c:v>
                </c:pt>
                <c:pt idx="1082">
                  <c:v>719</c:v>
                </c:pt>
                <c:pt idx="1083">
                  <c:v>0</c:v>
                </c:pt>
                <c:pt idx="1084">
                  <c:v>630</c:v>
                </c:pt>
                <c:pt idx="1085">
                  <c:v>0</c:v>
                </c:pt>
                <c:pt idx="1086">
                  <c:v>652</c:v>
                </c:pt>
                <c:pt idx="1087">
                  <c:v>0</c:v>
                </c:pt>
                <c:pt idx="1088">
                  <c:v>0</c:v>
                </c:pt>
                <c:pt idx="1089">
                  <c:v>667</c:v>
                </c:pt>
                <c:pt idx="1090">
                  <c:v>0</c:v>
                </c:pt>
                <c:pt idx="1091">
                  <c:v>730</c:v>
                </c:pt>
                <c:pt idx="1092">
                  <c:v>0</c:v>
                </c:pt>
                <c:pt idx="1093">
                  <c:v>741</c:v>
                </c:pt>
                <c:pt idx="1094">
                  <c:v>714</c:v>
                </c:pt>
                <c:pt idx="1095">
                  <c:v>705</c:v>
                </c:pt>
                <c:pt idx="1096">
                  <c:v>745</c:v>
                </c:pt>
                <c:pt idx="1097">
                  <c:v>0</c:v>
                </c:pt>
                <c:pt idx="1098">
                  <c:v>739</c:v>
                </c:pt>
                <c:pt idx="1099">
                  <c:v>0</c:v>
                </c:pt>
                <c:pt idx="1100">
                  <c:v>723</c:v>
                </c:pt>
                <c:pt idx="1101">
                  <c:v>711</c:v>
                </c:pt>
                <c:pt idx="1102">
                  <c:v>688</c:v>
                </c:pt>
                <c:pt idx="1103">
                  <c:v>746</c:v>
                </c:pt>
                <c:pt idx="1104">
                  <c:v>695</c:v>
                </c:pt>
                <c:pt idx="1105">
                  <c:v>735</c:v>
                </c:pt>
                <c:pt idx="1106">
                  <c:v>743</c:v>
                </c:pt>
                <c:pt idx="1107">
                  <c:v>723</c:v>
                </c:pt>
                <c:pt idx="1108">
                  <c:v>738</c:v>
                </c:pt>
                <c:pt idx="1109">
                  <c:v>0</c:v>
                </c:pt>
                <c:pt idx="1110">
                  <c:v>0</c:v>
                </c:pt>
                <c:pt idx="1111">
                  <c:v>741</c:v>
                </c:pt>
                <c:pt idx="1112">
                  <c:v>719</c:v>
                </c:pt>
                <c:pt idx="1113">
                  <c:v>665</c:v>
                </c:pt>
                <c:pt idx="1114">
                  <c:v>720</c:v>
                </c:pt>
                <c:pt idx="1115">
                  <c:v>676</c:v>
                </c:pt>
                <c:pt idx="1116">
                  <c:v>0</c:v>
                </c:pt>
                <c:pt idx="1117">
                  <c:v>720</c:v>
                </c:pt>
                <c:pt idx="1118">
                  <c:v>701</c:v>
                </c:pt>
                <c:pt idx="1119">
                  <c:v>742</c:v>
                </c:pt>
                <c:pt idx="1120">
                  <c:v>698</c:v>
                </c:pt>
                <c:pt idx="1121">
                  <c:v>689</c:v>
                </c:pt>
                <c:pt idx="1122">
                  <c:v>743</c:v>
                </c:pt>
                <c:pt idx="1123">
                  <c:v>747</c:v>
                </c:pt>
                <c:pt idx="1124">
                  <c:v>707</c:v>
                </c:pt>
                <c:pt idx="1125">
                  <c:v>725</c:v>
                </c:pt>
                <c:pt idx="1126">
                  <c:v>686</c:v>
                </c:pt>
                <c:pt idx="1127">
                  <c:v>0</c:v>
                </c:pt>
                <c:pt idx="1128">
                  <c:v>0</c:v>
                </c:pt>
                <c:pt idx="1129">
                  <c:v>663</c:v>
                </c:pt>
                <c:pt idx="1130">
                  <c:v>726</c:v>
                </c:pt>
                <c:pt idx="1131">
                  <c:v>739</c:v>
                </c:pt>
                <c:pt idx="1132">
                  <c:v>745</c:v>
                </c:pt>
                <c:pt idx="1133">
                  <c:v>687</c:v>
                </c:pt>
                <c:pt idx="1134">
                  <c:v>745</c:v>
                </c:pt>
                <c:pt idx="1135">
                  <c:v>740</c:v>
                </c:pt>
                <c:pt idx="1136">
                  <c:v>694</c:v>
                </c:pt>
                <c:pt idx="1137">
                  <c:v>0</c:v>
                </c:pt>
                <c:pt idx="1138">
                  <c:v>685</c:v>
                </c:pt>
                <c:pt idx="1139">
                  <c:v>0</c:v>
                </c:pt>
                <c:pt idx="1140">
                  <c:v>723</c:v>
                </c:pt>
                <c:pt idx="1141">
                  <c:v>739</c:v>
                </c:pt>
                <c:pt idx="1142">
                  <c:v>724</c:v>
                </c:pt>
                <c:pt idx="1143">
                  <c:v>695</c:v>
                </c:pt>
                <c:pt idx="1144">
                  <c:v>749</c:v>
                </c:pt>
                <c:pt idx="1145">
                  <c:v>0</c:v>
                </c:pt>
                <c:pt idx="1146">
                  <c:v>734</c:v>
                </c:pt>
                <c:pt idx="1147">
                  <c:v>731</c:v>
                </c:pt>
                <c:pt idx="1148">
                  <c:v>733</c:v>
                </c:pt>
                <c:pt idx="1149">
                  <c:v>740</c:v>
                </c:pt>
                <c:pt idx="1150">
                  <c:v>714</c:v>
                </c:pt>
                <c:pt idx="1151">
                  <c:v>637</c:v>
                </c:pt>
                <c:pt idx="1152">
                  <c:v>717</c:v>
                </c:pt>
                <c:pt idx="1153">
                  <c:v>746</c:v>
                </c:pt>
                <c:pt idx="1154">
                  <c:v>0</c:v>
                </c:pt>
                <c:pt idx="1155">
                  <c:v>721</c:v>
                </c:pt>
                <c:pt idx="1156">
                  <c:v>690</c:v>
                </c:pt>
                <c:pt idx="1157">
                  <c:v>0</c:v>
                </c:pt>
                <c:pt idx="1158">
                  <c:v>699</c:v>
                </c:pt>
                <c:pt idx="1159">
                  <c:v>703</c:v>
                </c:pt>
                <c:pt idx="1160">
                  <c:v>0</c:v>
                </c:pt>
                <c:pt idx="1161">
                  <c:v>694</c:v>
                </c:pt>
                <c:pt idx="1162">
                  <c:v>699</c:v>
                </c:pt>
                <c:pt idx="1163">
                  <c:v>681</c:v>
                </c:pt>
                <c:pt idx="1164">
                  <c:v>746</c:v>
                </c:pt>
                <c:pt idx="1165">
                  <c:v>0</c:v>
                </c:pt>
                <c:pt idx="1166">
                  <c:v>708</c:v>
                </c:pt>
                <c:pt idx="1167">
                  <c:v>731</c:v>
                </c:pt>
                <c:pt idx="1168">
                  <c:v>0</c:v>
                </c:pt>
                <c:pt idx="1169">
                  <c:v>661</c:v>
                </c:pt>
                <c:pt idx="1170">
                  <c:v>731</c:v>
                </c:pt>
                <c:pt idx="1171">
                  <c:v>0</c:v>
                </c:pt>
                <c:pt idx="1172">
                  <c:v>742</c:v>
                </c:pt>
                <c:pt idx="1173">
                  <c:v>751</c:v>
                </c:pt>
                <c:pt idx="1174">
                  <c:v>729</c:v>
                </c:pt>
                <c:pt idx="1175">
                  <c:v>740</c:v>
                </c:pt>
                <c:pt idx="1176">
                  <c:v>714</c:v>
                </c:pt>
                <c:pt idx="1177">
                  <c:v>0</c:v>
                </c:pt>
                <c:pt idx="1178">
                  <c:v>699</c:v>
                </c:pt>
                <c:pt idx="1179">
                  <c:v>697</c:v>
                </c:pt>
                <c:pt idx="1180">
                  <c:v>737</c:v>
                </c:pt>
                <c:pt idx="1181">
                  <c:v>657</c:v>
                </c:pt>
                <c:pt idx="1182">
                  <c:v>749</c:v>
                </c:pt>
                <c:pt idx="1183">
                  <c:v>674</c:v>
                </c:pt>
                <c:pt idx="1184">
                  <c:v>745</c:v>
                </c:pt>
                <c:pt idx="1185">
                  <c:v>703</c:v>
                </c:pt>
                <c:pt idx="1186">
                  <c:v>721</c:v>
                </c:pt>
                <c:pt idx="1187">
                  <c:v>740</c:v>
                </c:pt>
                <c:pt idx="1188">
                  <c:v>718</c:v>
                </c:pt>
                <c:pt idx="1189">
                  <c:v>748</c:v>
                </c:pt>
                <c:pt idx="1190">
                  <c:v>737</c:v>
                </c:pt>
                <c:pt idx="1191">
                  <c:v>709</c:v>
                </c:pt>
                <c:pt idx="1192">
                  <c:v>746</c:v>
                </c:pt>
                <c:pt idx="1193">
                  <c:v>645</c:v>
                </c:pt>
                <c:pt idx="1194">
                  <c:v>710</c:v>
                </c:pt>
                <c:pt idx="1195">
                  <c:v>740</c:v>
                </c:pt>
                <c:pt idx="1196">
                  <c:v>0</c:v>
                </c:pt>
                <c:pt idx="1197">
                  <c:v>751</c:v>
                </c:pt>
                <c:pt idx="1198">
                  <c:v>743</c:v>
                </c:pt>
                <c:pt idx="1199">
                  <c:v>644</c:v>
                </c:pt>
                <c:pt idx="1200">
                  <c:v>692</c:v>
                </c:pt>
                <c:pt idx="1201">
                  <c:v>670</c:v>
                </c:pt>
                <c:pt idx="1202">
                  <c:v>0</c:v>
                </c:pt>
                <c:pt idx="1203">
                  <c:v>729</c:v>
                </c:pt>
                <c:pt idx="1204">
                  <c:v>618</c:v>
                </c:pt>
                <c:pt idx="1205">
                  <c:v>739</c:v>
                </c:pt>
                <c:pt idx="1206">
                  <c:v>738</c:v>
                </c:pt>
                <c:pt idx="1207">
                  <c:v>722</c:v>
                </c:pt>
                <c:pt idx="1208">
                  <c:v>707</c:v>
                </c:pt>
                <c:pt idx="1209">
                  <c:v>703</c:v>
                </c:pt>
                <c:pt idx="1210">
                  <c:v>700</c:v>
                </c:pt>
                <c:pt idx="1211">
                  <c:v>709</c:v>
                </c:pt>
                <c:pt idx="1212">
                  <c:v>0</c:v>
                </c:pt>
                <c:pt idx="1213">
                  <c:v>696</c:v>
                </c:pt>
                <c:pt idx="1214">
                  <c:v>640</c:v>
                </c:pt>
                <c:pt idx="1215">
                  <c:v>716</c:v>
                </c:pt>
                <c:pt idx="1216">
                  <c:v>721</c:v>
                </c:pt>
                <c:pt idx="1217">
                  <c:v>744</c:v>
                </c:pt>
                <c:pt idx="1218">
                  <c:v>0</c:v>
                </c:pt>
                <c:pt idx="1219">
                  <c:v>695</c:v>
                </c:pt>
                <c:pt idx="1220">
                  <c:v>715</c:v>
                </c:pt>
                <c:pt idx="1221">
                  <c:v>705</c:v>
                </c:pt>
                <c:pt idx="1222">
                  <c:v>0</c:v>
                </c:pt>
                <c:pt idx="1223">
                  <c:v>0</c:v>
                </c:pt>
                <c:pt idx="1224">
                  <c:v>735</c:v>
                </c:pt>
                <c:pt idx="1225">
                  <c:v>0</c:v>
                </c:pt>
                <c:pt idx="1226">
                  <c:v>713</c:v>
                </c:pt>
                <c:pt idx="1227">
                  <c:v>720</c:v>
                </c:pt>
                <c:pt idx="1228">
                  <c:v>618</c:v>
                </c:pt>
                <c:pt idx="1229">
                  <c:v>719</c:v>
                </c:pt>
                <c:pt idx="1230">
                  <c:v>723</c:v>
                </c:pt>
                <c:pt idx="1231">
                  <c:v>708</c:v>
                </c:pt>
                <c:pt idx="1232">
                  <c:v>748</c:v>
                </c:pt>
                <c:pt idx="1233">
                  <c:v>706</c:v>
                </c:pt>
                <c:pt idx="1234">
                  <c:v>701</c:v>
                </c:pt>
                <c:pt idx="1235">
                  <c:v>746</c:v>
                </c:pt>
                <c:pt idx="1236">
                  <c:v>0</c:v>
                </c:pt>
                <c:pt idx="1237">
                  <c:v>747</c:v>
                </c:pt>
                <c:pt idx="1238">
                  <c:v>746</c:v>
                </c:pt>
                <c:pt idx="1239">
                  <c:v>741</c:v>
                </c:pt>
                <c:pt idx="1240">
                  <c:v>0</c:v>
                </c:pt>
                <c:pt idx="1241">
                  <c:v>726</c:v>
                </c:pt>
                <c:pt idx="1242">
                  <c:v>747</c:v>
                </c:pt>
                <c:pt idx="1243">
                  <c:v>738</c:v>
                </c:pt>
                <c:pt idx="1244">
                  <c:v>740</c:v>
                </c:pt>
                <c:pt idx="1245">
                  <c:v>720</c:v>
                </c:pt>
                <c:pt idx="1246">
                  <c:v>709</c:v>
                </c:pt>
                <c:pt idx="1247">
                  <c:v>729</c:v>
                </c:pt>
                <c:pt idx="1248">
                  <c:v>710</c:v>
                </c:pt>
                <c:pt idx="1249">
                  <c:v>694</c:v>
                </c:pt>
                <c:pt idx="1250">
                  <c:v>0</c:v>
                </c:pt>
                <c:pt idx="1251">
                  <c:v>0</c:v>
                </c:pt>
                <c:pt idx="1252">
                  <c:v>745</c:v>
                </c:pt>
                <c:pt idx="1253">
                  <c:v>727</c:v>
                </c:pt>
                <c:pt idx="1254">
                  <c:v>707</c:v>
                </c:pt>
                <c:pt idx="1255">
                  <c:v>731</c:v>
                </c:pt>
                <c:pt idx="1256">
                  <c:v>0</c:v>
                </c:pt>
                <c:pt idx="1257">
                  <c:v>737</c:v>
                </c:pt>
                <c:pt idx="1258">
                  <c:v>741</c:v>
                </c:pt>
                <c:pt idx="1259">
                  <c:v>724</c:v>
                </c:pt>
                <c:pt idx="1260">
                  <c:v>731</c:v>
                </c:pt>
                <c:pt idx="1261">
                  <c:v>736</c:v>
                </c:pt>
                <c:pt idx="1262">
                  <c:v>720</c:v>
                </c:pt>
                <c:pt idx="1263">
                  <c:v>702</c:v>
                </c:pt>
                <c:pt idx="1264">
                  <c:v>0</c:v>
                </c:pt>
                <c:pt idx="1265">
                  <c:v>702</c:v>
                </c:pt>
                <c:pt idx="1266">
                  <c:v>720</c:v>
                </c:pt>
                <c:pt idx="1267">
                  <c:v>701</c:v>
                </c:pt>
                <c:pt idx="1268">
                  <c:v>0</c:v>
                </c:pt>
                <c:pt idx="1269">
                  <c:v>686</c:v>
                </c:pt>
                <c:pt idx="1270">
                  <c:v>714</c:v>
                </c:pt>
                <c:pt idx="1271">
                  <c:v>716</c:v>
                </c:pt>
                <c:pt idx="1272">
                  <c:v>682</c:v>
                </c:pt>
                <c:pt idx="1273">
                  <c:v>716</c:v>
                </c:pt>
                <c:pt idx="1274">
                  <c:v>694</c:v>
                </c:pt>
                <c:pt idx="1275">
                  <c:v>712</c:v>
                </c:pt>
                <c:pt idx="1276">
                  <c:v>0</c:v>
                </c:pt>
                <c:pt idx="1277">
                  <c:v>742</c:v>
                </c:pt>
                <c:pt idx="1278">
                  <c:v>732</c:v>
                </c:pt>
                <c:pt idx="1279">
                  <c:v>735</c:v>
                </c:pt>
                <c:pt idx="1280">
                  <c:v>721</c:v>
                </c:pt>
                <c:pt idx="1281">
                  <c:v>730</c:v>
                </c:pt>
                <c:pt idx="1282">
                  <c:v>0</c:v>
                </c:pt>
                <c:pt idx="1283">
                  <c:v>723</c:v>
                </c:pt>
                <c:pt idx="1284">
                  <c:v>716</c:v>
                </c:pt>
                <c:pt idx="1285">
                  <c:v>709</c:v>
                </c:pt>
                <c:pt idx="1286">
                  <c:v>684</c:v>
                </c:pt>
                <c:pt idx="1287">
                  <c:v>0</c:v>
                </c:pt>
                <c:pt idx="1288">
                  <c:v>718</c:v>
                </c:pt>
                <c:pt idx="1289">
                  <c:v>738</c:v>
                </c:pt>
                <c:pt idx="1290">
                  <c:v>698</c:v>
                </c:pt>
                <c:pt idx="1291">
                  <c:v>704</c:v>
                </c:pt>
                <c:pt idx="1292">
                  <c:v>718</c:v>
                </c:pt>
                <c:pt idx="1293">
                  <c:v>719</c:v>
                </c:pt>
                <c:pt idx="1294">
                  <c:v>672</c:v>
                </c:pt>
                <c:pt idx="1295">
                  <c:v>701</c:v>
                </c:pt>
                <c:pt idx="1296">
                  <c:v>711</c:v>
                </c:pt>
                <c:pt idx="1297">
                  <c:v>704</c:v>
                </c:pt>
                <c:pt idx="1298">
                  <c:v>727</c:v>
                </c:pt>
                <c:pt idx="1299">
                  <c:v>725</c:v>
                </c:pt>
                <c:pt idx="1300">
                  <c:v>0</c:v>
                </c:pt>
                <c:pt idx="1301">
                  <c:v>684</c:v>
                </c:pt>
                <c:pt idx="1302">
                  <c:v>748</c:v>
                </c:pt>
                <c:pt idx="1303">
                  <c:v>0</c:v>
                </c:pt>
                <c:pt idx="1304">
                  <c:v>677</c:v>
                </c:pt>
                <c:pt idx="1305">
                  <c:v>693</c:v>
                </c:pt>
                <c:pt idx="1306">
                  <c:v>730</c:v>
                </c:pt>
                <c:pt idx="1307">
                  <c:v>613</c:v>
                </c:pt>
                <c:pt idx="1308">
                  <c:v>0</c:v>
                </c:pt>
                <c:pt idx="1309">
                  <c:v>0</c:v>
                </c:pt>
                <c:pt idx="1310">
                  <c:v>661</c:v>
                </c:pt>
                <c:pt idx="1311">
                  <c:v>747</c:v>
                </c:pt>
                <c:pt idx="1312">
                  <c:v>673</c:v>
                </c:pt>
                <c:pt idx="1313">
                  <c:v>0</c:v>
                </c:pt>
                <c:pt idx="1314">
                  <c:v>741</c:v>
                </c:pt>
                <c:pt idx="1315">
                  <c:v>721</c:v>
                </c:pt>
                <c:pt idx="1316">
                  <c:v>0</c:v>
                </c:pt>
                <c:pt idx="1317">
                  <c:v>708</c:v>
                </c:pt>
                <c:pt idx="1318">
                  <c:v>737</c:v>
                </c:pt>
                <c:pt idx="1319">
                  <c:v>746</c:v>
                </c:pt>
                <c:pt idx="1320">
                  <c:v>0</c:v>
                </c:pt>
                <c:pt idx="1321">
                  <c:v>747</c:v>
                </c:pt>
                <c:pt idx="1322">
                  <c:v>723</c:v>
                </c:pt>
                <c:pt idx="1323">
                  <c:v>732</c:v>
                </c:pt>
                <c:pt idx="1324">
                  <c:v>741</c:v>
                </c:pt>
                <c:pt idx="1325">
                  <c:v>0</c:v>
                </c:pt>
                <c:pt idx="1326">
                  <c:v>745</c:v>
                </c:pt>
                <c:pt idx="1327">
                  <c:v>747</c:v>
                </c:pt>
                <c:pt idx="1328">
                  <c:v>0</c:v>
                </c:pt>
                <c:pt idx="1329">
                  <c:v>725</c:v>
                </c:pt>
                <c:pt idx="1330">
                  <c:v>0</c:v>
                </c:pt>
                <c:pt idx="1331">
                  <c:v>645</c:v>
                </c:pt>
                <c:pt idx="1332">
                  <c:v>738</c:v>
                </c:pt>
                <c:pt idx="1333">
                  <c:v>654</c:v>
                </c:pt>
                <c:pt idx="1334">
                  <c:v>678</c:v>
                </c:pt>
                <c:pt idx="1335">
                  <c:v>725</c:v>
                </c:pt>
                <c:pt idx="1336">
                  <c:v>692</c:v>
                </c:pt>
                <c:pt idx="1337">
                  <c:v>0</c:v>
                </c:pt>
                <c:pt idx="1338">
                  <c:v>0</c:v>
                </c:pt>
                <c:pt idx="1339">
                  <c:v>736</c:v>
                </c:pt>
                <c:pt idx="1340">
                  <c:v>696</c:v>
                </c:pt>
                <c:pt idx="1341">
                  <c:v>714</c:v>
                </c:pt>
                <c:pt idx="1342">
                  <c:v>725</c:v>
                </c:pt>
                <c:pt idx="1343">
                  <c:v>711</c:v>
                </c:pt>
                <c:pt idx="1344">
                  <c:v>674</c:v>
                </c:pt>
                <c:pt idx="1345">
                  <c:v>718</c:v>
                </c:pt>
                <c:pt idx="1346">
                  <c:v>0</c:v>
                </c:pt>
                <c:pt idx="1347">
                  <c:v>737</c:v>
                </c:pt>
                <c:pt idx="1348">
                  <c:v>674</c:v>
                </c:pt>
                <c:pt idx="1349">
                  <c:v>748</c:v>
                </c:pt>
                <c:pt idx="1350">
                  <c:v>700</c:v>
                </c:pt>
                <c:pt idx="1351">
                  <c:v>0</c:v>
                </c:pt>
                <c:pt idx="1352">
                  <c:v>737</c:v>
                </c:pt>
                <c:pt idx="1353">
                  <c:v>721</c:v>
                </c:pt>
                <c:pt idx="1354">
                  <c:v>717</c:v>
                </c:pt>
                <c:pt idx="1355">
                  <c:v>743</c:v>
                </c:pt>
                <c:pt idx="1356">
                  <c:v>668</c:v>
                </c:pt>
                <c:pt idx="1357">
                  <c:v>0</c:v>
                </c:pt>
                <c:pt idx="1358">
                  <c:v>688</c:v>
                </c:pt>
                <c:pt idx="1359">
                  <c:v>0</c:v>
                </c:pt>
                <c:pt idx="1360">
                  <c:v>727</c:v>
                </c:pt>
                <c:pt idx="1361">
                  <c:v>735</c:v>
                </c:pt>
                <c:pt idx="1362">
                  <c:v>737</c:v>
                </c:pt>
                <c:pt idx="1363">
                  <c:v>668</c:v>
                </c:pt>
                <c:pt idx="1364">
                  <c:v>0</c:v>
                </c:pt>
                <c:pt idx="1365">
                  <c:v>719</c:v>
                </c:pt>
                <c:pt idx="1366">
                  <c:v>739</c:v>
                </c:pt>
                <c:pt idx="1367">
                  <c:v>723</c:v>
                </c:pt>
                <c:pt idx="1368">
                  <c:v>730</c:v>
                </c:pt>
                <c:pt idx="1369">
                  <c:v>741</c:v>
                </c:pt>
                <c:pt idx="1370">
                  <c:v>720</c:v>
                </c:pt>
                <c:pt idx="1371">
                  <c:v>718</c:v>
                </c:pt>
                <c:pt idx="1372">
                  <c:v>699</c:v>
                </c:pt>
                <c:pt idx="1373">
                  <c:v>730</c:v>
                </c:pt>
                <c:pt idx="1374">
                  <c:v>703</c:v>
                </c:pt>
                <c:pt idx="1375">
                  <c:v>0</c:v>
                </c:pt>
                <c:pt idx="1376">
                  <c:v>730</c:v>
                </c:pt>
                <c:pt idx="1377">
                  <c:v>732</c:v>
                </c:pt>
                <c:pt idx="1378">
                  <c:v>738</c:v>
                </c:pt>
                <c:pt idx="1379">
                  <c:v>738</c:v>
                </c:pt>
                <c:pt idx="1380">
                  <c:v>720</c:v>
                </c:pt>
                <c:pt idx="1381">
                  <c:v>737</c:v>
                </c:pt>
                <c:pt idx="1382">
                  <c:v>0</c:v>
                </c:pt>
                <c:pt idx="1383">
                  <c:v>728</c:v>
                </c:pt>
                <c:pt idx="1384">
                  <c:v>732</c:v>
                </c:pt>
                <c:pt idx="1385">
                  <c:v>739</c:v>
                </c:pt>
                <c:pt idx="1386">
                  <c:v>702</c:v>
                </c:pt>
                <c:pt idx="1387">
                  <c:v>742</c:v>
                </c:pt>
                <c:pt idx="1388">
                  <c:v>728</c:v>
                </c:pt>
                <c:pt idx="1389">
                  <c:v>707</c:v>
                </c:pt>
                <c:pt idx="1390">
                  <c:v>724</c:v>
                </c:pt>
                <c:pt idx="1391">
                  <c:v>0</c:v>
                </c:pt>
                <c:pt idx="1392">
                  <c:v>729</c:v>
                </c:pt>
                <c:pt idx="1393">
                  <c:v>719</c:v>
                </c:pt>
                <c:pt idx="1394">
                  <c:v>708</c:v>
                </c:pt>
                <c:pt idx="1395">
                  <c:v>732</c:v>
                </c:pt>
                <c:pt idx="1396">
                  <c:v>731</c:v>
                </c:pt>
                <c:pt idx="1397">
                  <c:v>615</c:v>
                </c:pt>
                <c:pt idx="1398">
                  <c:v>740</c:v>
                </c:pt>
                <c:pt idx="1399">
                  <c:v>0</c:v>
                </c:pt>
                <c:pt idx="1400">
                  <c:v>733</c:v>
                </c:pt>
                <c:pt idx="1401">
                  <c:v>664</c:v>
                </c:pt>
                <c:pt idx="1402">
                  <c:v>713</c:v>
                </c:pt>
                <c:pt idx="1403">
                  <c:v>0</c:v>
                </c:pt>
                <c:pt idx="1404">
                  <c:v>750</c:v>
                </c:pt>
                <c:pt idx="1405">
                  <c:v>0</c:v>
                </c:pt>
                <c:pt idx="1406">
                  <c:v>748</c:v>
                </c:pt>
                <c:pt idx="1407">
                  <c:v>725</c:v>
                </c:pt>
                <c:pt idx="1408">
                  <c:v>724</c:v>
                </c:pt>
                <c:pt idx="1409">
                  <c:v>735</c:v>
                </c:pt>
                <c:pt idx="1410">
                  <c:v>737</c:v>
                </c:pt>
                <c:pt idx="1411">
                  <c:v>0</c:v>
                </c:pt>
                <c:pt idx="1412">
                  <c:v>0</c:v>
                </c:pt>
                <c:pt idx="1413">
                  <c:v>742</c:v>
                </c:pt>
                <c:pt idx="1414">
                  <c:v>681</c:v>
                </c:pt>
                <c:pt idx="1415">
                  <c:v>718</c:v>
                </c:pt>
                <c:pt idx="1416">
                  <c:v>717</c:v>
                </c:pt>
                <c:pt idx="1417">
                  <c:v>701</c:v>
                </c:pt>
                <c:pt idx="1418">
                  <c:v>746</c:v>
                </c:pt>
                <c:pt idx="1419">
                  <c:v>738</c:v>
                </c:pt>
                <c:pt idx="1420">
                  <c:v>0</c:v>
                </c:pt>
                <c:pt idx="1421">
                  <c:v>655</c:v>
                </c:pt>
                <c:pt idx="1422">
                  <c:v>736</c:v>
                </c:pt>
                <c:pt idx="1423">
                  <c:v>703</c:v>
                </c:pt>
                <c:pt idx="1424">
                  <c:v>0</c:v>
                </c:pt>
                <c:pt idx="1425">
                  <c:v>648</c:v>
                </c:pt>
                <c:pt idx="1426">
                  <c:v>0</c:v>
                </c:pt>
                <c:pt idx="1427">
                  <c:v>707</c:v>
                </c:pt>
                <c:pt idx="1428">
                  <c:v>683</c:v>
                </c:pt>
                <c:pt idx="1429">
                  <c:v>724</c:v>
                </c:pt>
                <c:pt idx="1430">
                  <c:v>705</c:v>
                </c:pt>
                <c:pt idx="1431">
                  <c:v>728</c:v>
                </c:pt>
                <c:pt idx="1432">
                  <c:v>733</c:v>
                </c:pt>
                <c:pt idx="1433">
                  <c:v>703</c:v>
                </c:pt>
                <c:pt idx="1434">
                  <c:v>720</c:v>
                </c:pt>
                <c:pt idx="1435">
                  <c:v>683</c:v>
                </c:pt>
                <c:pt idx="1436">
                  <c:v>680</c:v>
                </c:pt>
                <c:pt idx="1437">
                  <c:v>726</c:v>
                </c:pt>
                <c:pt idx="1438">
                  <c:v>727</c:v>
                </c:pt>
                <c:pt idx="1439">
                  <c:v>0</c:v>
                </c:pt>
                <c:pt idx="1440">
                  <c:v>0</c:v>
                </c:pt>
                <c:pt idx="1441">
                  <c:v>657</c:v>
                </c:pt>
                <c:pt idx="1442">
                  <c:v>751</c:v>
                </c:pt>
                <c:pt idx="1443">
                  <c:v>0</c:v>
                </c:pt>
                <c:pt idx="1444">
                  <c:v>717</c:v>
                </c:pt>
                <c:pt idx="1445">
                  <c:v>709</c:v>
                </c:pt>
                <c:pt idx="1446">
                  <c:v>720</c:v>
                </c:pt>
                <c:pt idx="1447">
                  <c:v>720</c:v>
                </c:pt>
                <c:pt idx="1448">
                  <c:v>715</c:v>
                </c:pt>
                <c:pt idx="1449">
                  <c:v>0</c:v>
                </c:pt>
                <c:pt idx="1450">
                  <c:v>744</c:v>
                </c:pt>
                <c:pt idx="1451">
                  <c:v>710</c:v>
                </c:pt>
                <c:pt idx="1452">
                  <c:v>722</c:v>
                </c:pt>
                <c:pt idx="1453">
                  <c:v>739</c:v>
                </c:pt>
                <c:pt idx="1454">
                  <c:v>736</c:v>
                </c:pt>
                <c:pt idx="1455">
                  <c:v>732</c:v>
                </c:pt>
                <c:pt idx="1456">
                  <c:v>674</c:v>
                </c:pt>
                <c:pt idx="1457">
                  <c:v>732</c:v>
                </c:pt>
                <c:pt idx="1458">
                  <c:v>603</c:v>
                </c:pt>
                <c:pt idx="1459">
                  <c:v>740</c:v>
                </c:pt>
                <c:pt idx="1460">
                  <c:v>687</c:v>
                </c:pt>
                <c:pt idx="1461">
                  <c:v>704</c:v>
                </c:pt>
                <c:pt idx="1462">
                  <c:v>598</c:v>
                </c:pt>
                <c:pt idx="1463">
                  <c:v>724</c:v>
                </c:pt>
                <c:pt idx="1464">
                  <c:v>728</c:v>
                </c:pt>
                <c:pt idx="1465">
                  <c:v>686</c:v>
                </c:pt>
                <c:pt idx="1466">
                  <c:v>727</c:v>
                </c:pt>
                <c:pt idx="1467">
                  <c:v>711</c:v>
                </c:pt>
                <c:pt idx="1468">
                  <c:v>743</c:v>
                </c:pt>
                <c:pt idx="1469">
                  <c:v>0</c:v>
                </c:pt>
                <c:pt idx="1470">
                  <c:v>700</c:v>
                </c:pt>
                <c:pt idx="1471">
                  <c:v>721</c:v>
                </c:pt>
                <c:pt idx="1472">
                  <c:v>738</c:v>
                </c:pt>
                <c:pt idx="1473">
                  <c:v>0</c:v>
                </c:pt>
                <c:pt idx="1474">
                  <c:v>0</c:v>
                </c:pt>
                <c:pt idx="1475">
                  <c:v>702</c:v>
                </c:pt>
                <c:pt idx="1476">
                  <c:v>739</c:v>
                </c:pt>
                <c:pt idx="1477">
                  <c:v>665</c:v>
                </c:pt>
                <c:pt idx="1478">
                  <c:v>729</c:v>
                </c:pt>
                <c:pt idx="1479">
                  <c:v>0</c:v>
                </c:pt>
                <c:pt idx="1480">
                  <c:v>730</c:v>
                </c:pt>
                <c:pt idx="1481">
                  <c:v>748</c:v>
                </c:pt>
                <c:pt idx="1482">
                  <c:v>0</c:v>
                </c:pt>
                <c:pt idx="1483">
                  <c:v>0</c:v>
                </c:pt>
                <c:pt idx="1484">
                  <c:v>723</c:v>
                </c:pt>
                <c:pt idx="1485">
                  <c:v>681</c:v>
                </c:pt>
                <c:pt idx="1486">
                  <c:v>742</c:v>
                </c:pt>
                <c:pt idx="1487">
                  <c:v>735</c:v>
                </c:pt>
                <c:pt idx="1488">
                  <c:v>721</c:v>
                </c:pt>
                <c:pt idx="1489">
                  <c:v>729</c:v>
                </c:pt>
                <c:pt idx="1490">
                  <c:v>730</c:v>
                </c:pt>
                <c:pt idx="1491">
                  <c:v>733</c:v>
                </c:pt>
                <c:pt idx="1492">
                  <c:v>637</c:v>
                </c:pt>
                <c:pt idx="1493">
                  <c:v>704</c:v>
                </c:pt>
                <c:pt idx="1494">
                  <c:v>733</c:v>
                </c:pt>
                <c:pt idx="1495">
                  <c:v>724</c:v>
                </c:pt>
                <c:pt idx="1496">
                  <c:v>705</c:v>
                </c:pt>
                <c:pt idx="1497">
                  <c:v>0</c:v>
                </c:pt>
                <c:pt idx="1498">
                  <c:v>624</c:v>
                </c:pt>
                <c:pt idx="1499">
                  <c:v>731</c:v>
                </c:pt>
                <c:pt idx="1500">
                  <c:v>710</c:v>
                </c:pt>
                <c:pt idx="1501">
                  <c:v>709</c:v>
                </c:pt>
                <c:pt idx="1502">
                  <c:v>724</c:v>
                </c:pt>
                <c:pt idx="1503">
                  <c:v>684</c:v>
                </c:pt>
                <c:pt idx="1504">
                  <c:v>726</c:v>
                </c:pt>
                <c:pt idx="1505">
                  <c:v>703</c:v>
                </c:pt>
                <c:pt idx="1506">
                  <c:v>0</c:v>
                </c:pt>
                <c:pt idx="1507">
                  <c:v>0</c:v>
                </c:pt>
                <c:pt idx="1508">
                  <c:v>724</c:v>
                </c:pt>
                <c:pt idx="1509">
                  <c:v>693</c:v>
                </c:pt>
                <c:pt idx="1510">
                  <c:v>719</c:v>
                </c:pt>
                <c:pt idx="1511">
                  <c:v>0</c:v>
                </c:pt>
                <c:pt idx="1512">
                  <c:v>0</c:v>
                </c:pt>
                <c:pt idx="1513">
                  <c:v>725</c:v>
                </c:pt>
                <c:pt idx="1514">
                  <c:v>0</c:v>
                </c:pt>
                <c:pt idx="1515">
                  <c:v>685</c:v>
                </c:pt>
                <c:pt idx="1516">
                  <c:v>719</c:v>
                </c:pt>
                <c:pt idx="1517">
                  <c:v>715</c:v>
                </c:pt>
                <c:pt idx="1518">
                  <c:v>723</c:v>
                </c:pt>
                <c:pt idx="1519">
                  <c:v>0</c:v>
                </c:pt>
                <c:pt idx="1520">
                  <c:v>747</c:v>
                </c:pt>
                <c:pt idx="1521">
                  <c:v>712</c:v>
                </c:pt>
                <c:pt idx="1522">
                  <c:v>723</c:v>
                </c:pt>
                <c:pt idx="1523">
                  <c:v>718</c:v>
                </c:pt>
                <c:pt idx="1524">
                  <c:v>735</c:v>
                </c:pt>
                <c:pt idx="1525">
                  <c:v>0</c:v>
                </c:pt>
                <c:pt idx="1526">
                  <c:v>702</c:v>
                </c:pt>
                <c:pt idx="1527">
                  <c:v>712</c:v>
                </c:pt>
                <c:pt idx="1528">
                  <c:v>0</c:v>
                </c:pt>
                <c:pt idx="1529">
                  <c:v>714</c:v>
                </c:pt>
                <c:pt idx="1530">
                  <c:v>0</c:v>
                </c:pt>
                <c:pt idx="1531">
                  <c:v>0</c:v>
                </c:pt>
                <c:pt idx="1532">
                  <c:v>680</c:v>
                </c:pt>
                <c:pt idx="1533">
                  <c:v>715</c:v>
                </c:pt>
                <c:pt idx="1534">
                  <c:v>742</c:v>
                </c:pt>
                <c:pt idx="1535">
                  <c:v>0</c:v>
                </c:pt>
                <c:pt idx="1536">
                  <c:v>696</c:v>
                </c:pt>
                <c:pt idx="1537">
                  <c:v>720</c:v>
                </c:pt>
                <c:pt idx="1538">
                  <c:v>0</c:v>
                </c:pt>
                <c:pt idx="1539">
                  <c:v>641</c:v>
                </c:pt>
                <c:pt idx="1540">
                  <c:v>726</c:v>
                </c:pt>
                <c:pt idx="1541">
                  <c:v>748</c:v>
                </c:pt>
                <c:pt idx="1542">
                  <c:v>717</c:v>
                </c:pt>
                <c:pt idx="1543">
                  <c:v>0</c:v>
                </c:pt>
                <c:pt idx="1544">
                  <c:v>727</c:v>
                </c:pt>
                <c:pt idx="1545">
                  <c:v>731</c:v>
                </c:pt>
                <c:pt idx="1546">
                  <c:v>721</c:v>
                </c:pt>
                <c:pt idx="1547">
                  <c:v>0</c:v>
                </c:pt>
                <c:pt idx="1548">
                  <c:v>0</c:v>
                </c:pt>
                <c:pt idx="1549">
                  <c:v>703</c:v>
                </c:pt>
                <c:pt idx="1550">
                  <c:v>724</c:v>
                </c:pt>
                <c:pt idx="1551">
                  <c:v>0</c:v>
                </c:pt>
                <c:pt idx="1552">
                  <c:v>739</c:v>
                </c:pt>
                <c:pt idx="1553">
                  <c:v>724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738</c:v>
                </c:pt>
                <c:pt idx="1558">
                  <c:v>704</c:v>
                </c:pt>
                <c:pt idx="1559">
                  <c:v>684</c:v>
                </c:pt>
                <c:pt idx="1560">
                  <c:v>704</c:v>
                </c:pt>
                <c:pt idx="1561">
                  <c:v>748</c:v>
                </c:pt>
                <c:pt idx="1562">
                  <c:v>709</c:v>
                </c:pt>
                <c:pt idx="1563">
                  <c:v>741</c:v>
                </c:pt>
                <c:pt idx="1564">
                  <c:v>732</c:v>
                </c:pt>
                <c:pt idx="1565">
                  <c:v>712</c:v>
                </c:pt>
                <c:pt idx="1566">
                  <c:v>688</c:v>
                </c:pt>
                <c:pt idx="1567">
                  <c:v>680</c:v>
                </c:pt>
                <c:pt idx="1568">
                  <c:v>741</c:v>
                </c:pt>
                <c:pt idx="1569">
                  <c:v>0</c:v>
                </c:pt>
                <c:pt idx="1570">
                  <c:v>692</c:v>
                </c:pt>
                <c:pt idx="1571">
                  <c:v>713</c:v>
                </c:pt>
                <c:pt idx="1572">
                  <c:v>732</c:v>
                </c:pt>
                <c:pt idx="1573">
                  <c:v>717</c:v>
                </c:pt>
                <c:pt idx="1574">
                  <c:v>0</c:v>
                </c:pt>
                <c:pt idx="1575">
                  <c:v>0</c:v>
                </c:pt>
                <c:pt idx="1576">
                  <c:v>696</c:v>
                </c:pt>
                <c:pt idx="1577">
                  <c:v>747</c:v>
                </c:pt>
                <c:pt idx="1578">
                  <c:v>742</c:v>
                </c:pt>
                <c:pt idx="1579">
                  <c:v>0</c:v>
                </c:pt>
                <c:pt idx="1580">
                  <c:v>728</c:v>
                </c:pt>
                <c:pt idx="1581">
                  <c:v>704</c:v>
                </c:pt>
                <c:pt idx="1582">
                  <c:v>733</c:v>
                </c:pt>
                <c:pt idx="1583">
                  <c:v>0</c:v>
                </c:pt>
                <c:pt idx="1584">
                  <c:v>704</c:v>
                </c:pt>
                <c:pt idx="1585">
                  <c:v>747</c:v>
                </c:pt>
                <c:pt idx="1586">
                  <c:v>710</c:v>
                </c:pt>
                <c:pt idx="1587">
                  <c:v>683</c:v>
                </c:pt>
                <c:pt idx="1588">
                  <c:v>0</c:v>
                </c:pt>
                <c:pt idx="1589">
                  <c:v>720</c:v>
                </c:pt>
                <c:pt idx="1590">
                  <c:v>734</c:v>
                </c:pt>
                <c:pt idx="1591">
                  <c:v>0</c:v>
                </c:pt>
                <c:pt idx="1592">
                  <c:v>737</c:v>
                </c:pt>
                <c:pt idx="1593">
                  <c:v>719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689</c:v>
                </c:pt>
                <c:pt idx="1598">
                  <c:v>747</c:v>
                </c:pt>
                <c:pt idx="1599">
                  <c:v>614</c:v>
                </c:pt>
                <c:pt idx="1600">
                  <c:v>703</c:v>
                </c:pt>
                <c:pt idx="1601">
                  <c:v>0</c:v>
                </c:pt>
                <c:pt idx="1602">
                  <c:v>735</c:v>
                </c:pt>
                <c:pt idx="1603">
                  <c:v>706</c:v>
                </c:pt>
                <c:pt idx="1604">
                  <c:v>711</c:v>
                </c:pt>
                <c:pt idx="1605">
                  <c:v>724</c:v>
                </c:pt>
                <c:pt idx="1606">
                  <c:v>724</c:v>
                </c:pt>
                <c:pt idx="1607">
                  <c:v>715</c:v>
                </c:pt>
                <c:pt idx="1608">
                  <c:v>0</c:v>
                </c:pt>
                <c:pt idx="1609">
                  <c:v>741</c:v>
                </c:pt>
                <c:pt idx="1610">
                  <c:v>743</c:v>
                </c:pt>
                <c:pt idx="1611">
                  <c:v>718</c:v>
                </c:pt>
                <c:pt idx="1612">
                  <c:v>693</c:v>
                </c:pt>
                <c:pt idx="1613">
                  <c:v>700</c:v>
                </c:pt>
                <c:pt idx="1614">
                  <c:v>738</c:v>
                </c:pt>
                <c:pt idx="1615">
                  <c:v>728</c:v>
                </c:pt>
                <c:pt idx="1616">
                  <c:v>712</c:v>
                </c:pt>
                <c:pt idx="1617">
                  <c:v>705</c:v>
                </c:pt>
                <c:pt idx="1618">
                  <c:v>744</c:v>
                </c:pt>
                <c:pt idx="1619">
                  <c:v>0</c:v>
                </c:pt>
                <c:pt idx="1620">
                  <c:v>724</c:v>
                </c:pt>
                <c:pt idx="1621">
                  <c:v>729</c:v>
                </c:pt>
                <c:pt idx="1622">
                  <c:v>725</c:v>
                </c:pt>
                <c:pt idx="1623">
                  <c:v>712</c:v>
                </c:pt>
                <c:pt idx="1624">
                  <c:v>720</c:v>
                </c:pt>
                <c:pt idx="1625">
                  <c:v>0</c:v>
                </c:pt>
                <c:pt idx="1626">
                  <c:v>646</c:v>
                </c:pt>
                <c:pt idx="1627">
                  <c:v>738</c:v>
                </c:pt>
                <c:pt idx="1628">
                  <c:v>739</c:v>
                </c:pt>
                <c:pt idx="1629">
                  <c:v>724</c:v>
                </c:pt>
                <c:pt idx="1630">
                  <c:v>747</c:v>
                </c:pt>
                <c:pt idx="1631">
                  <c:v>744</c:v>
                </c:pt>
                <c:pt idx="1632">
                  <c:v>740</c:v>
                </c:pt>
                <c:pt idx="1633">
                  <c:v>750</c:v>
                </c:pt>
                <c:pt idx="1634">
                  <c:v>676</c:v>
                </c:pt>
                <c:pt idx="1635">
                  <c:v>721</c:v>
                </c:pt>
                <c:pt idx="1636">
                  <c:v>707</c:v>
                </c:pt>
                <c:pt idx="1637">
                  <c:v>0</c:v>
                </c:pt>
                <c:pt idx="1638">
                  <c:v>734</c:v>
                </c:pt>
                <c:pt idx="1639">
                  <c:v>0</c:v>
                </c:pt>
                <c:pt idx="1640">
                  <c:v>705</c:v>
                </c:pt>
                <c:pt idx="1641">
                  <c:v>748</c:v>
                </c:pt>
                <c:pt idx="1642">
                  <c:v>738</c:v>
                </c:pt>
                <c:pt idx="1643">
                  <c:v>699</c:v>
                </c:pt>
                <c:pt idx="1644">
                  <c:v>697</c:v>
                </c:pt>
                <c:pt idx="1645">
                  <c:v>697</c:v>
                </c:pt>
                <c:pt idx="1646">
                  <c:v>733</c:v>
                </c:pt>
                <c:pt idx="1647">
                  <c:v>751</c:v>
                </c:pt>
                <c:pt idx="1648">
                  <c:v>0</c:v>
                </c:pt>
                <c:pt idx="1649">
                  <c:v>707</c:v>
                </c:pt>
                <c:pt idx="1650">
                  <c:v>723</c:v>
                </c:pt>
                <c:pt idx="1651">
                  <c:v>715</c:v>
                </c:pt>
                <c:pt idx="1652">
                  <c:v>723</c:v>
                </c:pt>
                <c:pt idx="1653">
                  <c:v>699</c:v>
                </c:pt>
                <c:pt idx="1654">
                  <c:v>727</c:v>
                </c:pt>
                <c:pt idx="1655">
                  <c:v>665</c:v>
                </c:pt>
                <c:pt idx="1656">
                  <c:v>0</c:v>
                </c:pt>
                <c:pt idx="1657">
                  <c:v>725</c:v>
                </c:pt>
                <c:pt idx="1658">
                  <c:v>0</c:v>
                </c:pt>
                <c:pt idx="1659">
                  <c:v>721</c:v>
                </c:pt>
                <c:pt idx="1660">
                  <c:v>0</c:v>
                </c:pt>
                <c:pt idx="1661">
                  <c:v>729</c:v>
                </c:pt>
                <c:pt idx="1662">
                  <c:v>731</c:v>
                </c:pt>
                <c:pt idx="1663">
                  <c:v>0</c:v>
                </c:pt>
                <c:pt idx="1664">
                  <c:v>735</c:v>
                </c:pt>
                <c:pt idx="1665">
                  <c:v>708</c:v>
                </c:pt>
                <c:pt idx="1666">
                  <c:v>736</c:v>
                </c:pt>
                <c:pt idx="1667">
                  <c:v>687</c:v>
                </c:pt>
                <c:pt idx="1668">
                  <c:v>711</c:v>
                </c:pt>
                <c:pt idx="1669">
                  <c:v>743</c:v>
                </c:pt>
                <c:pt idx="1670">
                  <c:v>709</c:v>
                </c:pt>
                <c:pt idx="1671">
                  <c:v>715</c:v>
                </c:pt>
                <c:pt idx="1672">
                  <c:v>707</c:v>
                </c:pt>
                <c:pt idx="1673">
                  <c:v>745</c:v>
                </c:pt>
                <c:pt idx="1674">
                  <c:v>677</c:v>
                </c:pt>
                <c:pt idx="1675">
                  <c:v>0</c:v>
                </c:pt>
                <c:pt idx="1676">
                  <c:v>691</c:v>
                </c:pt>
                <c:pt idx="1677">
                  <c:v>710</c:v>
                </c:pt>
                <c:pt idx="1678">
                  <c:v>724</c:v>
                </c:pt>
                <c:pt idx="1679">
                  <c:v>721</c:v>
                </c:pt>
                <c:pt idx="1680">
                  <c:v>700</c:v>
                </c:pt>
                <c:pt idx="1681">
                  <c:v>654</c:v>
                </c:pt>
                <c:pt idx="1682">
                  <c:v>736</c:v>
                </c:pt>
                <c:pt idx="1683">
                  <c:v>711</c:v>
                </c:pt>
                <c:pt idx="1684">
                  <c:v>717</c:v>
                </c:pt>
                <c:pt idx="1685">
                  <c:v>730</c:v>
                </c:pt>
                <c:pt idx="1686">
                  <c:v>716</c:v>
                </c:pt>
                <c:pt idx="1687">
                  <c:v>0</c:v>
                </c:pt>
                <c:pt idx="1688">
                  <c:v>0</c:v>
                </c:pt>
                <c:pt idx="1689">
                  <c:v>738</c:v>
                </c:pt>
                <c:pt idx="1690">
                  <c:v>654</c:v>
                </c:pt>
                <c:pt idx="1691">
                  <c:v>0</c:v>
                </c:pt>
                <c:pt idx="1692">
                  <c:v>651</c:v>
                </c:pt>
                <c:pt idx="1693">
                  <c:v>744</c:v>
                </c:pt>
                <c:pt idx="1694">
                  <c:v>699</c:v>
                </c:pt>
                <c:pt idx="1695">
                  <c:v>741</c:v>
                </c:pt>
                <c:pt idx="1696">
                  <c:v>0</c:v>
                </c:pt>
                <c:pt idx="1697">
                  <c:v>711</c:v>
                </c:pt>
                <c:pt idx="1698">
                  <c:v>688</c:v>
                </c:pt>
                <c:pt idx="1699">
                  <c:v>0</c:v>
                </c:pt>
                <c:pt idx="1700">
                  <c:v>691</c:v>
                </c:pt>
                <c:pt idx="1701">
                  <c:v>659</c:v>
                </c:pt>
                <c:pt idx="1702">
                  <c:v>691</c:v>
                </c:pt>
                <c:pt idx="1703">
                  <c:v>721</c:v>
                </c:pt>
                <c:pt idx="1704">
                  <c:v>710</c:v>
                </c:pt>
                <c:pt idx="1705">
                  <c:v>0</c:v>
                </c:pt>
                <c:pt idx="1706">
                  <c:v>716</c:v>
                </c:pt>
                <c:pt idx="1707">
                  <c:v>718</c:v>
                </c:pt>
                <c:pt idx="1708">
                  <c:v>723</c:v>
                </c:pt>
                <c:pt idx="1709">
                  <c:v>724</c:v>
                </c:pt>
                <c:pt idx="1710">
                  <c:v>707</c:v>
                </c:pt>
                <c:pt idx="1711">
                  <c:v>720</c:v>
                </c:pt>
                <c:pt idx="1712">
                  <c:v>719</c:v>
                </c:pt>
                <c:pt idx="1713">
                  <c:v>699</c:v>
                </c:pt>
                <c:pt idx="1714">
                  <c:v>734</c:v>
                </c:pt>
                <c:pt idx="1715">
                  <c:v>716</c:v>
                </c:pt>
                <c:pt idx="1716">
                  <c:v>736</c:v>
                </c:pt>
                <c:pt idx="1717">
                  <c:v>704</c:v>
                </c:pt>
                <c:pt idx="1718">
                  <c:v>742</c:v>
                </c:pt>
                <c:pt idx="1719">
                  <c:v>699</c:v>
                </c:pt>
                <c:pt idx="1720">
                  <c:v>0</c:v>
                </c:pt>
                <c:pt idx="1721">
                  <c:v>0</c:v>
                </c:pt>
                <c:pt idx="1722">
                  <c:v>678</c:v>
                </c:pt>
                <c:pt idx="1723">
                  <c:v>739</c:v>
                </c:pt>
                <c:pt idx="1724">
                  <c:v>743</c:v>
                </c:pt>
                <c:pt idx="1725">
                  <c:v>733</c:v>
                </c:pt>
                <c:pt idx="1726">
                  <c:v>747</c:v>
                </c:pt>
                <c:pt idx="1727">
                  <c:v>716</c:v>
                </c:pt>
                <c:pt idx="1728">
                  <c:v>739</c:v>
                </c:pt>
                <c:pt idx="1729">
                  <c:v>696</c:v>
                </c:pt>
                <c:pt idx="1730">
                  <c:v>664</c:v>
                </c:pt>
                <c:pt idx="1731">
                  <c:v>695</c:v>
                </c:pt>
                <c:pt idx="1732">
                  <c:v>745</c:v>
                </c:pt>
                <c:pt idx="1733">
                  <c:v>741</c:v>
                </c:pt>
                <c:pt idx="1734">
                  <c:v>740</c:v>
                </c:pt>
                <c:pt idx="1735">
                  <c:v>704</c:v>
                </c:pt>
                <c:pt idx="1736">
                  <c:v>714</c:v>
                </c:pt>
                <c:pt idx="1737">
                  <c:v>701</c:v>
                </c:pt>
                <c:pt idx="1738">
                  <c:v>740</c:v>
                </c:pt>
                <c:pt idx="1739">
                  <c:v>740</c:v>
                </c:pt>
                <c:pt idx="1740">
                  <c:v>682</c:v>
                </c:pt>
                <c:pt idx="1741">
                  <c:v>733</c:v>
                </c:pt>
                <c:pt idx="1742">
                  <c:v>716</c:v>
                </c:pt>
                <c:pt idx="1743">
                  <c:v>704</c:v>
                </c:pt>
                <c:pt idx="1744">
                  <c:v>700</c:v>
                </c:pt>
                <c:pt idx="1745">
                  <c:v>718</c:v>
                </c:pt>
                <c:pt idx="1746">
                  <c:v>728</c:v>
                </c:pt>
                <c:pt idx="1747">
                  <c:v>647</c:v>
                </c:pt>
                <c:pt idx="1748">
                  <c:v>681</c:v>
                </c:pt>
                <c:pt idx="1749">
                  <c:v>0</c:v>
                </c:pt>
                <c:pt idx="1750">
                  <c:v>728</c:v>
                </c:pt>
                <c:pt idx="1751">
                  <c:v>0</c:v>
                </c:pt>
                <c:pt idx="1752">
                  <c:v>713</c:v>
                </c:pt>
                <c:pt idx="1753">
                  <c:v>737</c:v>
                </c:pt>
                <c:pt idx="1754">
                  <c:v>0</c:v>
                </c:pt>
                <c:pt idx="1755">
                  <c:v>728</c:v>
                </c:pt>
                <c:pt idx="1756">
                  <c:v>0</c:v>
                </c:pt>
                <c:pt idx="1757">
                  <c:v>707</c:v>
                </c:pt>
                <c:pt idx="1758">
                  <c:v>720</c:v>
                </c:pt>
                <c:pt idx="1759">
                  <c:v>744</c:v>
                </c:pt>
                <c:pt idx="1760">
                  <c:v>721</c:v>
                </c:pt>
                <c:pt idx="1761">
                  <c:v>720</c:v>
                </c:pt>
                <c:pt idx="1762">
                  <c:v>675</c:v>
                </c:pt>
                <c:pt idx="1763">
                  <c:v>700</c:v>
                </c:pt>
                <c:pt idx="1764">
                  <c:v>0</c:v>
                </c:pt>
                <c:pt idx="1765">
                  <c:v>709</c:v>
                </c:pt>
                <c:pt idx="1766">
                  <c:v>0</c:v>
                </c:pt>
                <c:pt idx="1767">
                  <c:v>677</c:v>
                </c:pt>
                <c:pt idx="1768">
                  <c:v>747</c:v>
                </c:pt>
                <c:pt idx="1769">
                  <c:v>661</c:v>
                </c:pt>
                <c:pt idx="1770">
                  <c:v>709</c:v>
                </c:pt>
                <c:pt idx="1771">
                  <c:v>0</c:v>
                </c:pt>
                <c:pt idx="1772">
                  <c:v>638</c:v>
                </c:pt>
                <c:pt idx="1773">
                  <c:v>723</c:v>
                </c:pt>
                <c:pt idx="1774">
                  <c:v>720</c:v>
                </c:pt>
                <c:pt idx="1775">
                  <c:v>643</c:v>
                </c:pt>
                <c:pt idx="1776">
                  <c:v>742</c:v>
                </c:pt>
                <c:pt idx="1777">
                  <c:v>707</c:v>
                </c:pt>
                <c:pt idx="1778">
                  <c:v>712</c:v>
                </c:pt>
                <c:pt idx="1779">
                  <c:v>0</c:v>
                </c:pt>
                <c:pt idx="1780">
                  <c:v>704</c:v>
                </c:pt>
                <c:pt idx="1781">
                  <c:v>721</c:v>
                </c:pt>
                <c:pt idx="1782">
                  <c:v>689</c:v>
                </c:pt>
                <c:pt idx="1783">
                  <c:v>689</c:v>
                </c:pt>
                <c:pt idx="1784">
                  <c:v>716</c:v>
                </c:pt>
                <c:pt idx="1785">
                  <c:v>0</c:v>
                </c:pt>
                <c:pt idx="1786">
                  <c:v>744</c:v>
                </c:pt>
                <c:pt idx="1787">
                  <c:v>729</c:v>
                </c:pt>
                <c:pt idx="1788">
                  <c:v>734</c:v>
                </c:pt>
                <c:pt idx="1789">
                  <c:v>0</c:v>
                </c:pt>
                <c:pt idx="1790">
                  <c:v>701</c:v>
                </c:pt>
                <c:pt idx="1791">
                  <c:v>730</c:v>
                </c:pt>
                <c:pt idx="1792">
                  <c:v>712</c:v>
                </c:pt>
                <c:pt idx="1793">
                  <c:v>748</c:v>
                </c:pt>
                <c:pt idx="1794">
                  <c:v>0</c:v>
                </c:pt>
                <c:pt idx="1795">
                  <c:v>723</c:v>
                </c:pt>
                <c:pt idx="1796">
                  <c:v>694</c:v>
                </c:pt>
                <c:pt idx="1797">
                  <c:v>697</c:v>
                </c:pt>
                <c:pt idx="1798">
                  <c:v>711</c:v>
                </c:pt>
                <c:pt idx="1799">
                  <c:v>717</c:v>
                </c:pt>
                <c:pt idx="1800">
                  <c:v>740</c:v>
                </c:pt>
                <c:pt idx="1801">
                  <c:v>712</c:v>
                </c:pt>
                <c:pt idx="1802">
                  <c:v>699</c:v>
                </c:pt>
                <c:pt idx="1803">
                  <c:v>717</c:v>
                </c:pt>
                <c:pt idx="1804">
                  <c:v>720</c:v>
                </c:pt>
                <c:pt idx="1805">
                  <c:v>718</c:v>
                </c:pt>
                <c:pt idx="1806">
                  <c:v>0</c:v>
                </c:pt>
                <c:pt idx="1807">
                  <c:v>726</c:v>
                </c:pt>
                <c:pt idx="1808">
                  <c:v>716</c:v>
                </c:pt>
                <c:pt idx="1809">
                  <c:v>720</c:v>
                </c:pt>
                <c:pt idx="1810">
                  <c:v>0</c:v>
                </c:pt>
                <c:pt idx="1811">
                  <c:v>703</c:v>
                </c:pt>
                <c:pt idx="1812">
                  <c:v>735</c:v>
                </c:pt>
                <c:pt idx="1813">
                  <c:v>717</c:v>
                </c:pt>
                <c:pt idx="1814">
                  <c:v>0</c:v>
                </c:pt>
                <c:pt idx="1815">
                  <c:v>715</c:v>
                </c:pt>
                <c:pt idx="1816">
                  <c:v>728</c:v>
                </c:pt>
                <c:pt idx="1817">
                  <c:v>639</c:v>
                </c:pt>
                <c:pt idx="1818">
                  <c:v>738</c:v>
                </c:pt>
                <c:pt idx="1819">
                  <c:v>609</c:v>
                </c:pt>
                <c:pt idx="1820">
                  <c:v>697</c:v>
                </c:pt>
                <c:pt idx="1821">
                  <c:v>747</c:v>
                </c:pt>
                <c:pt idx="1822">
                  <c:v>713</c:v>
                </c:pt>
                <c:pt idx="1823">
                  <c:v>737</c:v>
                </c:pt>
                <c:pt idx="1824">
                  <c:v>742</c:v>
                </c:pt>
                <c:pt idx="1825">
                  <c:v>711</c:v>
                </c:pt>
                <c:pt idx="1826">
                  <c:v>733</c:v>
                </c:pt>
                <c:pt idx="1827">
                  <c:v>709</c:v>
                </c:pt>
                <c:pt idx="1828">
                  <c:v>718</c:v>
                </c:pt>
                <c:pt idx="1829">
                  <c:v>705</c:v>
                </c:pt>
                <c:pt idx="1830">
                  <c:v>706</c:v>
                </c:pt>
                <c:pt idx="1831">
                  <c:v>678</c:v>
                </c:pt>
                <c:pt idx="1832">
                  <c:v>679</c:v>
                </c:pt>
                <c:pt idx="1833">
                  <c:v>693</c:v>
                </c:pt>
                <c:pt idx="1834">
                  <c:v>745</c:v>
                </c:pt>
                <c:pt idx="1835">
                  <c:v>716</c:v>
                </c:pt>
                <c:pt idx="1836">
                  <c:v>649</c:v>
                </c:pt>
                <c:pt idx="1837">
                  <c:v>747</c:v>
                </c:pt>
                <c:pt idx="1838">
                  <c:v>719</c:v>
                </c:pt>
                <c:pt idx="1839">
                  <c:v>723</c:v>
                </c:pt>
                <c:pt idx="1840">
                  <c:v>655</c:v>
                </c:pt>
                <c:pt idx="1841">
                  <c:v>705</c:v>
                </c:pt>
                <c:pt idx="1842">
                  <c:v>720</c:v>
                </c:pt>
                <c:pt idx="1843">
                  <c:v>678</c:v>
                </c:pt>
                <c:pt idx="1844">
                  <c:v>718</c:v>
                </c:pt>
                <c:pt idx="1845">
                  <c:v>710</c:v>
                </c:pt>
                <c:pt idx="1846">
                  <c:v>0</c:v>
                </c:pt>
                <c:pt idx="1847">
                  <c:v>0</c:v>
                </c:pt>
                <c:pt idx="1848">
                  <c:v>615</c:v>
                </c:pt>
                <c:pt idx="1849">
                  <c:v>719</c:v>
                </c:pt>
                <c:pt idx="1850">
                  <c:v>0</c:v>
                </c:pt>
                <c:pt idx="1851">
                  <c:v>695</c:v>
                </c:pt>
                <c:pt idx="1852">
                  <c:v>695</c:v>
                </c:pt>
                <c:pt idx="1853">
                  <c:v>0</c:v>
                </c:pt>
                <c:pt idx="1854">
                  <c:v>747</c:v>
                </c:pt>
                <c:pt idx="1855">
                  <c:v>699</c:v>
                </c:pt>
                <c:pt idx="1856">
                  <c:v>692</c:v>
                </c:pt>
                <c:pt idx="1857">
                  <c:v>681</c:v>
                </c:pt>
                <c:pt idx="1858">
                  <c:v>664</c:v>
                </c:pt>
                <c:pt idx="1859">
                  <c:v>0</c:v>
                </c:pt>
                <c:pt idx="1860">
                  <c:v>698</c:v>
                </c:pt>
                <c:pt idx="1861">
                  <c:v>719</c:v>
                </c:pt>
                <c:pt idx="1862">
                  <c:v>716</c:v>
                </c:pt>
                <c:pt idx="1863">
                  <c:v>719</c:v>
                </c:pt>
                <c:pt idx="1864">
                  <c:v>722</c:v>
                </c:pt>
                <c:pt idx="1865">
                  <c:v>736</c:v>
                </c:pt>
                <c:pt idx="1866">
                  <c:v>723</c:v>
                </c:pt>
                <c:pt idx="1867">
                  <c:v>646</c:v>
                </c:pt>
                <c:pt idx="1868">
                  <c:v>685</c:v>
                </c:pt>
                <c:pt idx="1869">
                  <c:v>707</c:v>
                </c:pt>
                <c:pt idx="1870">
                  <c:v>0</c:v>
                </c:pt>
                <c:pt idx="1871">
                  <c:v>721</c:v>
                </c:pt>
                <c:pt idx="1872">
                  <c:v>0</c:v>
                </c:pt>
                <c:pt idx="1873">
                  <c:v>687</c:v>
                </c:pt>
                <c:pt idx="1874">
                  <c:v>723</c:v>
                </c:pt>
                <c:pt idx="1875">
                  <c:v>725</c:v>
                </c:pt>
                <c:pt idx="1876">
                  <c:v>0</c:v>
                </c:pt>
                <c:pt idx="1877">
                  <c:v>731</c:v>
                </c:pt>
                <c:pt idx="1878">
                  <c:v>711</c:v>
                </c:pt>
                <c:pt idx="1879">
                  <c:v>728</c:v>
                </c:pt>
                <c:pt idx="1880">
                  <c:v>749</c:v>
                </c:pt>
                <c:pt idx="1881">
                  <c:v>713</c:v>
                </c:pt>
                <c:pt idx="1882">
                  <c:v>712</c:v>
                </c:pt>
                <c:pt idx="1883">
                  <c:v>0</c:v>
                </c:pt>
                <c:pt idx="1884">
                  <c:v>733</c:v>
                </c:pt>
                <c:pt idx="1885">
                  <c:v>744</c:v>
                </c:pt>
                <c:pt idx="1886">
                  <c:v>723</c:v>
                </c:pt>
                <c:pt idx="1887">
                  <c:v>738</c:v>
                </c:pt>
                <c:pt idx="1888">
                  <c:v>719</c:v>
                </c:pt>
                <c:pt idx="1889">
                  <c:v>603</c:v>
                </c:pt>
                <c:pt idx="1890">
                  <c:v>747</c:v>
                </c:pt>
                <c:pt idx="1891">
                  <c:v>706</c:v>
                </c:pt>
                <c:pt idx="1892">
                  <c:v>741</c:v>
                </c:pt>
                <c:pt idx="1893">
                  <c:v>690</c:v>
                </c:pt>
                <c:pt idx="1894">
                  <c:v>743</c:v>
                </c:pt>
                <c:pt idx="1895">
                  <c:v>750</c:v>
                </c:pt>
                <c:pt idx="1896">
                  <c:v>700</c:v>
                </c:pt>
                <c:pt idx="1897">
                  <c:v>725</c:v>
                </c:pt>
                <c:pt idx="1898">
                  <c:v>716</c:v>
                </c:pt>
                <c:pt idx="1899">
                  <c:v>706</c:v>
                </c:pt>
                <c:pt idx="1900">
                  <c:v>0</c:v>
                </c:pt>
                <c:pt idx="1901">
                  <c:v>681</c:v>
                </c:pt>
                <c:pt idx="1902">
                  <c:v>712</c:v>
                </c:pt>
                <c:pt idx="1903">
                  <c:v>712</c:v>
                </c:pt>
                <c:pt idx="1904">
                  <c:v>693</c:v>
                </c:pt>
                <c:pt idx="1905">
                  <c:v>721</c:v>
                </c:pt>
                <c:pt idx="1906">
                  <c:v>717</c:v>
                </c:pt>
                <c:pt idx="1907">
                  <c:v>0</c:v>
                </c:pt>
                <c:pt idx="1908">
                  <c:v>0</c:v>
                </c:pt>
                <c:pt idx="1909">
                  <c:v>716</c:v>
                </c:pt>
                <c:pt idx="1910">
                  <c:v>722</c:v>
                </c:pt>
                <c:pt idx="1911">
                  <c:v>743</c:v>
                </c:pt>
                <c:pt idx="1912">
                  <c:v>699</c:v>
                </c:pt>
                <c:pt idx="1913">
                  <c:v>747</c:v>
                </c:pt>
                <c:pt idx="1914">
                  <c:v>727</c:v>
                </c:pt>
                <c:pt idx="1915">
                  <c:v>742</c:v>
                </c:pt>
                <c:pt idx="1916">
                  <c:v>741</c:v>
                </c:pt>
                <c:pt idx="1917">
                  <c:v>690</c:v>
                </c:pt>
                <c:pt idx="1918">
                  <c:v>725</c:v>
                </c:pt>
                <c:pt idx="1919">
                  <c:v>745</c:v>
                </c:pt>
                <c:pt idx="1920">
                  <c:v>696</c:v>
                </c:pt>
                <c:pt idx="1921">
                  <c:v>725</c:v>
                </c:pt>
                <c:pt idx="1922">
                  <c:v>701</c:v>
                </c:pt>
                <c:pt idx="1923">
                  <c:v>724</c:v>
                </c:pt>
                <c:pt idx="1924">
                  <c:v>727</c:v>
                </c:pt>
                <c:pt idx="1925">
                  <c:v>708</c:v>
                </c:pt>
                <c:pt idx="1926">
                  <c:v>742</c:v>
                </c:pt>
                <c:pt idx="1927">
                  <c:v>721</c:v>
                </c:pt>
                <c:pt idx="1928">
                  <c:v>652</c:v>
                </c:pt>
                <c:pt idx="1929">
                  <c:v>698</c:v>
                </c:pt>
                <c:pt idx="1930">
                  <c:v>636</c:v>
                </c:pt>
                <c:pt idx="1931">
                  <c:v>744</c:v>
                </c:pt>
                <c:pt idx="1932">
                  <c:v>714</c:v>
                </c:pt>
                <c:pt idx="1933">
                  <c:v>0</c:v>
                </c:pt>
                <c:pt idx="1934">
                  <c:v>0</c:v>
                </c:pt>
                <c:pt idx="1935">
                  <c:v>711</c:v>
                </c:pt>
                <c:pt idx="1936">
                  <c:v>0</c:v>
                </c:pt>
                <c:pt idx="1937">
                  <c:v>689</c:v>
                </c:pt>
                <c:pt idx="1938">
                  <c:v>744</c:v>
                </c:pt>
                <c:pt idx="1939">
                  <c:v>721</c:v>
                </c:pt>
                <c:pt idx="1940">
                  <c:v>693</c:v>
                </c:pt>
                <c:pt idx="1941">
                  <c:v>0</c:v>
                </c:pt>
                <c:pt idx="1942">
                  <c:v>744</c:v>
                </c:pt>
                <c:pt idx="1943">
                  <c:v>738</c:v>
                </c:pt>
                <c:pt idx="1944">
                  <c:v>732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716</c:v>
                </c:pt>
                <c:pt idx="1949">
                  <c:v>0</c:v>
                </c:pt>
                <c:pt idx="1950">
                  <c:v>732</c:v>
                </c:pt>
                <c:pt idx="1951">
                  <c:v>718</c:v>
                </c:pt>
                <c:pt idx="1952">
                  <c:v>676</c:v>
                </c:pt>
                <c:pt idx="1953">
                  <c:v>736</c:v>
                </c:pt>
                <c:pt idx="1954">
                  <c:v>722</c:v>
                </c:pt>
                <c:pt idx="1955">
                  <c:v>722</c:v>
                </c:pt>
                <c:pt idx="1956">
                  <c:v>730</c:v>
                </c:pt>
                <c:pt idx="1957">
                  <c:v>740</c:v>
                </c:pt>
                <c:pt idx="1958">
                  <c:v>680</c:v>
                </c:pt>
                <c:pt idx="1959">
                  <c:v>735</c:v>
                </c:pt>
                <c:pt idx="1960">
                  <c:v>719</c:v>
                </c:pt>
                <c:pt idx="1961">
                  <c:v>699</c:v>
                </c:pt>
                <c:pt idx="1962">
                  <c:v>728</c:v>
                </c:pt>
                <c:pt idx="1963">
                  <c:v>671</c:v>
                </c:pt>
                <c:pt idx="1964">
                  <c:v>750</c:v>
                </c:pt>
                <c:pt idx="1965">
                  <c:v>744</c:v>
                </c:pt>
                <c:pt idx="1966">
                  <c:v>0</c:v>
                </c:pt>
                <c:pt idx="1967">
                  <c:v>699</c:v>
                </c:pt>
                <c:pt idx="1968">
                  <c:v>678</c:v>
                </c:pt>
                <c:pt idx="1969">
                  <c:v>703</c:v>
                </c:pt>
                <c:pt idx="1970">
                  <c:v>668</c:v>
                </c:pt>
                <c:pt idx="1971">
                  <c:v>716</c:v>
                </c:pt>
                <c:pt idx="1972">
                  <c:v>0</c:v>
                </c:pt>
                <c:pt idx="1973">
                  <c:v>685</c:v>
                </c:pt>
                <c:pt idx="1974">
                  <c:v>0</c:v>
                </c:pt>
                <c:pt idx="1975">
                  <c:v>715</c:v>
                </c:pt>
                <c:pt idx="1976">
                  <c:v>0</c:v>
                </c:pt>
                <c:pt idx="1977">
                  <c:v>739</c:v>
                </c:pt>
                <c:pt idx="1978">
                  <c:v>0</c:v>
                </c:pt>
                <c:pt idx="1979">
                  <c:v>0</c:v>
                </c:pt>
                <c:pt idx="1980">
                  <c:v>724</c:v>
                </c:pt>
                <c:pt idx="1981">
                  <c:v>722</c:v>
                </c:pt>
                <c:pt idx="1982">
                  <c:v>0</c:v>
                </c:pt>
                <c:pt idx="1983">
                  <c:v>741</c:v>
                </c:pt>
                <c:pt idx="1984">
                  <c:v>669</c:v>
                </c:pt>
                <c:pt idx="1985">
                  <c:v>715</c:v>
                </c:pt>
                <c:pt idx="1986">
                  <c:v>748</c:v>
                </c:pt>
                <c:pt idx="1987">
                  <c:v>735</c:v>
                </c:pt>
                <c:pt idx="1988">
                  <c:v>734</c:v>
                </c:pt>
                <c:pt idx="1989">
                  <c:v>708</c:v>
                </c:pt>
                <c:pt idx="1990">
                  <c:v>746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746</c:v>
                </c:pt>
                <c:pt idx="1995">
                  <c:v>0</c:v>
                </c:pt>
                <c:pt idx="1996">
                  <c:v>705</c:v>
                </c:pt>
                <c:pt idx="1997">
                  <c:v>732</c:v>
                </c:pt>
                <c:pt idx="1998">
                  <c:v>0</c:v>
                </c:pt>
                <c:pt idx="1999">
                  <c:v>693</c:v>
                </c:pt>
              </c:numCache>
            </c:numRef>
          </c:xVal>
          <c:yVal>
            <c:numRef>
              <c:f>Лист1!$J$2:$J$2001</c:f>
              <c:numCache>
                <c:formatCode>0.00</c:formatCode>
                <c:ptCount val="2000"/>
                <c:pt idx="0">
                  <c:v>3355970</c:v>
                </c:pt>
                <c:pt idx="1">
                  <c:v>1168044</c:v>
                </c:pt>
                <c:pt idx="2">
                  <c:v>2620176</c:v>
                </c:pt>
                <c:pt idx="3">
                  <c:v>1490360</c:v>
                </c:pt>
                <c:pt idx="4">
                  <c:v>2896721</c:v>
                </c:pt>
                <c:pt idx="5">
                  <c:v>2311236</c:v>
                </c:pt>
                <c:pt idx="6">
                  <c:v>4374180</c:v>
                </c:pt>
                <c:pt idx="7">
                  <c:v>4379215</c:v>
                </c:pt>
                <c:pt idx="8">
                  <c:v>1168044</c:v>
                </c:pt>
                <c:pt idx="9">
                  <c:v>893855</c:v>
                </c:pt>
                <c:pt idx="10">
                  <c:v>1025487</c:v>
                </c:pt>
                <c:pt idx="11">
                  <c:v>1168044</c:v>
                </c:pt>
                <c:pt idx="12">
                  <c:v>2028934</c:v>
                </c:pt>
                <c:pt idx="13">
                  <c:v>2715594</c:v>
                </c:pt>
                <c:pt idx="14">
                  <c:v>2427022</c:v>
                </c:pt>
                <c:pt idx="15">
                  <c:v>2413950</c:v>
                </c:pt>
                <c:pt idx="16">
                  <c:v>1168044</c:v>
                </c:pt>
                <c:pt idx="17">
                  <c:v>1386316</c:v>
                </c:pt>
                <c:pt idx="18">
                  <c:v>1625678</c:v>
                </c:pt>
                <c:pt idx="19">
                  <c:v>3287095</c:v>
                </c:pt>
                <c:pt idx="20">
                  <c:v>1844444</c:v>
                </c:pt>
                <c:pt idx="21">
                  <c:v>2132788</c:v>
                </c:pt>
                <c:pt idx="22">
                  <c:v>1556024</c:v>
                </c:pt>
                <c:pt idx="23">
                  <c:v>3228708</c:v>
                </c:pt>
                <c:pt idx="24">
                  <c:v>1168044</c:v>
                </c:pt>
                <c:pt idx="25">
                  <c:v>3391253</c:v>
                </c:pt>
                <c:pt idx="26">
                  <c:v>2433900</c:v>
                </c:pt>
                <c:pt idx="27">
                  <c:v>2016546</c:v>
                </c:pt>
                <c:pt idx="28">
                  <c:v>1168044</c:v>
                </c:pt>
                <c:pt idx="29">
                  <c:v>6628720</c:v>
                </c:pt>
                <c:pt idx="30">
                  <c:v>1608787</c:v>
                </c:pt>
                <c:pt idx="31">
                  <c:v>1168044</c:v>
                </c:pt>
                <c:pt idx="32">
                  <c:v>1253525</c:v>
                </c:pt>
                <c:pt idx="33">
                  <c:v>2461184</c:v>
                </c:pt>
                <c:pt idx="34">
                  <c:v>3715260</c:v>
                </c:pt>
                <c:pt idx="35">
                  <c:v>2305669</c:v>
                </c:pt>
                <c:pt idx="36">
                  <c:v>2607199</c:v>
                </c:pt>
                <c:pt idx="37">
                  <c:v>5316447</c:v>
                </c:pt>
                <c:pt idx="38">
                  <c:v>1054747</c:v>
                </c:pt>
                <c:pt idx="39">
                  <c:v>1168044</c:v>
                </c:pt>
                <c:pt idx="40">
                  <c:v>753084</c:v>
                </c:pt>
                <c:pt idx="41">
                  <c:v>3614978</c:v>
                </c:pt>
                <c:pt idx="42">
                  <c:v>3614978</c:v>
                </c:pt>
                <c:pt idx="43">
                  <c:v>989919</c:v>
                </c:pt>
                <c:pt idx="44">
                  <c:v>634182</c:v>
                </c:pt>
                <c:pt idx="45">
                  <c:v>1490683</c:v>
                </c:pt>
                <c:pt idx="46">
                  <c:v>1822328</c:v>
                </c:pt>
                <c:pt idx="47">
                  <c:v>1168044</c:v>
                </c:pt>
                <c:pt idx="48">
                  <c:v>1620339</c:v>
                </c:pt>
                <c:pt idx="49">
                  <c:v>1392662</c:v>
                </c:pt>
                <c:pt idx="50">
                  <c:v>1168044</c:v>
                </c:pt>
                <c:pt idx="51">
                  <c:v>1168044</c:v>
                </c:pt>
                <c:pt idx="52">
                  <c:v>1821967</c:v>
                </c:pt>
                <c:pt idx="53">
                  <c:v>6606775</c:v>
                </c:pt>
                <c:pt idx="54">
                  <c:v>1490664</c:v>
                </c:pt>
                <c:pt idx="55">
                  <c:v>1168044</c:v>
                </c:pt>
                <c:pt idx="56">
                  <c:v>1729323</c:v>
                </c:pt>
                <c:pt idx="57">
                  <c:v>1168044</c:v>
                </c:pt>
                <c:pt idx="58">
                  <c:v>1465774</c:v>
                </c:pt>
                <c:pt idx="59">
                  <c:v>4100941</c:v>
                </c:pt>
                <c:pt idx="60">
                  <c:v>1168044</c:v>
                </c:pt>
                <c:pt idx="61">
                  <c:v>1731926</c:v>
                </c:pt>
                <c:pt idx="62">
                  <c:v>3203514</c:v>
                </c:pt>
                <c:pt idx="63">
                  <c:v>1168044</c:v>
                </c:pt>
                <c:pt idx="64">
                  <c:v>1168044</c:v>
                </c:pt>
                <c:pt idx="65">
                  <c:v>1355802</c:v>
                </c:pt>
                <c:pt idx="66">
                  <c:v>1168044</c:v>
                </c:pt>
                <c:pt idx="67">
                  <c:v>1569381</c:v>
                </c:pt>
                <c:pt idx="68">
                  <c:v>2207743</c:v>
                </c:pt>
                <c:pt idx="69">
                  <c:v>1168044</c:v>
                </c:pt>
                <c:pt idx="70">
                  <c:v>1168044</c:v>
                </c:pt>
                <c:pt idx="71">
                  <c:v>1888220</c:v>
                </c:pt>
                <c:pt idx="72">
                  <c:v>1168044</c:v>
                </c:pt>
                <c:pt idx="73">
                  <c:v>1168044</c:v>
                </c:pt>
                <c:pt idx="74">
                  <c:v>1877219</c:v>
                </c:pt>
                <c:pt idx="75">
                  <c:v>1813854</c:v>
                </c:pt>
                <c:pt idx="76">
                  <c:v>1282462</c:v>
                </c:pt>
                <c:pt idx="77">
                  <c:v>1168044</c:v>
                </c:pt>
                <c:pt idx="78">
                  <c:v>6906766</c:v>
                </c:pt>
                <c:pt idx="79">
                  <c:v>786125</c:v>
                </c:pt>
                <c:pt idx="80">
                  <c:v>4995328</c:v>
                </c:pt>
                <c:pt idx="81">
                  <c:v>1168044</c:v>
                </c:pt>
                <c:pt idx="82">
                  <c:v>1506928</c:v>
                </c:pt>
                <c:pt idx="83">
                  <c:v>1238952</c:v>
                </c:pt>
                <c:pt idx="84">
                  <c:v>1168044</c:v>
                </c:pt>
                <c:pt idx="85">
                  <c:v>1168044</c:v>
                </c:pt>
                <c:pt idx="86">
                  <c:v>1733788</c:v>
                </c:pt>
                <c:pt idx="87">
                  <c:v>1168044</c:v>
                </c:pt>
                <c:pt idx="88">
                  <c:v>1168044</c:v>
                </c:pt>
                <c:pt idx="89">
                  <c:v>2705220</c:v>
                </c:pt>
                <c:pt idx="90">
                  <c:v>1168044</c:v>
                </c:pt>
                <c:pt idx="91">
                  <c:v>1168044</c:v>
                </c:pt>
                <c:pt idx="92">
                  <c:v>773300</c:v>
                </c:pt>
                <c:pt idx="93">
                  <c:v>2250246</c:v>
                </c:pt>
                <c:pt idx="94">
                  <c:v>1168044</c:v>
                </c:pt>
                <c:pt idx="95">
                  <c:v>756504</c:v>
                </c:pt>
                <c:pt idx="96">
                  <c:v>1816571</c:v>
                </c:pt>
                <c:pt idx="97">
                  <c:v>1168044</c:v>
                </c:pt>
                <c:pt idx="98">
                  <c:v>1168044</c:v>
                </c:pt>
                <c:pt idx="99">
                  <c:v>1400186</c:v>
                </c:pt>
                <c:pt idx="100">
                  <c:v>1152654</c:v>
                </c:pt>
                <c:pt idx="101">
                  <c:v>2235255</c:v>
                </c:pt>
                <c:pt idx="102">
                  <c:v>1690848</c:v>
                </c:pt>
                <c:pt idx="103">
                  <c:v>1442822</c:v>
                </c:pt>
                <c:pt idx="104">
                  <c:v>1168044</c:v>
                </c:pt>
                <c:pt idx="105">
                  <c:v>2692471</c:v>
                </c:pt>
                <c:pt idx="106">
                  <c:v>1493552</c:v>
                </c:pt>
                <c:pt idx="107">
                  <c:v>2551643</c:v>
                </c:pt>
                <c:pt idx="108">
                  <c:v>2302116</c:v>
                </c:pt>
                <c:pt idx="109">
                  <c:v>1352914</c:v>
                </c:pt>
                <c:pt idx="110">
                  <c:v>1780870</c:v>
                </c:pt>
                <c:pt idx="111">
                  <c:v>1411472</c:v>
                </c:pt>
                <c:pt idx="112">
                  <c:v>3833820</c:v>
                </c:pt>
                <c:pt idx="113">
                  <c:v>1950863</c:v>
                </c:pt>
                <c:pt idx="114">
                  <c:v>700758</c:v>
                </c:pt>
                <c:pt idx="115">
                  <c:v>830813</c:v>
                </c:pt>
                <c:pt idx="116">
                  <c:v>2298696</c:v>
                </c:pt>
                <c:pt idx="117">
                  <c:v>1603657</c:v>
                </c:pt>
                <c:pt idx="118">
                  <c:v>1852500</c:v>
                </c:pt>
                <c:pt idx="119">
                  <c:v>1168044</c:v>
                </c:pt>
                <c:pt idx="120">
                  <c:v>1794170</c:v>
                </c:pt>
                <c:pt idx="121">
                  <c:v>4060091</c:v>
                </c:pt>
                <c:pt idx="122">
                  <c:v>1222289</c:v>
                </c:pt>
                <c:pt idx="123">
                  <c:v>1168044</c:v>
                </c:pt>
                <c:pt idx="124">
                  <c:v>2895087</c:v>
                </c:pt>
                <c:pt idx="125">
                  <c:v>2042766</c:v>
                </c:pt>
                <c:pt idx="126">
                  <c:v>3562348</c:v>
                </c:pt>
                <c:pt idx="127">
                  <c:v>2316613</c:v>
                </c:pt>
                <c:pt idx="128">
                  <c:v>1168044</c:v>
                </c:pt>
                <c:pt idx="129">
                  <c:v>1056818</c:v>
                </c:pt>
                <c:pt idx="130">
                  <c:v>1168044</c:v>
                </c:pt>
                <c:pt idx="131">
                  <c:v>1843513</c:v>
                </c:pt>
                <c:pt idx="132">
                  <c:v>2044438</c:v>
                </c:pt>
                <c:pt idx="133">
                  <c:v>1636318</c:v>
                </c:pt>
                <c:pt idx="134">
                  <c:v>1168044</c:v>
                </c:pt>
                <c:pt idx="135">
                  <c:v>1875680</c:v>
                </c:pt>
                <c:pt idx="136">
                  <c:v>1168044</c:v>
                </c:pt>
                <c:pt idx="137">
                  <c:v>3266176</c:v>
                </c:pt>
                <c:pt idx="138">
                  <c:v>1061834</c:v>
                </c:pt>
                <c:pt idx="139">
                  <c:v>1224968</c:v>
                </c:pt>
                <c:pt idx="140">
                  <c:v>1519544</c:v>
                </c:pt>
                <c:pt idx="141">
                  <c:v>1523040</c:v>
                </c:pt>
                <c:pt idx="142">
                  <c:v>3090160</c:v>
                </c:pt>
                <c:pt idx="143">
                  <c:v>1168044</c:v>
                </c:pt>
                <c:pt idx="144">
                  <c:v>2321496</c:v>
                </c:pt>
                <c:pt idx="145">
                  <c:v>1803936</c:v>
                </c:pt>
                <c:pt idx="146">
                  <c:v>1215867</c:v>
                </c:pt>
                <c:pt idx="147">
                  <c:v>2278632</c:v>
                </c:pt>
                <c:pt idx="148">
                  <c:v>1168044</c:v>
                </c:pt>
                <c:pt idx="149">
                  <c:v>2524093</c:v>
                </c:pt>
                <c:pt idx="150">
                  <c:v>1841879</c:v>
                </c:pt>
                <c:pt idx="151">
                  <c:v>2032924</c:v>
                </c:pt>
                <c:pt idx="152">
                  <c:v>3487640</c:v>
                </c:pt>
                <c:pt idx="153">
                  <c:v>1168044</c:v>
                </c:pt>
                <c:pt idx="154">
                  <c:v>664867</c:v>
                </c:pt>
                <c:pt idx="155">
                  <c:v>1949115</c:v>
                </c:pt>
                <c:pt idx="156">
                  <c:v>2950909</c:v>
                </c:pt>
                <c:pt idx="157">
                  <c:v>1168044</c:v>
                </c:pt>
                <c:pt idx="158">
                  <c:v>1199964</c:v>
                </c:pt>
                <c:pt idx="159">
                  <c:v>1168044</c:v>
                </c:pt>
                <c:pt idx="160">
                  <c:v>1774676</c:v>
                </c:pt>
                <c:pt idx="161">
                  <c:v>4071396</c:v>
                </c:pt>
                <c:pt idx="162">
                  <c:v>2517804</c:v>
                </c:pt>
                <c:pt idx="163">
                  <c:v>804460</c:v>
                </c:pt>
                <c:pt idx="164">
                  <c:v>2909945</c:v>
                </c:pt>
                <c:pt idx="165">
                  <c:v>2239416</c:v>
                </c:pt>
                <c:pt idx="166">
                  <c:v>2083825</c:v>
                </c:pt>
                <c:pt idx="167">
                  <c:v>1168044</c:v>
                </c:pt>
                <c:pt idx="168">
                  <c:v>1561382</c:v>
                </c:pt>
                <c:pt idx="169">
                  <c:v>896990</c:v>
                </c:pt>
                <c:pt idx="170">
                  <c:v>1536112</c:v>
                </c:pt>
                <c:pt idx="171">
                  <c:v>1168044</c:v>
                </c:pt>
                <c:pt idx="172">
                  <c:v>1102171</c:v>
                </c:pt>
                <c:pt idx="173">
                  <c:v>1643481</c:v>
                </c:pt>
                <c:pt idx="174">
                  <c:v>2278404</c:v>
                </c:pt>
                <c:pt idx="175">
                  <c:v>1503280</c:v>
                </c:pt>
                <c:pt idx="176">
                  <c:v>1168044</c:v>
                </c:pt>
                <c:pt idx="177">
                  <c:v>1168044</c:v>
                </c:pt>
                <c:pt idx="178">
                  <c:v>1208324</c:v>
                </c:pt>
                <c:pt idx="179">
                  <c:v>1633506</c:v>
                </c:pt>
                <c:pt idx="180">
                  <c:v>2617326</c:v>
                </c:pt>
                <c:pt idx="181">
                  <c:v>863208</c:v>
                </c:pt>
                <c:pt idx="182">
                  <c:v>1467256</c:v>
                </c:pt>
                <c:pt idx="183">
                  <c:v>1461689</c:v>
                </c:pt>
                <c:pt idx="184">
                  <c:v>867996</c:v>
                </c:pt>
                <c:pt idx="185">
                  <c:v>1050111</c:v>
                </c:pt>
                <c:pt idx="186">
                  <c:v>1217102</c:v>
                </c:pt>
                <c:pt idx="187">
                  <c:v>1626799</c:v>
                </c:pt>
                <c:pt idx="188">
                  <c:v>2157906</c:v>
                </c:pt>
                <c:pt idx="189">
                  <c:v>1899430</c:v>
                </c:pt>
                <c:pt idx="190">
                  <c:v>1302469</c:v>
                </c:pt>
                <c:pt idx="191">
                  <c:v>1518632</c:v>
                </c:pt>
                <c:pt idx="192">
                  <c:v>2372625</c:v>
                </c:pt>
                <c:pt idx="193">
                  <c:v>1262797</c:v>
                </c:pt>
                <c:pt idx="194">
                  <c:v>1168044</c:v>
                </c:pt>
                <c:pt idx="195">
                  <c:v>2330749</c:v>
                </c:pt>
                <c:pt idx="196">
                  <c:v>1168044</c:v>
                </c:pt>
                <c:pt idx="197">
                  <c:v>1330532</c:v>
                </c:pt>
                <c:pt idx="198">
                  <c:v>3069488</c:v>
                </c:pt>
                <c:pt idx="199">
                  <c:v>1168044</c:v>
                </c:pt>
                <c:pt idx="200">
                  <c:v>2838543</c:v>
                </c:pt>
                <c:pt idx="201">
                  <c:v>4521715</c:v>
                </c:pt>
                <c:pt idx="202">
                  <c:v>2071817</c:v>
                </c:pt>
                <c:pt idx="203">
                  <c:v>1226032</c:v>
                </c:pt>
                <c:pt idx="204">
                  <c:v>1068142</c:v>
                </c:pt>
                <c:pt idx="205">
                  <c:v>1168044</c:v>
                </c:pt>
                <c:pt idx="206">
                  <c:v>2699976</c:v>
                </c:pt>
                <c:pt idx="207">
                  <c:v>1168044</c:v>
                </c:pt>
                <c:pt idx="208">
                  <c:v>1312976</c:v>
                </c:pt>
                <c:pt idx="209">
                  <c:v>981578</c:v>
                </c:pt>
                <c:pt idx="210">
                  <c:v>1504819</c:v>
                </c:pt>
                <c:pt idx="211">
                  <c:v>2873370</c:v>
                </c:pt>
                <c:pt idx="212">
                  <c:v>2885226</c:v>
                </c:pt>
                <c:pt idx="213">
                  <c:v>1000540</c:v>
                </c:pt>
                <c:pt idx="214">
                  <c:v>1639776</c:v>
                </c:pt>
                <c:pt idx="215">
                  <c:v>2649094</c:v>
                </c:pt>
                <c:pt idx="216">
                  <c:v>1705554</c:v>
                </c:pt>
                <c:pt idx="217">
                  <c:v>968145</c:v>
                </c:pt>
                <c:pt idx="218">
                  <c:v>3369897</c:v>
                </c:pt>
                <c:pt idx="219">
                  <c:v>1081480</c:v>
                </c:pt>
                <c:pt idx="220">
                  <c:v>1168044</c:v>
                </c:pt>
                <c:pt idx="221">
                  <c:v>1168044</c:v>
                </c:pt>
                <c:pt idx="222">
                  <c:v>2323472</c:v>
                </c:pt>
                <c:pt idx="223">
                  <c:v>1557240</c:v>
                </c:pt>
                <c:pt idx="224">
                  <c:v>1168044</c:v>
                </c:pt>
                <c:pt idx="225">
                  <c:v>1491158</c:v>
                </c:pt>
                <c:pt idx="226">
                  <c:v>2004253</c:v>
                </c:pt>
                <c:pt idx="227">
                  <c:v>1719405</c:v>
                </c:pt>
                <c:pt idx="228">
                  <c:v>1013479</c:v>
                </c:pt>
                <c:pt idx="229">
                  <c:v>1357683</c:v>
                </c:pt>
                <c:pt idx="230">
                  <c:v>1168044</c:v>
                </c:pt>
                <c:pt idx="231">
                  <c:v>1408185</c:v>
                </c:pt>
                <c:pt idx="232">
                  <c:v>4090719</c:v>
                </c:pt>
                <c:pt idx="233">
                  <c:v>1336802</c:v>
                </c:pt>
                <c:pt idx="234">
                  <c:v>1467978</c:v>
                </c:pt>
                <c:pt idx="235">
                  <c:v>1603220</c:v>
                </c:pt>
                <c:pt idx="236">
                  <c:v>2212835</c:v>
                </c:pt>
                <c:pt idx="237">
                  <c:v>1619199</c:v>
                </c:pt>
                <c:pt idx="238">
                  <c:v>1890690</c:v>
                </c:pt>
                <c:pt idx="239">
                  <c:v>1193010</c:v>
                </c:pt>
                <c:pt idx="240">
                  <c:v>1168044</c:v>
                </c:pt>
                <c:pt idx="241">
                  <c:v>1168044</c:v>
                </c:pt>
                <c:pt idx="242">
                  <c:v>2491736</c:v>
                </c:pt>
                <c:pt idx="243">
                  <c:v>1448275</c:v>
                </c:pt>
                <c:pt idx="244">
                  <c:v>1361787</c:v>
                </c:pt>
                <c:pt idx="245">
                  <c:v>1712565</c:v>
                </c:pt>
                <c:pt idx="246">
                  <c:v>2435667</c:v>
                </c:pt>
                <c:pt idx="247">
                  <c:v>1168044</c:v>
                </c:pt>
                <c:pt idx="248">
                  <c:v>1351546</c:v>
                </c:pt>
                <c:pt idx="249">
                  <c:v>1377443</c:v>
                </c:pt>
                <c:pt idx="250">
                  <c:v>1304141</c:v>
                </c:pt>
                <c:pt idx="251">
                  <c:v>2351250</c:v>
                </c:pt>
                <c:pt idx="252">
                  <c:v>1168044</c:v>
                </c:pt>
                <c:pt idx="253">
                  <c:v>1168044</c:v>
                </c:pt>
                <c:pt idx="254">
                  <c:v>968905</c:v>
                </c:pt>
                <c:pt idx="255">
                  <c:v>1226735</c:v>
                </c:pt>
                <c:pt idx="256">
                  <c:v>822890</c:v>
                </c:pt>
                <c:pt idx="257">
                  <c:v>2393487</c:v>
                </c:pt>
                <c:pt idx="258">
                  <c:v>2848575</c:v>
                </c:pt>
                <c:pt idx="259">
                  <c:v>2799707</c:v>
                </c:pt>
                <c:pt idx="260">
                  <c:v>1168044</c:v>
                </c:pt>
                <c:pt idx="261">
                  <c:v>1620814</c:v>
                </c:pt>
                <c:pt idx="262">
                  <c:v>1056039</c:v>
                </c:pt>
                <c:pt idx="263">
                  <c:v>747213</c:v>
                </c:pt>
                <c:pt idx="264">
                  <c:v>2644116</c:v>
                </c:pt>
                <c:pt idx="265">
                  <c:v>558942</c:v>
                </c:pt>
                <c:pt idx="266">
                  <c:v>1996596</c:v>
                </c:pt>
                <c:pt idx="267">
                  <c:v>1131792</c:v>
                </c:pt>
                <c:pt idx="268">
                  <c:v>1168044</c:v>
                </c:pt>
                <c:pt idx="269">
                  <c:v>865811</c:v>
                </c:pt>
                <c:pt idx="270">
                  <c:v>1206861</c:v>
                </c:pt>
                <c:pt idx="271">
                  <c:v>2509520</c:v>
                </c:pt>
                <c:pt idx="272">
                  <c:v>1060922</c:v>
                </c:pt>
                <c:pt idx="273">
                  <c:v>1223030</c:v>
                </c:pt>
                <c:pt idx="274">
                  <c:v>827032</c:v>
                </c:pt>
                <c:pt idx="275">
                  <c:v>1454735</c:v>
                </c:pt>
                <c:pt idx="276">
                  <c:v>1724193</c:v>
                </c:pt>
                <c:pt idx="277">
                  <c:v>1458592</c:v>
                </c:pt>
                <c:pt idx="278">
                  <c:v>1920919</c:v>
                </c:pt>
                <c:pt idx="279">
                  <c:v>975555</c:v>
                </c:pt>
                <c:pt idx="280">
                  <c:v>1168044</c:v>
                </c:pt>
                <c:pt idx="281">
                  <c:v>687971</c:v>
                </c:pt>
                <c:pt idx="282">
                  <c:v>1108175</c:v>
                </c:pt>
                <c:pt idx="283">
                  <c:v>774060</c:v>
                </c:pt>
                <c:pt idx="284">
                  <c:v>956460</c:v>
                </c:pt>
                <c:pt idx="285">
                  <c:v>1069966</c:v>
                </c:pt>
                <c:pt idx="286">
                  <c:v>1030579</c:v>
                </c:pt>
                <c:pt idx="287">
                  <c:v>2247377</c:v>
                </c:pt>
                <c:pt idx="288">
                  <c:v>1981529</c:v>
                </c:pt>
                <c:pt idx="289">
                  <c:v>1261068</c:v>
                </c:pt>
                <c:pt idx="290">
                  <c:v>823042</c:v>
                </c:pt>
                <c:pt idx="291">
                  <c:v>1001186</c:v>
                </c:pt>
                <c:pt idx="292">
                  <c:v>1589464</c:v>
                </c:pt>
                <c:pt idx="293">
                  <c:v>779095</c:v>
                </c:pt>
                <c:pt idx="294">
                  <c:v>1027444</c:v>
                </c:pt>
                <c:pt idx="295">
                  <c:v>1168044</c:v>
                </c:pt>
                <c:pt idx="296">
                  <c:v>738644</c:v>
                </c:pt>
                <c:pt idx="297">
                  <c:v>1290195</c:v>
                </c:pt>
                <c:pt idx="298">
                  <c:v>1448237</c:v>
                </c:pt>
                <c:pt idx="299">
                  <c:v>1116744</c:v>
                </c:pt>
                <c:pt idx="300">
                  <c:v>2638454</c:v>
                </c:pt>
                <c:pt idx="301">
                  <c:v>1780775</c:v>
                </c:pt>
                <c:pt idx="302">
                  <c:v>2316575</c:v>
                </c:pt>
                <c:pt idx="303">
                  <c:v>1168044</c:v>
                </c:pt>
                <c:pt idx="304">
                  <c:v>1168044</c:v>
                </c:pt>
                <c:pt idx="305">
                  <c:v>1622106</c:v>
                </c:pt>
                <c:pt idx="306">
                  <c:v>1168044</c:v>
                </c:pt>
                <c:pt idx="307">
                  <c:v>2705486</c:v>
                </c:pt>
                <c:pt idx="308">
                  <c:v>762660</c:v>
                </c:pt>
                <c:pt idx="309">
                  <c:v>1168044</c:v>
                </c:pt>
                <c:pt idx="310">
                  <c:v>618393</c:v>
                </c:pt>
                <c:pt idx="311">
                  <c:v>1326808</c:v>
                </c:pt>
                <c:pt idx="312">
                  <c:v>1269808</c:v>
                </c:pt>
                <c:pt idx="313">
                  <c:v>1186322</c:v>
                </c:pt>
                <c:pt idx="314">
                  <c:v>897959</c:v>
                </c:pt>
                <c:pt idx="315">
                  <c:v>1067515</c:v>
                </c:pt>
                <c:pt idx="316">
                  <c:v>1168044</c:v>
                </c:pt>
                <c:pt idx="317">
                  <c:v>1533528</c:v>
                </c:pt>
                <c:pt idx="318">
                  <c:v>1629383</c:v>
                </c:pt>
                <c:pt idx="319">
                  <c:v>959215</c:v>
                </c:pt>
                <c:pt idx="320">
                  <c:v>1168044</c:v>
                </c:pt>
                <c:pt idx="321">
                  <c:v>1030370</c:v>
                </c:pt>
                <c:pt idx="322">
                  <c:v>1704699</c:v>
                </c:pt>
                <c:pt idx="323">
                  <c:v>972686</c:v>
                </c:pt>
                <c:pt idx="324">
                  <c:v>1834944</c:v>
                </c:pt>
                <c:pt idx="325">
                  <c:v>2001783</c:v>
                </c:pt>
                <c:pt idx="326">
                  <c:v>2233697</c:v>
                </c:pt>
                <c:pt idx="327">
                  <c:v>654493</c:v>
                </c:pt>
                <c:pt idx="328">
                  <c:v>1123660</c:v>
                </c:pt>
                <c:pt idx="329">
                  <c:v>1784423</c:v>
                </c:pt>
                <c:pt idx="330">
                  <c:v>1168044</c:v>
                </c:pt>
                <c:pt idx="331">
                  <c:v>1341704</c:v>
                </c:pt>
                <c:pt idx="332">
                  <c:v>5306301</c:v>
                </c:pt>
                <c:pt idx="333">
                  <c:v>1507783</c:v>
                </c:pt>
                <c:pt idx="334">
                  <c:v>1168044</c:v>
                </c:pt>
                <c:pt idx="335">
                  <c:v>1890500</c:v>
                </c:pt>
                <c:pt idx="336">
                  <c:v>1634323</c:v>
                </c:pt>
                <c:pt idx="337">
                  <c:v>968715</c:v>
                </c:pt>
                <c:pt idx="338">
                  <c:v>1168044</c:v>
                </c:pt>
                <c:pt idx="339">
                  <c:v>1489771</c:v>
                </c:pt>
                <c:pt idx="340">
                  <c:v>3293745</c:v>
                </c:pt>
                <c:pt idx="341">
                  <c:v>1640061</c:v>
                </c:pt>
                <c:pt idx="342">
                  <c:v>1885959</c:v>
                </c:pt>
                <c:pt idx="343">
                  <c:v>1068598</c:v>
                </c:pt>
                <c:pt idx="344">
                  <c:v>3055200</c:v>
                </c:pt>
                <c:pt idx="345">
                  <c:v>1168044</c:v>
                </c:pt>
                <c:pt idx="346">
                  <c:v>1252784</c:v>
                </c:pt>
                <c:pt idx="347">
                  <c:v>1168044</c:v>
                </c:pt>
                <c:pt idx="348">
                  <c:v>2094807</c:v>
                </c:pt>
                <c:pt idx="349">
                  <c:v>1168044</c:v>
                </c:pt>
                <c:pt idx="350">
                  <c:v>9057984</c:v>
                </c:pt>
                <c:pt idx="351">
                  <c:v>3069488</c:v>
                </c:pt>
                <c:pt idx="352">
                  <c:v>1168044</c:v>
                </c:pt>
                <c:pt idx="353">
                  <c:v>1752408</c:v>
                </c:pt>
                <c:pt idx="354">
                  <c:v>1163978</c:v>
                </c:pt>
                <c:pt idx="355">
                  <c:v>805790</c:v>
                </c:pt>
                <c:pt idx="356">
                  <c:v>948594</c:v>
                </c:pt>
                <c:pt idx="357">
                  <c:v>831953</c:v>
                </c:pt>
                <c:pt idx="358">
                  <c:v>1468662</c:v>
                </c:pt>
                <c:pt idx="359">
                  <c:v>1432391</c:v>
                </c:pt>
                <c:pt idx="360">
                  <c:v>1168044</c:v>
                </c:pt>
                <c:pt idx="361">
                  <c:v>1413524</c:v>
                </c:pt>
                <c:pt idx="362">
                  <c:v>800280</c:v>
                </c:pt>
                <c:pt idx="363">
                  <c:v>1698885</c:v>
                </c:pt>
                <c:pt idx="364">
                  <c:v>2234856</c:v>
                </c:pt>
                <c:pt idx="365">
                  <c:v>1264602</c:v>
                </c:pt>
                <c:pt idx="366">
                  <c:v>1264602</c:v>
                </c:pt>
                <c:pt idx="367">
                  <c:v>1168044</c:v>
                </c:pt>
                <c:pt idx="368">
                  <c:v>1765290</c:v>
                </c:pt>
                <c:pt idx="369">
                  <c:v>1168044</c:v>
                </c:pt>
                <c:pt idx="370">
                  <c:v>898358</c:v>
                </c:pt>
                <c:pt idx="371">
                  <c:v>1238610</c:v>
                </c:pt>
                <c:pt idx="372">
                  <c:v>2183043</c:v>
                </c:pt>
                <c:pt idx="373">
                  <c:v>1251435</c:v>
                </c:pt>
                <c:pt idx="374">
                  <c:v>1580116</c:v>
                </c:pt>
                <c:pt idx="375">
                  <c:v>1168044</c:v>
                </c:pt>
                <c:pt idx="376">
                  <c:v>1039433</c:v>
                </c:pt>
                <c:pt idx="377">
                  <c:v>4674475</c:v>
                </c:pt>
                <c:pt idx="378">
                  <c:v>1054937</c:v>
                </c:pt>
                <c:pt idx="379">
                  <c:v>1442328</c:v>
                </c:pt>
                <c:pt idx="380">
                  <c:v>1168044</c:v>
                </c:pt>
                <c:pt idx="381">
                  <c:v>1168044</c:v>
                </c:pt>
                <c:pt idx="382">
                  <c:v>1168044</c:v>
                </c:pt>
                <c:pt idx="383">
                  <c:v>1319626</c:v>
                </c:pt>
                <c:pt idx="384">
                  <c:v>3186889</c:v>
                </c:pt>
                <c:pt idx="385">
                  <c:v>583737</c:v>
                </c:pt>
                <c:pt idx="386">
                  <c:v>655633</c:v>
                </c:pt>
                <c:pt idx="387">
                  <c:v>2710274</c:v>
                </c:pt>
                <c:pt idx="388">
                  <c:v>1245374</c:v>
                </c:pt>
                <c:pt idx="389">
                  <c:v>2672540</c:v>
                </c:pt>
                <c:pt idx="390">
                  <c:v>1167132</c:v>
                </c:pt>
                <c:pt idx="391">
                  <c:v>1168044</c:v>
                </c:pt>
                <c:pt idx="392">
                  <c:v>1168044</c:v>
                </c:pt>
                <c:pt idx="393">
                  <c:v>963490</c:v>
                </c:pt>
                <c:pt idx="394">
                  <c:v>2432000</c:v>
                </c:pt>
                <c:pt idx="395">
                  <c:v>1374897</c:v>
                </c:pt>
                <c:pt idx="396">
                  <c:v>1098143</c:v>
                </c:pt>
                <c:pt idx="397">
                  <c:v>4673088</c:v>
                </c:pt>
                <c:pt idx="398">
                  <c:v>1270036</c:v>
                </c:pt>
                <c:pt idx="399">
                  <c:v>1121285</c:v>
                </c:pt>
                <c:pt idx="400">
                  <c:v>2237820</c:v>
                </c:pt>
                <c:pt idx="401">
                  <c:v>1168044</c:v>
                </c:pt>
                <c:pt idx="402">
                  <c:v>1282462</c:v>
                </c:pt>
                <c:pt idx="403">
                  <c:v>1168044</c:v>
                </c:pt>
                <c:pt idx="404">
                  <c:v>1115718</c:v>
                </c:pt>
                <c:pt idx="405">
                  <c:v>1168044</c:v>
                </c:pt>
                <c:pt idx="406">
                  <c:v>1060884</c:v>
                </c:pt>
                <c:pt idx="407">
                  <c:v>1168044</c:v>
                </c:pt>
                <c:pt idx="408">
                  <c:v>1494616</c:v>
                </c:pt>
                <c:pt idx="409">
                  <c:v>1763561</c:v>
                </c:pt>
                <c:pt idx="410">
                  <c:v>5972460</c:v>
                </c:pt>
                <c:pt idx="411">
                  <c:v>1634703</c:v>
                </c:pt>
                <c:pt idx="412">
                  <c:v>1040193</c:v>
                </c:pt>
                <c:pt idx="413">
                  <c:v>1582377</c:v>
                </c:pt>
                <c:pt idx="414">
                  <c:v>1168044</c:v>
                </c:pt>
                <c:pt idx="415">
                  <c:v>2081583</c:v>
                </c:pt>
                <c:pt idx="416">
                  <c:v>1015588</c:v>
                </c:pt>
                <c:pt idx="417">
                  <c:v>584345</c:v>
                </c:pt>
                <c:pt idx="418">
                  <c:v>2251272</c:v>
                </c:pt>
                <c:pt idx="419">
                  <c:v>2200219</c:v>
                </c:pt>
                <c:pt idx="420">
                  <c:v>745997</c:v>
                </c:pt>
                <c:pt idx="421">
                  <c:v>1520817</c:v>
                </c:pt>
                <c:pt idx="422">
                  <c:v>1168044</c:v>
                </c:pt>
                <c:pt idx="423">
                  <c:v>2104630</c:v>
                </c:pt>
                <c:pt idx="424">
                  <c:v>1168044</c:v>
                </c:pt>
                <c:pt idx="425">
                  <c:v>981578</c:v>
                </c:pt>
                <c:pt idx="426">
                  <c:v>1045627</c:v>
                </c:pt>
                <c:pt idx="427">
                  <c:v>1168044</c:v>
                </c:pt>
                <c:pt idx="428">
                  <c:v>1835058</c:v>
                </c:pt>
                <c:pt idx="429">
                  <c:v>1168044</c:v>
                </c:pt>
                <c:pt idx="430">
                  <c:v>1654577</c:v>
                </c:pt>
                <c:pt idx="431">
                  <c:v>1186949</c:v>
                </c:pt>
                <c:pt idx="432">
                  <c:v>1328822</c:v>
                </c:pt>
                <c:pt idx="433">
                  <c:v>1160178</c:v>
                </c:pt>
                <c:pt idx="434">
                  <c:v>888041</c:v>
                </c:pt>
                <c:pt idx="435">
                  <c:v>1450441</c:v>
                </c:pt>
                <c:pt idx="436">
                  <c:v>1527144</c:v>
                </c:pt>
                <c:pt idx="437">
                  <c:v>2723840</c:v>
                </c:pt>
                <c:pt idx="438">
                  <c:v>2270652</c:v>
                </c:pt>
                <c:pt idx="439">
                  <c:v>1029857</c:v>
                </c:pt>
                <c:pt idx="440">
                  <c:v>1168044</c:v>
                </c:pt>
                <c:pt idx="441">
                  <c:v>728707</c:v>
                </c:pt>
                <c:pt idx="442">
                  <c:v>1168044</c:v>
                </c:pt>
                <c:pt idx="443">
                  <c:v>1168044</c:v>
                </c:pt>
                <c:pt idx="444">
                  <c:v>1168044</c:v>
                </c:pt>
                <c:pt idx="445">
                  <c:v>2128152</c:v>
                </c:pt>
                <c:pt idx="446">
                  <c:v>1239446</c:v>
                </c:pt>
                <c:pt idx="447">
                  <c:v>1168044</c:v>
                </c:pt>
                <c:pt idx="448">
                  <c:v>1168044</c:v>
                </c:pt>
                <c:pt idx="449">
                  <c:v>494247</c:v>
                </c:pt>
                <c:pt idx="450">
                  <c:v>1168044</c:v>
                </c:pt>
                <c:pt idx="451">
                  <c:v>1791738</c:v>
                </c:pt>
                <c:pt idx="452">
                  <c:v>1626951</c:v>
                </c:pt>
                <c:pt idx="453">
                  <c:v>1343642</c:v>
                </c:pt>
                <c:pt idx="454">
                  <c:v>1297548</c:v>
                </c:pt>
                <c:pt idx="455">
                  <c:v>1019711</c:v>
                </c:pt>
                <c:pt idx="456">
                  <c:v>972990</c:v>
                </c:pt>
                <c:pt idx="457">
                  <c:v>954750</c:v>
                </c:pt>
                <c:pt idx="458">
                  <c:v>1874844</c:v>
                </c:pt>
                <c:pt idx="459">
                  <c:v>2497721</c:v>
                </c:pt>
                <c:pt idx="460">
                  <c:v>1116877</c:v>
                </c:pt>
                <c:pt idx="461">
                  <c:v>1168044</c:v>
                </c:pt>
                <c:pt idx="462">
                  <c:v>1168044</c:v>
                </c:pt>
                <c:pt idx="463">
                  <c:v>5139234</c:v>
                </c:pt>
                <c:pt idx="464">
                  <c:v>1168044</c:v>
                </c:pt>
                <c:pt idx="465">
                  <c:v>1125978</c:v>
                </c:pt>
                <c:pt idx="466">
                  <c:v>1130120</c:v>
                </c:pt>
                <c:pt idx="467">
                  <c:v>1230345</c:v>
                </c:pt>
                <c:pt idx="468">
                  <c:v>2178122</c:v>
                </c:pt>
                <c:pt idx="469">
                  <c:v>1168044</c:v>
                </c:pt>
                <c:pt idx="470">
                  <c:v>875748</c:v>
                </c:pt>
                <c:pt idx="471">
                  <c:v>1412897</c:v>
                </c:pt>
                <c:pt idx="472">
                  <c:v>2148425</c:v>
                </c:pt>
                <c:pt idx="473">
                  <c:v>954275</c:v>
                </c:pt>
                <c:pt idx="474">
                  <c:v>2898659</c:v>
                </c:pt>
                <c:pt idx="475">
                  <c:v>952185</c:v>
                </c:pt>
                <c:pt idx="476">
                  <c:v>3416238</c:v>
                </c:pt>
                <c:pt idx="477">
                  <c:v>1331444</c:v>
                </c:pt>
                <c:pt idx="478">
                  <c:v>1549792</c:v>
                </c:pt>
                <c:pt idx="479">
                  <c:v>3842940</c:v>
                </c:pt>
                <c:pt idx="480">
                  <c:v>1555416</c:v>
                </c:pt>
                <c:pt idx="481">
                  <c:v>1168044</c:v>
                </c:pt>
                <c:pt idx="482">
                  <c:v>1541888</c:v>
                </c:pt>
                <c:pt idx="483">
                  <c:v>823612</c:v>
                </c:pt>
                <c:pt idx="484">
                  <c:v>433371</c:v>
                </c:pt>
                <c:pt idx="485">
                  <c:v>1142166</c:v>
                </c:pt>
                <c:pt idx="486">
                  <c:v>1438509</c:v>
                </c:pt>
                <c:pt idx="487">
                  <c:v>1097516</c:v>
                </c:pt>
                <c:pt idx="488">
                  <c:v>1161660</c:v>
                </c:pt>
                <c:pt idx="489">
                  <c:v>994612</c:v>
                </c:pt>
                <c:pt idx="490">
                  <c:v>1037609</c:v>
                </c:pt>
                <c:pt idx="491">
                  <c:v>1168044</c:v>
                </c:pt>
                <c:pt idx="492">
                  <c:v>1168044</c:v>
                </c:pt>
                <c:pt idx="493">
                  <c:v>1072303</c:v>
                </c:pt>
                <c:pt idx="494">
                  <c:v>2245800</c:v>
                </c:pt>
                <c:pt idx="495">
                  <c:v>1520304</c:v>
                </c:pt>
                <c:pt idx="496">
                  <c:v>4744775</c:v>
                </c:pt>
                <c:pt idx="497">
                  <c:v>1168044</c:v>
                </c:pt>
                <c:pt idx="498">
                  <c:v>1707207</c:v>
                </c:pt>
                <c:pt idx="499">
                  <c:v>2508095</c:v>
                </c:pt>
                <c:pt idx="500">
                  <c:v>315666</c:v>
                </c:pt>
                <c:pt idx="501">
                  <c:v>1168044</c:v>
                </c:pt>
                <c:pt idx="502">
                  <c:v>1838345</c:v>
                </c:pt>
                <c:pt idx="503">
                  <c:v>1153794</c:v>
                </c:pt>
                <c:pt idx="504">
                  <c:v>2643508</c:v>
                </c:pt>
                <c:pt idx="505">
                  <c:v>1168044</c:v>
                </c:pt>
                <c:pt idx="506">
                  <c:v>709916</c:v>
                </c:pt>
                <c:pt idx="507">
                  <c:v>2160528</c:v>
                </c:pt>
                <c:pt idx="508">
                  <c:v>1326086</c:v>
                </c:pt>
                <c:pt idx="509">
                  <c:v>2231892</c:v>
                </c:pt>
                <c:pt idx="510">
                  <c:v>1970072</c:v>
                </c:pt>
                <c:pt idx="511">
                  <c:v>2688462</c:v>
                </c:pt>
                <c:pt idx="512">
                  <c:v>1141254</c:v>
                </c:pt>
                <c:pt idx="513">
                  <c:v>1168044</c:v>
                </c:pt>
                <c:pt idx="514">
                  <c:v>926250</c:v>
                </c:pt>
                <c:pt idx="515">
                  <c:v>1117181</c:v>
                </c:pt>
                <c:pt idx="516">
                  <c:v>1168044</c:v>
                </c:pt>
                <c:pt idx="517">
                  <c:v>952280</c:v>
                </c:pt>
                <c:pt idx="518">
                  <c:v>2048618</c:v>
                </c:pt>
                <c:pt idx="519">
                  <c:v>654227</c:v>
                </c:pt>
                <c:pt idx="520">
                  <c:v>758328</c:v>
                </c:pt>
                <c:pt idx="521">
                  <c:v>669123</c:v>
                </c:pt>
                <c:pt idx="522">
                  <c:v>1168044</c:v>
                </c:pt>
                <c:pt idx="523">
                  <c:v>2344600</c:v>
                </c:pt>
                <c:pt idx="524">
                  <c:v>1028774</c:v>
                </c:pt>
                <c:pt idx="525">
                  <c:v>2908748</c:v>
                </c:pt>
                <c:pt idx="526">
                  <c:v>2228586</c:v>
                </c:pt>
                <c:pt idx="527">
                  <c:v>992256</c:v>
                </c:pt>
                <c:pt idx="528">
                  <c:v>778297</c:v>
                </c:pt>
                <c:pt idx="529">
                  <c:v>2309184</c:v>
                </c:pt>
                <c:pt idx="530">
                  <c:v>1603144</c:v>
                </c:pt>
                <c:pt idx="531">
                  <c:v>1070707</c:v>
                </c:pt>
                <c:pt idx="532">
                  <c:v>717630</c:v>
                </c:pt>
                <c:pt idx="533">
                  <c:v>1260441</c:v>
                </c:pt>
                <c:pt idx="534">
                  <c:v>1653589</c:v>
                </c:pt>
                <c:pt idx="535">
                  <c:v>1168044</c:v>
                </c:pt>
                <c:pt idx="536">
                  <c:v>1160862</c:v>
                </c:pt>
                <c:pt idx="537">
                  <c:v>2694257</c:v>
                </c:pt>
                <c:pt idx="538">
                  <c:v>1154801</c:v>
                </c:pt>
                <c:pt idx="539">
                  <c:v>932482</c:v>
                </c:pt>
                <c:pt idx="540">
                  <c:v>825968</c:v>
                </c:pt>
                <c:pt idx="541">
                  <c:v>1806083</c:v>
                </c:pt>
                <c:pt idx="542">
                  <c:v>2315872</c:v>
                </c:pt>
                <c:pt idx="543">
                  <c:v>966435</c:v>
                </c:pt>
                <c:pt idx="544">
                  <c:v>948575</c:v>
                </c:pt>
                <c:pt idx="545">
                  <c:v>1168044</c:v>
                </c:pt>
                <c:pt idx="546">
                  <c:v>1583992</c:v>
                </c:pt>
                <c:pt idx="547">
                  <c:v>491036</c:v>
                </c:pt>
                <c:pt idx="548">
                  <c:v>891119</c:v>
                </c:pt>
                <c:pt idx="549">
                  <c:v>1277161</c:v>
                </c:pt>
                <c:pt idx="550">
                  <c:v>1216361</c:v>
                </c:pt>
                <c:pt idx="551">
                  <c:v>1111728</c:v>
                </c:pt>
                <c:pt idx="552">
                  <c:v>1448655</c:v>
                </c:pt>
                <c:pt idx="553">
                  <c:v>1168044</c:v>
                </c:pt>
                <c:pt idx="554">
                  <c:v>625879</c:v>
                </c:pt>
                <c:pt idx="555">
                  <c:v>1892210</c:v>
                </c:pt>
                <c:pt idx="556">
                  <c:v>1652316</c:v>
                </c:pt>
                <c:pt idx="557">
                  <c:v>1168044</c:v>
                </c:pt>
                <c:pt idx="558">
                  <c:v>1576411</c:v>
                </c:pt>
                <c:pt idx="559">
                  <c:v>1168044</c:v>
                </c:pt>
                <c:pt idx="560">
                  <c:v>1168044</c:v>
                </c:pt>
                <c:pt idx="561">
                  <c:v>1356201</c:v>
                </c:pt>
                <c:pt idx="562">
                  <c:v>1747620</c:v>
                </c:pt>
                <c:pt idx="563">
                  <c:v>1683400</c:v>
                </c:pt>
                <c:pt idx="564">
                  <c:v>2093762</c:v>
                </c:pt>
                <c:pt idx="565">
                  <c:v>1055868</c:v>
                </c:pt>
                <c:pt idx="566">
                  <c:v>1124154</c:v>
                </c:pt>
                <c:pt idx="567">
                  <c:v>1168044</c:v>
                </c:pt>
                <c:pt idx="568">
                  <c:v>877059</c:v>
                </c:pt>
                <c:pt idx="569">
                  <c:v>1458136</c:v>
                </c:pt>
                <c:pt idx="570">
                  <c:v>909530</c:v>
                </c:pt>
                <c:pt idx="571">
                  <c:v>1398913</c:v>
                </c:pt>
                <c:pt idx="572">
                  <c:v>2279544</c:v>
                </c:pt>
                <c:pt idx="573">
                  <c:v>1872260</c:v>
                </c:pt>
                <c:pt idx="574">
                  <c:v>1488479</c:v>
                </c:pt>
                <c:pt idx="575">
                  <c:v>1770173</c:v>
                </c:pt>
                <c:pt idx="576">
                  <c:v>1262151</c:v>
                </c:pt>
                <c:pt idx="577">
                  <c:v>2522364</c:v>
                </c:pt>
                <c:pt idx="578">
                  <c:v>1168044</c:v>
                </c:pt>
                <c:pt idx="579">
                  <c:v>1168044</c:v>
                </c:pt>
                <c:pt idx="580">
                  <c:v>2913270</c:v>
                </c:pt>
                <c:pt idx="581">
                  <c:v>1124496</c:v>
                </c:pt>
                <c:pt idx="582">
                  <c:v>1250200</c:v>
                </c:pt>
                <c:pt idx="583">
                  <c:v>652099</c:v>
                </c:pt>
                <c:pt idx="584">
                  <c:v>1335985</c:v>
                </c:pt>
                <c:pt idx="585">
                  <c:v>1166904</c:v>
                </c:pt>
                <c:pt idx="586">
                  <c:v>1411035</c:v>
                </c:pt>
                <c:pt idx="587">
                  <c:v>1168044</c:v>
                </c:pt>
                <c:pt idx="588">
                  <c:v>1160520</c:v>
                </c:pt>
                <c:pt idx="589">
                  <c:v>1257971</c:v>
                </c:pt>
                <c:pt idx="590">
                  <c:v>595783</c:v>
                </c:pt>
                <c:pt idx="591">
                  <c:v>1168044</c:v>
                </c:pt>
                <c:pt idx="592">
                  <c:v>1263652</c:v>
                </c:pt>
                <c:pt idx="593">
                  <c:v>1515896</c:v>
                </c:pt>
                <c:pt idx="594">
                  <c:v>940785</c:v>
                </c:pt>
                <c:pt idx="595">
                  <c:v>983744</c:v>
                </c:pt>
                <c:pt idx="596">
                  <c:v>1906916</c:v>
                </c:pt>
                <c:pt idx="597">
                  <c:v>1297415</c:v>
                </c:pt>
                <c:pt idx="598">
                  <c:v>1340279</c:v>
                </c:pt>
                <c:pt idx="599">
                  <c:v>1168044</c:v>
                </c:pt>
                <c:pt idx="600">
                  <c:v>2009174</c:v>
                </c:pt>
                <c:pt idx="601">
                  <c:v>932235</c:v>
                </c:pt>
                <c:pt idx="602">
                  <c:v>1467484</c:v>
                </c:pt>
                <c:pt idx="603">
                  <c:v>672372</c:v>
                </c:pt>
                <c:pt idx="604">
                  <c:v>675298</c:v>
                </c:pt>
                <c:pt idx="605">
                  <c:v>922127</c:v>
                </c:pt>
                <c:pt idx="606">
                  <c:v>1875110</c:v>
                </c:pt>
                <c:pt idx="607">
                  <c:v>1338778</c:v>
                </c:pt>
                <c:pt idx="608">
                  <c:v>837311</c:v>
                </c:pt>
                <c:pt idx="609">
                  <c:v>576688</c:v>
                </c:pt>
                <c:pt idx="610">
                  <c:v>1749159</c:v>
                </c:pt>
                <c:pt idx="611">
                  <c:v>699656</c:v>
                </c:pt>
                <c:pt idx="612">
                  <c:v>1168044</c:v>
                </c:pt>
                <c:pt idx="613">
                  <c:v>3387510</c:v>
                </c:pt>
                <c:pt idx="614">
                  <c:v>1168044</c:v>
                </c:pt>
                <c:pt idx="615">
                  <c:v>1168044</c:v>
                </c:pt>
                <c:pt idx="616">
                  <c:v>2129273</c:v>
                </c:pt>
                <c:pt idx="617">
                  <c:v>488262</c:v>
                </c:pt>
                <c:pt idx="618">
                  <c:v>1058167</c:v>
                </c:pt>
                <c:pt idx="619">
                  <c:v>3084536</c:v>
                </c:pt>
                <c:pt idx="620">
                  <c:v>1611618</c:v>
                </c:pt>
                <c:pt idx="621">
                  <c:v>3676101</c:v>
                </c:pt>
                <c:pt idx="622">
                  <c:v>2491945</c:v>
                </c:pt>
                <c:pt idx="623">
                  <c:v>1211782</c:v>
                </c:pt>
                <c:pt idx="624">
                  <c:v>1168044</c:v>
                </c:pt>
                <c:pt idx="625">
                  <c:v>2878842</c:v>
                </c:pt>
                <c:pt idx="626">
                  <c:v>1168044</c:v>
                </c:pt>
                <c:pt idx="627">
                  <c:v>1697859</c:v>
                </c:pt>
                <c:pt idx="628">
                  <c:v>2531712</c:v>
                </c:pt>
                <c:pt idx="629">
                  <c:v>2178787</c:v>
                </c:pt>
                <c:pt idx="630">
                  <c:v>753692</c:v>
                </c:pt>
                <c:pt idx="631">
                  <c:v>1168044</c:v>
                </c:pt>
                <c:pt idx="632">
                  <c:v>1168044</c:v>
                </c:pt>
                <c:pt idx="633">
                  <c:v>1168044</c:v>
                </c:pt>
                <c:pt idx="634">
                  <c:v>1013384</c:v>
                </c:pt>
                <c:pt idx="635">
                  <c:v>1665692</c:v>
                </c:pt>
                <c:pt idx="636">
                  <c:v>2510755</c:v>
                </c:pt>
                <c:pt idx="637">
                  <c:v>1168044</c:v>
                </c:pt>
                <c:pt idx="638">
                  <c:v>975004</c:v>
                </c:pt>
                <c:pt idx="639">
                  <c:v>1168044</c:v>
                </c:pt>
                <c:pt idx="640">
                  <c:v>1444722</c:v>
                </c:pt>
                <c:pt idx="641">
                  <c:v>1168044</c:v>
                </c:pt>
                <c:pt idx="642">
                  <c:v>1072493</c:v>
                </c:pt>
                <c:pt idx="643">
                  <c:v>669503</c:v>
                </c:pt>
                <c:pt idx="644">
                  <c:v>1273000</c:v>
                </c:pt>
                <c:pt idx="645">
                  <c:v>1207830</c:v>
                </c:pt>
                <c:pt idx="646">
                  <c:v>1305262</c:v>
                </c:pt>
                <c:pt idx="647">
                  <c:v>1053265</c:v>
                </c:pt>
                <c:pt idx="648">
                  <c:v>881087</c:v>
                </c:pt>
                <c:pt idx="649">
                  <c:v>678034</c:v>
                </c:pt>
                <c:pt idx="650">
                  <c:v>1259206</c:v>
                </c:pt>
                <c:pt idx="651">
                  <c:v>1532920</c:v>
                </c:pt>
                <c:pt idx="652">
                  <c:v>692550</c:v>
                </c:pt>
                <c:pt idx="653">
                  <c:v>2158210</c:v>
                </c:pt>
                <c:pt idx="654">
                  <c:v>2053216</c:v>
                </c:pt>
                <c:pt idx="655">
                  <c:v>1168044</c:v>
                </c:pt>
                <c:pt idx="656">
                  <c:v>1139601</c:v>
                </c:pt>
                <c:pt idx="657">
                  <c:v>2312604</c:v>
                </c:pt>
                <c:pt idx="658">
                  <c:v>1835989</c:v>
                </c:pt>
                <c:pt idx="659">
                  <c:v>1102171</c:v>
                </c:pt>
                <c:pt idx="660">
                  <c:v>1168044</c:v>
                </c:pt>
                <c:pt idx="661">
                  <c:v>1996197</c:v>
                </c:pt>
                <c:pt idx="662">
                  <c:v>2957863</c:v>
                </c:pt>
                <c:pt idx="663">
                  <c:v>1168044</c:v>
                </c:pt>
                <c:pt idx="664">
                  <c:v>1168044</c:v>
                </c:pt>
                <c:pt idx="665">
                  <c:v>1506472</c:v>
                </c:pt>
                <c:pt idx="666">
                  <c:v>1232283</c:v>
                </c:pt>
                <c:pt idx="667">
                  <c:v>947720</c:v>
                </c:pt>
                <c:pt idx="668">
                  <c:v>1244272</c:v>
                </c:pt>
                <c:pt idx="669">
                  <c:v>1213853</c:v>
                </c:pt>
                <c:pt idx="670">
                  <c:v>1139658</c:v>
                </c:pt>
                <c:pt idx="671">
                  <c:v>1168044</c:v>
                </c:pt>
                <c:pt idx="672">
                  <c:v>1381528</c:v>
                </c:pt>
                <c:pt idx="673">
                  <c:v>1323825</c:v>
                </c:pt>
                <c:pt idx="674">
                  <c:v>598082</c:v>
                </c:pt>
                <c:pt idx="675">
                  <c:v>1134642</c:v>
                </c:pt>
                <c:pt idx="676">
                  <c:v>1168044</c:v>
                </c:pt>
                <c:pt idx="677">
                  <c:v>1421941</c:v>
                </c:pt>
                <c:pt idx="678">
                  <c:v>1902090</c:v>
                </c:pt>
                <c:pt idx="679">
                  <c:v>1202510</c:v>
                </c:pt>
                <c:pt idx="680">
                  <c:v>1682982</c:v>
                </c:pt>
                <c:pt idx="681">
                  <c:v>862277</c:v>
                </c:pt>
                <c:pt idx="682">
                  <c:v>1637135</c:v>
                </c:pt>
                <c:pt idx="683">
                  <c:v>1400566</c:v>
                </c:pt>
                <c:pt idx="684">
                  <c:v>812364</c:v>
                </c:pt>
                <c:pt idx="685">
                  <c:v>1217957</c:v>
                </c:pt>
                <c:pt idx="686">
                  <c:v>916275</c:v>
                </c:pt>
                <c:pt idx="687">
                  <c:v>982566</c:v>
                </c:pt>
                <c:pt idx="688">
                  <c:v>1010401</c:v>
                </c:pt>
                <c:pt idx="689">
                  <c:v>1686269</c:v>
                </c:pt>
                <c:pt idx="690">
                  <c:v>1920520</c:v>
                </c:pt>
                <c:pt idx="691">
                  <c:v>848958</c:v>
                </c:pt>
                <c:pt idx="692">
                  <c:v>1297567</c:v>
                </c:pt>
                <c:pt idx="693">
                  <c:v>1789667</c:v>
                </c:pt>
                <c:pt idx="694">
                  <c:v>1306193</c:v>
                </c:pt>
                <c:pt idx="695">
                  <c:v>1235741</c:v>
                </c:pt>
                <c:pt idx="696">
                  <c:v>1166904</c:v>
                </c:pt>
                <c:pt idx="697">
                  <c:v>2311008</c:v>
                </c:pt>
                <c:pt idx="698">
                  <c:v>1343243</c:v>
                </c:pt>
                <c:pt idx="699">
                  <c:v>1623892</c:v>
                </c:pt>
                <c:pt idx="700">
                  <c:v>2885340</c:v>
                </c:pt>
                <c:pt idx="701">
                  <c:v>1936955</c:v>
                </c:pt>
                <c:pt idx="702">
                  <c:v>2068055</c:v>
                </c:pt>
                <c:pt idx="703">
                  <c:v>1168044</c:v>
                </c:pt>
                <c:pt idx="704">
                  <c:v>734274</c:v>
                </c:pt>
                <c:pt idx="705">
                  <c:v>1168044</c:v>
                </c:pt>
                <c:pt idx="706">
                  <c:v>1168044</c:v>
                </c:pt>
                <c:pt idx="707">
                  <c:v>1042188</c:v>
                </c:pt>
                <c:pt idx="708">
                  <c:v>1168044</c:v>
                </c:pt>
                <c:pt idx="709">
                  <c:v>658312</c:v>
                </c:pt>
                <c:pt idx="710">
                  <c:v>1694439</c:v>
                </c:pt>
                <c:pt idx="711">
                  <c:v>1128372</c:v>
                </c:pt>
                <c:pt idx="712">
                  <c:v>1111367</c:v>
                </c:pt>
                <c:pt idx="713">
                  <c:v>1155751</c:v>
                </c:pt>
                <c:pt idx="714">
                  <c:v>1425000</c:v>
                </c:pt>
                <c:pt idx="715">
                  <c:v>2621164</c:v>
                </c:pt>
                <c:pt idx="716">
                  <c:v>1168044</c:v>
                </c:pt>
                <c:pt idx="717">
                  <c:v>1389375</c:v>
                </c:pt>
                <c:pt idx="718">
                  <c:v>1135098</c:v>
                </c:pt>
                <c:pt idx="719">
                  <c:v>1063810</c:v>
                </c:pt>
                <c:pt idx="720">
                  <c:v>2072026</c:v>
                </c:pt>
                <c:pt idx="721">
                  <c:v>1605158</c:v>
                </c:pt>
                <c:pt idx="722">
                  <c:v>1172566</c:v>
                </c:pt>
                <c:pt idx="723">
                  <c:v>1853298</c:v>
                </c:pt>
                <c:pt idx="724">
                  <c:v>439622</c:v>
                </c:pt>
                <c:pt idx="725">
                  <c:v>941830</c:v>
                </c:pt>
                <c:pt idx="726">
                  <c:v>779893</c:v>
                </c:pt>
                <c:pt idx="727">
                  <c:v>858078</c:v>
                </c:pt>
                <c:pt idx="728">
                  <c:v>1168044</c:v>
                </c:pt>
                <c:pt idx="729">
                  <c:v>804916</c:v>
                </c:pt>
                <c:pt idx="730">
                  <c:v>1168044</c:v>
                </c:pt>
                <c:pt idx="731">
                  <c:v>961571</c:v>
                </c:pt>
                <c:pt idx="732">
                  <c:v>1788945</c:v>
                </c:pt>
                <c:pt idx="733">
                  <c:v>1063183</c:v>
                </c:pt>
                <c:pt idx="734">
                  <c:v>2548432</c:v>
                </c:pt>
                <c:pt idx="735">
                  <c:v>1512305</c:v>
                </c:pt>
                <c:pt idx="736">
                  <c:v>1168044</c:v>
                </c:pt>
                <c:pt idx="737">
                  <c:v>741228</c:v>
                </c:pt>
                <c:pt idx="738">
                  <c:v>1168044</c:v>
                </c:pt>
                <c:pt idx="739">
                  <c:v>1479530</c:v>
                </c:pt>
                <c:pt idx="740">
                  <c:v>1168044</c:v>
                </c:pt>
                <c:pt idx="741">
                  <c:v>563787</c:v>
                </c:pt>
                <c:pt idx="742">
                  <c:v>1857060</c:v>
                </c:pt>
                <c:pt idx="743">
                  <c:v>1315237</c:v>
                </c:pt>
                <c:pt idx="744">
                  <c:v>2815781</c:v>
                </c:pt>
                <c:pt idx="745">
                  <c:v>1874920</c:v>
                </c:pt>
                <c:pt idx="746">
                  <c:v>965770</c:v>
                </c:pt>
                <c:pt idx="747">
                  <c:v>1168044</c:v>
                </c:pt>
                <c:pt idx="748">
                  <c:v>930905</c:v>
                </c:pt>
                <c:pt idx="749">
                  <c:v>1082791</c:v>
                </c:pt>
                <c:pt idx="750">
                  <c:v>875444</c:v>
                </c:pt>
                <c:pt idx="751">
                  <c:v>1828237</c:v>
                </c:pt>
                <c:pt idx="752">
                  <c:v>285893</c:v>
                </c:pt>
                <c:pt idx="753">
                  <c:v>873392</c:v>
                </c:pt>
                <c:pt idx="754">
                  <c:v>1544320</c:v>
                </c:pt>
                <c:pt idx="755">
                  <c:v>941355</c:v>
                </c:pt>
                <c:pt idx="756">
                  <c:v>1168044</c:v>
                </c:pt>
                <c:pt idx="757">
                  <c:v>1253145</c:v>
                </c:pt>
                <c:pt idx="758">
                  <c:v>1629744</c:v>
                </c:pt>
                <c:pt idx="759">
                  <c:v>1151172</c:v>
                </c:pt>
                <c:pt idx="760">
                  <c:v>1140000</c:v>
                </c:pt>
                <c:pt idx="761">
                  <c:v>965105</c:v>
                </c:pt>
                <c:pt idx="762">
                  <c:v>1168044</c:v>
                </c:pt>
                <c:pt idx="763">
                  <c:v>1875490</c:v>
                </c:pt>
                <c:pt idx="764">
                  <c:v>1168044</c:v>
                </c:pt>
                <c:pt idx="765">
                  <c:v>1693071</c:v>
                </c:pt>
                <c:pt idx="766">
                  <c:v>1637059</c:v>
                </c:pt>
                <c:pt idx="767">
                  <c:v>1168044</c:v>
                </c:pt>
                <c:pt idx="768">
                  <c:v>856140</c:v>
                </c:pt>
                <c:pt idx="769">
                  <c:v>671593</c:v>
                </c:pt>
                <c:pt idx="770">
                  <c:v>916560</c:v>
                </c:pt>
                <c:pt idx="771">
                  <c:v>953990</c:v>
                </c:pt>
                <c:pt idx="772">
                  <c:v>2301337</c:v>
                </c:pt>
                <c:pt idx="773">
                  <c:v>665076</c:v>
                </c:pt>
                <c:pt idx="774">
                  <c:v>1258389</c:v>
                </c:pt>
                <c:pt idx="775">
                  <c:v>612902</c:v>
                </c:pt>
                <c:pt idx="776">
                  <c:v>2683693</c:v>
                </c:pt>
                <c:pt idx="777">
                  <c:v>1380179</c:v>
                </c:pt>
                <c:pt idx="778">
                  <c:v>4776125</c:v>
                </c:pt>
                <c:pt idx="779">
                  <c:v>1168044</c:v>
                </c:pt>
                <c:pt idx="780">
                  <c:v>821712</c:v>
                </c:pt>
                <c:pt idx="781">
                  <c:v>1651252</c:v>
                </c:pt>
                <c:pt idx="782">
                  <c:v>612199</c:v>
                </c:pt>
                <c:pt idx="783">
                  <c:v>800166</c:v>
                </c:pt>
                <c:pt idx="784">
                  <c:v>2319672</c:v>
                </c:pt>
                <c:pt idx="785">
                  <c:v>1538145</c:v>
                </c:pt>
                <c:pt idx="786">
                  <c:v>1168044</c:v>
                </c:pt>
                <c:pt idx="787">
                  <c:v>1141368</c:v>
                </c:pt>
                <c:pt idx="788">
                  <c:v>1168044</c:v>
                </c:pt>
                <c:pt idx="789">
                  <c:v>1117770</c:v>
                </c:pt>
                <c:pt idx="790">
                  <c:v>1088111</c:v>
                </c:pt>
                <c:pt idx="791">
                  <c:v>2559110</c:v>
                </c:pt>
                <c:pt idx="792">
                  <c:v>868604</c:v>
                </c:pt>
                <c:pt idx="793">
                  <c:v>1168044</c:v>
                </c:pt>
                <c:pt idx="794">
                  <c:v>2145898</c:v>
                </c:pt>
                <c:pt idx="795">
                  <c:v>1168044</c:v>
                </c:pt>
                <c:pt idx="796">
                  <c:v>1168044</c:v>
                </c:pt>
                <c:pt idx="797">
                  <c:v>845861</c:v>
                </c:pt>
                <c:pt idx="798">
                  <c:v>1534516</c:v>
                </c:pt>
                <c:pt idx="799">
                  <c:v>1168044</c:v>
                </c:pt>
                <c:pt idx="800">
                  <c:v>1168044</c:v>
                </c:pt>
                <c:pt idx="801">
                  <c:v>896135</c:v>
                </c:pt>
                <c:pt idx="802">
                  <c:v>427272</c:v>
                </c:pt>
                <c:pt idx="803">
                  <c:v>900239</c:v>
                </c:pt>
                <c:pt idx="804">
                  <c:v>1355688</c:v>
                </c:pt>
                <c:pt idx="805">
                  <c:v>2068891</c:v>
                </c:pt>
                <c:pt idx="806">
                  <c:v>628197</c:v>
                </c:pt>
                <c:pt idx="807">
                  <c:v>971508</c:v>
                </c:pt>
                <c:pt idx="808">
                  <c:v>1168044</c:v>
                </c:pt>
                <c:pt idx="809">
                  <c:v>5806362</c:v>
                </c:pt>
                <c:pt idx="810">
                  <c:v>1583935</c:v>
                </c:pt>
                <c:pt idx="811">
                  <c:v>1703673</c:v>
                </c:pt>
                <c:pt idx="812">
                  <c:v>1168044</c:v>
                </c:pt>
                <c:pt idx="813">
                  <c:v>1180964</c:v>
                </c:pt>
                <c:pt idx="814">
                  <c:v>1349798</c:v>
                </c:pt>
                <c:pt idx="815">
                  <c:v>1168044</c:v>
                </c:pt>
                <c:pt idx="816">
                  <c:v>1527296</c:v>
                </c:pt>
                <c:pt idx="817">
                  <c:v>1168044</c:v>
                </c:pt>
                <c:pt idx="818">
                  <c:v>1211497</c:v>
                </c:pt>
                <c:pt idx="819">
                  <c:v>793364</c:v>
                </c:pt>
                <c:pt idx="820">
                  <c:v>1075058</c:v>
                </c:pt>
                <c:pt idx="821">
                  <c:v>1343167</c:v>
                </c:pt>
                <c:pt idx="822">
                  <c:v>890929</c:v>
                </c:pt>
                <c:pt idx="823">
                  <c:v>1448028</c:v>
                </c:pt>
                <c:pt idx="824">
                  <c:v>1238458</c:v>
                </c:pt>
                <c:pt idx="825">
                  <c:v>2009326</c:v>
                </c:pt>
                <c:pt idx="826">
                  <c:v>1007019</c:v>
                </c:pt>
                <c:pt idx="827">
                  <c:v>3451464</c:v>
                </c:pt>
                <c:pt idx="828">
                  <c:v>1348620</c:v>
                </c:pt>
                <c:pt idx="829">
                  <c:v>841491</c:v>
                </c:pt>
                <c:pt idx="830">
                  <c:v>2990144</c:v>
                </c:pt>
                <c:pt idx="831">
                  <c:v>985530</c:v>
                </c:pt>
                <c:pt idx="832">
                  <c:v>1168044</c:v>
                </c:pt>
                <c:pt idx="833">
                  <c:v>3358782</c:v>
                </c:pt>
                <c:pt idx="834">
                  <c:v>1541280</c:v>
                </c:pt>
                <c:pt idx="835">
                  <c:v>788101</c:v>
                </c:pt>
                <c:pt idx="836">
                  <c:v>1688796</c:v>
                </c:pt>
                <c:pt idx="837">
                  <c:v>1029477</c:v>
                </c:pt>
                <c:pt idx="838">
                  <c:v>2528767</c:v>
                </c:pt>
                <c:pt idx="839">
                  <c:v>2225052</c:v>
                </c:pt>
                <c:pt idx="840">
                  <c:v>1251359</c:v>
                </c:pt>
                <c:pt idx="841">
                  <c:v>718542</c:v>
                </c:pt>
                <c:pt idx="842">
                  <c:v>1168044</c:v>
                </c:pt>
                <c:pt idx="843">
                  <c:v>1356068</c:v>
                </c:pt>
                <c:pt idx="844">
                  <c:v>2233944</c:v>
                </c:pt>
                <c:pt idx="845">
                  <c:v>2261760</c:v>
                </c:pt>
                <c:pt idx="846">
                  <c:v>1168044</c:v>
                </c:pt>
                <c:pt idx="847">
                  <c:v>2597870</c:v>
                </c:pt>
                <c:pt idx="848">
                  <c:v>810616</c:v>
                </c:pt>
                <c:pt idx="849">
                  <c:v>1788736</c:v>
                </c:pt>
                <c:pt idx="850">
                  <c:v>932615</c:v>
                </c:pt>
                <c:pt idx="851">
                  <c:v>1680417</c:v>
                </c:pt>
                <c:pt idx="852">
                  <c:v>1168044</c:v>
                </c:pt>
                <c:pt idx="853">
                  <c:v>1629858</c:v>
                </c:pt>
                <c:pt idx="854">
                  <c:v>1168044</c:v>
                </c:pt>
                <c:pt idx="855">
                  <c:v>2314428</c:v>
                </c:pt>
                <c:pt idx="856">
                  <c:v>983041</c:v>
                </c:pt>
                <c:pt idx="857">
                  <c:v>1299581</c:v>
                </c:pt>
                <c:pt idx="858">
                  <c:v>1343794</c:v>
                </c:pt>
                <c:pt idx="859">
                  <c:v>1166334</c:v>
                </c:pt>
                <c:pt idx="860">
                  <c:v>1168044</c:v>
                </c:pt>
                <c:pt idx="861">
                  <c:v>591071</c:v>
                </c:pt>
                <c:pt idx="862">
                  <c:v>741228</c:v>
                </c:pt>
                <c:pt idx="863">
                  <c:v>1626058</c:v>
                </c:pt>
                <c:pt idx="864">
                  <c:v>1478637</c:v>
                </c:pt>
                <c:pt idx="865">
                  <c:v>1168044</c:v>
                </c:pt>
                <c:pt idx="866">
                  <c:v>929518</c:v>
                </c:pt>
                <c:pt idx="867">
                  <c:v>921462</c:v>
                </c:pt>
                <c:pt idx="868">
                  <c:v>751564</c:v>
                </c:pt>
                <c:pt idx="869">
                  <c:v>1744029</c:v>
                </c:pt>
                <c:pt idx="870">
                  <c:v>1168044</c:v>
                </c:pt>
                <c:pt idx="871">
                  <c:v>1408033</c:v>
                </c:pt>
                <c:pt idx="872">
                  <c:v>576327</c:v>
                </c:pt>
                <c:pt idx="873">
                  <c:v>1140912</c:v>
                </c:pt>
                <c:pt idx="874">
                  <c:v>1168044</c:v>
                </c:pt>
                <c:pt idx="875">
                  <c:v>1248338</c:v>
                </c:pt>
                <c:pt idx="876">
                  <c:v>1296807</c:v>
                </c:pt>
                <c:pt idx="877">
                  <c:v>910727</c:v>
                </c:pt>
                <c:pt idx="878">
                  <c:v>2320375</c:v>
                </c:pt>
                <c:pt idx="879">
                  <c:v>1084425</c:v>
                </c:pt>
                <c:pt idx="880">
                  <c:v>2508779</c:v>
                </c:pt>
                <c:pt idx="881">
                  <c:v>613415</c:v>
                </c:pt>
                <c:pt idx="882">
                  <c:v>980780</c:v>
                </c:pt>
                <c:pt idx="883">
                  <c:v>1168044</c:v>
                </c:pt>
                <c:pt idx="884">
                  <c:v>1057768</c:v>
                </c:pt>
                <c:pt idx="885">
                  <c:v>1628889</c:v>
                </c:pt>
                <c:pt idx="886">
                  <c:v>2211657</c:v>
                </c:pt>
                <c:pt idx="887">
                  <c:v>1692045</c:v>
                </c:pt>
                <c:pt idx="888">
                  <c:v>1333059</c:v>
                </c:pt>
                <c:pt idx="889">
                  <c:v>2129919</c:v>
                </c:pt>
                <c:pt idx="890">
                  <c:v>3095632</c:v>
                </c:pt>
                <c:pt idx="891">
                  <c:v>1915846</c:v>
                </c:pt>
                <c:pt idx="892">
                  <c:v>1821796</c:v>
                </c:pt>
                <c:pt idx="893">
                  <c:v>749132</c:v>
                </c:pt>
                <c:pt idx="894">
                  <c:v>1973074</c:v>
                </c:pt>
                <c:pt idx="895">
                  <c:v>1004321</c:v>
                </c:pt>
                <c:pt idx="896">
                  <c:v>1166220</c:v>
                </c:pt>
                <c:pt idx="897">
                  <c:v>1977748</c:v>
                </c:pt>
                <c:pt idx="898">
                  <c:v>3467557</c:v>
                </c:pt>
                <c:pt idx="899">
                  <c:v>1585113</c:v>
                </c:pt>
                <c:pt idx="900">
                  <c:v>1243645</c:v>
                </c:pt>
                <c:pt idx="901">
                  <c:v>1198501</c:v>
                </c:pt>
                <c:pt idx="902">
                  <c:v>1168044</c:v>
                </c:pt>
                <c:pt idx="903">
                  <c:v>1540672</c:v>
                </c:pt>
                <c:pt idx="904">
                  <c:v>836494</c:v>
                </c:pt>
                <c:pt idx="905">
                  <c:v>1576620</c:v>
                </c:pt>
                <c:pt idx="906">
                  <c:v>1877181</c:v>
                </c:pt>
                <c:pt idx="907">
                  <c:v>957790</c:v>
                </c:pt>
                <c:pt idx="908">
                  <c:v>1168044</c:v>
                </c:pt>
                <c:pt idx="909">
                  <c:v>886654</c:v>
                </c:pt>
                <c:pt idx="910">
                  <c:v>756352</c:v>
                </c:pt>
                <c:pt idx="911">
                  <c:v>1168044</c:v>
                </c:pt>
                <c:pt idx="912">
                  <c:v>1560907</c:v>
                </c:pt>
                <c:pt idx="913">
                  <c:v>927523</c:v>
                </c:pt>
                <c:pt idx="914">
                  <c:v>1168044</c:v>
                </c:pt>
                <c:pt idx="915">
                  <c:v>1458345</c:v>
                </c:pt>
                <c:pt idx="916">
                  <c:v>1168044</c:v>
                </c:pt>
                <c:pt idx="917">
                  <c:v>965998</c:v>
                </c:pt>
                <c:pt idx="918">
                  <c:v>1168044</c:v>
                </c:pt>
                <c:pt idx="919">
                  <c:v>1288162</c:v>
                </c:pt>
                <c:pt idx="920">
                  <c:v>1168044</c:v>
                </c:pt>
                <c:pt idx="921">
                  <c:v>2228016</c:v>
                </c:pt>
                <c:pt idx="922">
                  <c:v>1024727</c:v>
                </c:pt>
                <c:pt idx="923">
                  <c:v>1168044</c:v>
                </c:pt>
                <c:pt idx="924">
                  <c:v>1648915</c:v>
                </c:pt>
                <c:pt idx="925">
                  <c:v>1013954</c:v>
                </c:pt>
                <c:pt idx="926">
                  <c:v>2643242</c:v>
                </c:pt>
                <c:pt idx="927">
                  <c:v>1168044</c:v>
                </c:pt>
                <c:pt idx="928">
                  <c:v>1722654</c:v>
                </c:pt>
                <c:pt idx="929">
                  <c:v>805030</c:v>
                </c:pt>
                <c:pt idx="930">
                  <c:v>2374392</c:v>
                </c:pt>
                <c:pt idx="931">
                  <c:v>1168044</c:v>
                </c:pt>
                <c:pt idx="932">
                  <c:v>1236444</c:v>
                </c:pt>
                <c:pt idx="933">
                  <c:v>1914364</c:v>
                </c:pt>
                <c:pt idx="934">
                  <c:v>919296</c:v>
                </c:pt>
                <c:pt idx="935">
                  <c:v>1119936</c:v>
                </c:pt>
                <c:pt idx="936">
                  <c:v>1163750</c:v>
                </c:pt>
                <c:pt idx="937">
                  <c:v>1168044</c:v>
                </c:pt>
                <c:pt idx="938">
                  <c:v>4690454</c:v>
                </c:pt>
                <c:pt idx="939">
                  <c:v>1168044</c:v>
                </c:pt>
                <c:pt idx="940">
                  <c:v>1671525</c:v>
                </c:pt>
                <c:pt idx="941">
                  <c:v>1113438</c:v>
                </c:pt>
                <c:pt idx="942">
                  <c:v>622744</c:v>
                </c:pt>
                <c:pt idx="943">
                  <c:v>1653437</c:v>
                </c:pt>
                <c:pt idx="944">
                  <c:v>1172813</c:v>
                </c:pt>
                <c:pt idx="945">
                  <c:v>411027</c:v>
                </c:pt>
                <c:pt idx="946">
                  <c:v>1139088</c:v>
                </c:pt>
                <c:pt idx="947">
                  <c:v>844056</c:v>
                </c:pt>
                <c:pt idx="948">
                  <c:v>752039</c:v>
                </c:pt>
                <c:pt idx="949">
                  <c:v>2522364</c:v>
                </c:pt>
                <c:pt idx="950">
                  <c:v>2015159</c:v>
                </c:pt>
                <c:pt idx="951">
                  <c:v>1262550</c:v>
                </c:pt>
                <c:pt idx="952">
                  <c:v>2009573</c:v>
                </c:pt>
                <c:pt idx="953">
                  <c:v>1011028</c:v>
                </c:pt>
                <c:pt idx="954">
                  <c:v>1168044</c:v>
                </c:pt>
                <c:pt idx="955">
                  <c:v>1168044</c:v>
                </c:pt>
                <c:pt idx="956">
                  <c:v>420679</c:v>
                </c:pt>
                <c:pt idx="957">
                  <c:v>3609145</c:v>
                </c:pt>
                <c:pt idx="958">
                  <c:v>1031111</c:v>
                </c:pt>
                <c:pt idx="959">
                  <c:v>934515</c:v>
                </c:pt>
                <c:pt idx="960">
                  <c:v>1168044</c:v>
                </c:pt>
                <c:pt idx="961">
                  <c:v>1133958</c:v>
                </c:pt>
                <c:pt idx="962">
                  <c:v>1168044</c:v>
                </c:pt>
                <c:pt idx="963">
                  <c:v>1168044</c:v>
                </c:pt>
                <c:pt idx="964">
                  <c:v>3737395</c:v>
                </c:pt>
                <c:pt idx="965">
                  <c:v>1168044</c:v>
                </c:pt>
                <c:pt idx="966">
                  <c:v>1398096</c:v>
                </c:pt>
                <c:pt idx="967">
                  <c:v>671080</c:v>
                </c:pt>
                <c:pt idx="968">
                  <c:v>1030066</c:v>
                </c:pt>
                <c:pt idx="969">
                  <c:v>576992</c:v>
                </c:pt>
                <c:pt idx="970">
                  <c:v>1157328</c:v>
                </c:pt>
                <c:pt idx="971">
                  <c:v>1168044</c:v>
                </c:pt>
                <c:pt idx="972">
                  <c:v>1501912</c:v>
                </c:pt>
                <c:pt idx="973">
                  <c:v>982870</c:v>
                </c:pt>
                <c:pt idx="974">
                  <c:v>2469753</c:v>
                </c:pt>
                <c:pt idx="975">
                  <c:v>948366</c:v>
                </c:pt>
                <c:pt idx="976">
                  <c:v>1390838</c:v>
                </c:pt>
                <c:pt idx="977">
                  <c:v>1488289</c:v>
                </c:pt>
                <c:pt idx="978">
                  <c:v>1154592</c:v>
                </c:pt>
                <c:pt idx="979">
                  <c:v>1865591</c:v>
                </c:pt>
                <c:pt idx="980">
                  <c:v>692474</c:v>
                </c:pt>
                <c:pt idx="981">
                  <c:v>1168044</c:v>
                </c:pt>
                <c:pt idx="982">
                  <c:v>1360343</c:v>
                </c:pt>
                <c:pt idx="983">
                  <c:v>1058908</c:v>
                </c:pt>
                <c:pt idx="984">
                  <c:v>1010021</c:v>
                </c:pt>
                <c:pt idx="985">
                  <c:v>1531514</c:v>
                </c:pt>
                <c:pt idx="986">
                  <c:v>829597</c:v>
                </c:pt>
                <c:pt idx="987">
                  <c:v>1435127</c:v>
                </c:pt>
                <c:pt idx="988">
                  <c:v>899954</c:v>
                </c:pt>
                <c:pt idx="989">
                  <c:v>1168044</c:v>
                </c:pt>
                <c:pt idx="990">
                  <c:v>1032878</c:v>
                </c:pt>
                <c:pt idx="991">
                  <c:v>1168044</c:v>
                </c:pt>
                <c:pt idx="992">
                  <c:v>1354073</c:v>
                </c:pt>
                <c:pt idx="993">
                  <c:v>1454507</c:v>
                </c:pt>
                <c:pt idx="994">
                  <c:v>797012</c:v>
                </c:pt>
                <c:pt idx="995">
                  <c:v>1404632</c:v>
                </c:pt>
                <c:pt idx="996">
                  <c:v>1051536</c:v>
                </c:pt>
                <c:pt idx="997">
                  <c:v>1168044</c:v>
                </c:pt>
                <c:pt idx="998">
                  <c:v>707085</c:v>
                </c:pt>
                <c:pt idx="999">
                  <c:v>1769983</c:v>
                </c:pt>
                <c:pt idx="1000">
                  <c:v>671194</c:v>
                </c:pt>
                <c:pt idx="1001">
                  <c:v>925946</c:v>
                </c:pt>
                <c:pt idx="1002">
                  <c:v>2770162</c:v>
                </c:pt>
                <c:pt idx="1003">
                  <c:v>803035</c:v>
                </c:pt>
                <c:pt idx="1004">
                  <c:v>2118633</c:v>
                </c:pt>
                <c:pt idx="1005">
                  <c:v>1303932</c:v>
                </c:pt>
                <c:pt idx="1006">
                  <c:v>1168044</c:v>
                </c:pt>
                <c:pt idx="1007">
                  <c:v>1168044</c:v>
                </c:pt>
                <c:pt idx="1008">
                  <c:v>1168044</c:v>
                </c:pt>
                <c:pt idx="1009">
                  <c:v>1168044</c:v>
                </c:pt>
                <c:pt idx="1010">
                  <c:v>2094598</c:v>
                </c:pt>
                <c:pt idx="1011">
                  <c:v>1318429</c:v>
                </c:pt>
                <c:pt idx="1012">
                  <c:v>1885522</c:v>
                </c:pt>
                <c:pt idx="1013">
                  <c:v>743318</c:v>
                </c:pt>
                <c:pt idx="1014">
                  <c:v>1906840</c:v>
                </c:pt>
                <c:pt idx="1015">
                  <c:v>1652468</c:v>
                </c:pt>
                <c:pt idx="1016">
                  <c:v>1168044</c:v>
                </c:pt>
                <c:pt idx="1017">
                  <c:v>1044373</c:v>
                </c:pt>
                <c:pt idx="1018">
                  <c:v>1807166</c:v>
                </c:pt>
                <c:pt idx="1019">
                  <c:v>1315066</c:v>
                </c:pt>
                <c:pt idx="1020">
                  <c:v>1682469</c:v>
                </c:pt>
                <c:pt idx="1021">
                  <c:v>1223524</c:v>
                </c:pt>
                <c:pt idx="1022">
                  <c:v>1168044</c:v>
                </c:pt>
                <c:pt idx="1023">
                  <c:v>1159950</c:v>
                </c:pt>
                <c:pt idx="1024">
                  <c:v>5701140</c:v>
                </c:pt>
                <c:pt idx="1025">
                  <c:v>1168044</c:v>
                </c:pt>
                <c:pt idx="1026">
                  <c:v>1168044</c:v>
                </c:pt>
                <c:pt idx="1027">
                  <c:v>756504</c:v>
                </c:pt>
                <c:pt idx="1028">
                  <c:v>578892</c:v>
                </c:pt>
                <c:pt idx="1029">
                  <c:v>1086667</c:v>
                </c:pt>
                <c:pt idx="1030">
                  <c:v>768398</c:v>
                </c:pt>
                <c:pt idx="1031">
                  <c:v>594301</c:v>
                </c:pt>
                <c:pt idx="1032">
                  <c:v>486875</c:v>
                </c:pt>
                <c:pt idx="1033">
                  <c:v>1528474</c:v>
                </c:pt>
                <c:pt idx="1034">
                  <c:v>1405772</c:v>
                </c:pt>
                <c:pt idx="1035">
                  <c:v>1147524</c:v>
                </c:pt>
                <c:pt idx="1036">
                  <c:v>1351679</c:v>
                </c:pt>
                <c:pt idx="1037">
                  <c:v>926041</c:v>
                </c:pt>
                <c:pt idx="1038">
                  <c:v>1734624</c:v>
                </c:pt>
                <c:pt idx="1039">
                  <c:v>1168044</c:v>
                </c:pt>
                <c:pt idx="1040">
                  <c:v>1392719</c:v>
                </c:pt>
                <c:pt idx="1041">
                  <c:v>3387244</c:v>
                </c:pt>
                <c:pt idx="1042">
                  <c:v>1025981</c:v>
                </c:pt>
                <c:pt idx="1043">
                  <c:v>754566</c:v>
                </c:pt>
                <c:pt idx="1044">
                  <c:v>778240</c:v>
                </c:pt>
                <c:pt idx="1045">
                  <c:v>2489988</c:v>
                </c:pt>
                <c:pt idx="1046">
                  <c:v>1168044</c:v>
                </c:pt>
                <c:pt idx="1047">
                  <c:v>1602897</c:v>
                </c:pt>
                <c:pt idx="1048">
                  <c:v>525160</c:v>
                </c:pt>
                <c:pt idx="1049">
                  <c:v>920626</c:v>
                </c:pt>
                <c:pt idx="1050">
                  <c:v>1168044</c:v>
                </c:pt>
                <c:pt idx="1051">
                  <c:v>1168044</c:v>
                </c:pt>
                <c:pt idx="1052">
                  <c:v>896135</c:v>
                </c:pt>
                <c:pt idx="1053">
                  <c:v>1168044</c:v>
                </c:pt>
                <c:pt idx="1054">
                  <c:v>1359108</c:v>
                </c:pt>
                <c:pt idx="1055">
                  <c:v>715065</c:v>
                </c:pt>
                <c:pt idx="1056">
                  <c:v>1168044</c:v>
                </c:pt>
                <c:pt idx="1057">
                  <c:v>531202</c:v>
                </c:pt>
                <c:pt idx="1058">
                  <c:v>678566</c:v>
                </c:pt>
                <c:pt idx="1059">
                  <c:v>1178323</c:v>
                </c:pt>
                <c:pt idx="1060">
                  <c:v>1168044</c:v>
                </c:pt>
                <c:pt idx="1061">
                  <c:v>2393335</c:v>
                </c:pt>
                <c:pt idx="1062">
                  <c:v>1168044</c:v>
                </c:pt>
                <c:pt idx="1063">
                  <c:v>1068674</c:v>
                </c:pt>
                <c:pt idx="1064">
                  <c:v>1585930</c:v>
                </c:pt>
                <c:pt idx="1065">
                  <c:v>1131564</c:v>
                </c:pt>
                <c:pt idx="1066">
                  <c:v>1168044</c:v>
                </c:pt>
                <c:pt idx="1067">
                  <c:v>1146042</c:v>
                </c:pt>
                <c:pt idx="1068">
                  <c:v>813162</c:v>
                </c:pt>
                <c:pt idx="1069">
                  <c:v>1632936</c:v>
                </c:pt>
                <c:pt idx="1070">
                  <c:v>837235</c:v>
                </c:pt>
                <c:pt idx="1071">
                  <c:v>870561</c:v>
                </c:pt>
                <c:pt idx="1072">
                  <c:v>1215430</c:v>
                </c:pt>
                <c:pt idx="1073">
                  <c:v>1168044</c:v>
                </c:pt>
                <c:pt idx="1074">
                  <c:v>552539</c:v>
                </c:pt>
                <c:pt idx="1075">
                  <c:v>1168044</c:v>
                </c:pt>
                <c:pt idx="1076">
                  <c:v>1148436</c:v>
                </c:pt>
                <c:pt idx="1077">
                  <c:v>2250360</c:v>
                </c:pt>
                <c:pt idx="1078">
                  <c:v>1860100</c:v>
                </c:pt>
                <c:pt idx="1079">
                  <c:v>1168044</c:v>
                </c:pt>
                <c:pt idx="1080">
                  <c:v>1168044</c:v>
                </c:pt>
                <c:pt idx="1081">
                  <c:v>1167493</c:v>
                </c:pt>
                <c:pt idx="1082">
                  <c:v>721582</c:v>
                </c:pt>
                <c:pt idx="1083">
                  <c:v>1168044</c:v>
                </c:pt>
                <c:pt idx="1084">
                  <c:v>1455533</c:v>
                </c:pt>
                <c:pt idx="1085">
                  <c:v>1168044</c:v>
                </c:pt>
                <c:pt idx="1086">
                  <c:v>1239199</c:v>
                </c:pt>
                <c:pt idx="1087">
                  <c:v>1168044</c:v>
                </c:pt>
                <c:pt idx="1088">
                  <c:v>1168044</c:v>
                </c:pt>
                <c:pt idx="1089">
                  <c:v>988969</c:v>
                </c:pt>
                <c:pt idx="1090">
                  <c:v>1168044</c:v>
                </c:pt>
                <c:pt idx="1091">
                  <c:v>857489</c:v>
                </c:pt>
                <c:pt idx="1092">
                  <c:v>1168044</c:v>
                </c:pt>
                <c:pt idx="1093">
                  <c:v>1028698</c:v>
                </c:pt>
                <c:pt idx="1094">
                  <c:v>2120514</c:v>
                </c:pt>
                <c:pt idx="1095">
                  <c:v>722988</c:v>
                </c:pt>
                <c:pt idx="1096">
                  <c:v>1267110</c:v>
                </c:pt>
                <c:pt idx="1097">
                  <c:v>1168044</c:v>
                </c:pt>
                <c:pt idx="1098">
                  <c:v>1501912</c:v>
                </c:pt>
                <c:pt idx="1099">
                  <c:v>1168044</c:v>
                </c:pt>
                <c:pt idx="1100">
                  <c:v>869801</c:v>
                </c:pt>
                <c:pt idx="1101">
                  <c:v>1708974</c:v>
                </c:pt>
                <c:pt idx="1102">
                  <c:v>1032878</c:v>
                </c:pt>
                <c:pt idx="1103">
                  <c:v>942590</c:v>
                </c:pt>
                <c:pt idx="1104">
                  <c:v>1015968</c:v>
                </c:pt>
                <c:pt idx="1105">
                  <c:v>903982</c:v>
                </c:pt>
                <c:pt idx="1106">
                  <c:v>1265134</c:v>
                </c:pt>
                <c:pt idx="1107">
                  <c:v>1281778</c:v>
                </c:pt>
                <c:pt idx="1108">
                  <c:v>1378165</c:v>
                </c:pt>
                <c:pt idx="1109">
                  <c:v>1168044</c:v>
                </c:pt>
                <c:pt idx="1110">
                  <c:v>1168044</c:v>
                </c:pt>
                <c:pt idx="1111">
                  <c:v>758708</c:v>
                </c:pt>
                <c:pt idx="1112">
                  <c:v>1090543</c:v>
                </c:pt>
                <c:pt idx="1113">
                  <c:v>595783</c:v>
                </c:pt>
                <c:pt idx="1114">
                  <c:v>1840397</c:v>
                </c:pt>
                <c:pt idx="1115">
                  <c:v>1282310</c:v>
                </c:pt>
                <c:pt idx="1116">
                  <c:v>1168044</c:v>
                </c:pt>
                <c:pt idx="1117">
                  <c:v>1855369</c:v>
                </c:pt>
                <c:pt idx="1118">
                  <c:v>1571946</c:v>
                </c:pt>
                <c:pt idx="1119">
                  <c:v>954370</c:v>
                </c:pt>
                <c:pt idx="1120">
                  <c:v>582730</c:v>
                </c:pt>
                <c:pt idx="1121">
                  <c:v>1638104</c:v>
                </c:pt>
                <c:pt idx="1122">
                  <c:v>1685889</c:v>
                </c:pt>
                <c:pt idx="1123">
                  <c:v>914432</c:v>
                </c:pt>
                <c:pt idx="1124">
                  <c:v>1248053</c:v>
                </c:pt>
                <c:pt idx="1125">
                  <c:v>2316480</c:v>
                </c:pt>
                <c:pt idx="1126">
                  <c:v>2972189</c:v>
                </c:pt>
                <c:pt idx="1127">
                  <c:v>1168044</c:v>
                </c:pt>
                <c:pt idx="1128">
                  <c:v>1168044</c:v>
                </c:pt>
                <c:pt idx="1129">
                  <c:v>1231048</c:v>
                </c:pt>
                <c:pt idx="1130">
                  <c:v>526794</c:v>
                </c:pt>
                <c:pt idx="1131">
                  <c:v>1043442</c:v>
                </c:pt>
                <c:pt idx="1132">
                  <c:v>540607</c:v>
                </c:pt>
                <c:pt idx="1133">
                  <c:v>1524712</c:v>
                </c:pt>
                <c:pt idx="1134">
                  <c:v>864671</c:v>
                </c:pt>
                <c:pt idx="1135">
                  <c:v>1340222</c:v>
                </c:pt>
                <c:pt idx="1136">
                  <c:v>947625</c:v>
                </c:pt>
                <c:pt idx="1137">
                  <c:v>1168044</c:v>
                </c:pt>
                <c:pt idx="1138">
                  <c:v>3874100</c:v>
                </c:pt>
                <c:pt idx="1139">
                  <c:v>1168044</c:v>
                </c:pt>
                <c:pt idx="1140">
                  <c:v>898092</c:v>
                </c:pt>
                <c:pt idx="1141">
                  <c:v>1084805</c:v>
                </c:pt>
                <c:pt idx="1142">
                  <c:v>763040</c:v>
                </c:pt>
                <c:pt idx="1143">
                  <c:v>1229072</c:v>
                </c:pt>
                <c:pt idx="1144">
                  <c:v>874874</c:v>
                </c:pt>
                <c:pt idx="1145">
                  <c:v>1168044</c:v>
                </c:pt>
                <c:pt idx="1146">
                  <c:v>1746461</c:v>
                </c:pt>
                <c:pt idx="1147">
                  <c:v>2198110</c:v>
                </c:pt>
                <c:pt idx="1148">
                  <c:v>529511</c:v>
                </c:pt>
                <c:pt idx="1149">
                  <c:v>1134414</c:v>
                </c:pt>
                <c:pt idx="1150">
                  <c:v>1402960</c:v>
                </c:pt>
                <c:pt idx="1151">
                  <c:v>1049427</c:v>
                </c:pt>
                <c:pt idx="1152">
                  <c:v>1194606</c:v>
                </c:pt>
                <c:pt idx="1153">
                  <c:v>1578881</c:v>
                </c:pt>
                <c:pt idx="1154">
                  <c:v>1168044</c:v>
                </c:pt>
                <c:pt idx="1155">
                  <c:v>806949</c:v>
                </c:pt>
                <c:pt idx="1156">
                  <c:v>763116</c:v>
                </c:pt>
                <c:pt idx="1157">
                  <c:v>1168044</c:v>
                </c:pt>
                <c:pt idx="1158">
                  <c:v>944680</c:v>
                </c:pt>
                <c:pt idx="1159">
                  <c:v>1300246</c:v>
                </c:pt>
                <c:pt idx="1160">
                  <c:v>1168044</c:v>
                </c:pt>
                <c:pt idx="1161">
                  <c:v>475665</c:v>
                </c:pt>
                <c:pt idx="1162">
                  <c:v>325945</c:v>
                </c:pt>
                <c:pt idx="1163">
                  <c:v>1218432</c:v>
                </c:pt>
                <c:pt idx="1164">
                  <c:v>757036</c:v>
                </c:pt>
                <c:pt idx="1165">
                  <c:v>1168044</c:v>
                </c:pt>
                <c:pt idx="1166">
                  <c:v>1368418</c:v>
                </c:pt>
                <c:pt idx="1167">
                  <c:v>614118</c:v>
                </c:pt>
                <c:pt idx="1168">
                  <c:v>1168044</c:v>
                </c:pt>
                <c:pt idx="1169">
                  <c:v>527839</c:v>
                </c:pt>
                <c:pt idx="1170">
                  <c:v>926820</c:v>
                </c:pt>
                <c:pt idx="1171">
                  <c:v>1168044</c:v>
                </c:pt>
                <c:pt idx="1172">
                  <c:v>1168044</c:v>
                </c:pt>
                <c:pt idx="1173">
                  <c:v>1044696</c:v>
                </c:pt>
                <c:pt idx="1174">
                  <c:v>1624082</c:v>
                </c:pt>
                <c:pt idx="1175">
                  <c:v>860130</c:v>
                </c:pt>
                <c:pt idx="1176">
                  <c:v>2090114</c:v>
                </c:pt>
                <c:pt idx="1177">
                  <c:v>1168044</c:v>
                </c:pt>
                <c:pt idx="1178">
                  <c:v>671783</c:v>
                </c:pt>
                <c:pt idx="1179">
                  <c:v>2202917</c:v>
                </c:pt>
                <c:pt idx="1180">
                  <c:v>860491</c:v>
                </c:pt>
                <c:pt idx="1181">
                  <c:v>969665</c:v>
                </c:pt>
                <c:pt idx="1182">
                  <c:v>677635</c:v>
                </c:pt>
                <c:pt idx="1183">
                  <c:v>1375581</c:v>
                </c:pt>
                <c:pt idx="1184">
                  <c:v>665608</c:v>
                </c:pt>
                <c:pt idx="1185">
                  <c:v>950285</c:v>
                </c:pt>
                <c:pt idx="1186">
                  <c:v>2344429</c:v>
                </c:pt>
                <c:pt idx="1187">
                  <c:v>1910640</c:v>
                </c:pt>
                <c:pt idx="1188">
                  <c:v>853898</c:v>
                </c:pt>
                <c:pt idx="1189">
                  <c:v>1168215</c:v>
                </c:pt>
                <c:pt idx="1190">
                  <c:v>823878</c:v>
                </c:pt>
                <c:pt idx="1191">
                  <c:v>561450</c:v>
                </c:pt>
                <c:pt idx="1192">
                  <c:v>3058829</c:v>
                </c:pt>
                <c:pt idx="1193">
                  <c:v>825246</c:v>
                </c:pt>
                <c:pt idx="1194">
                  <c:v>1136694</c:v>
                </c:pt>
                <c:pt idx="1195">
                  <c:v>575852</c:v>
                </c:pt>
                <c:pt idx="1196">
                  <c:v>1168044</c:v>
                </c:pt>
                <c:pt idx="1197">
                  <c:v>1490645</c:v>
                </c:pt>
                <c:pt idx="1198">
                  <c:v>1726074</c:v>
                </c:pt>
                <c:pt idx="1199">
                  <c:v>837045</c:v>
                </c:pt>
                <c:pt idx="1200">
                  <c:v>1152996</c:v>
                </c:pt>
                <c:pt idx="1201">
                  <c:v>903526</c:v>
                </c:pt>
                <c:pt idx="1202">
                  <c:v>1168044</c:v>
                </c:pt>
                <c:pt idx="1203">
                  <c:v>662473</c:v>
                </c:pt>
                <c:pt idx="1204">
                  <c:v>928701</c:v>
                </c:pt>
                <c:pt idx="1205">
                  <c:v>864120</c:v>
                </c:pt>
                <c:pt idx="1206">
                  <c:v>792490</c:v>
                </c:pt>
                <c:pt idx="1207">
                  <c:v>568746</c:v>
                </c:pt>
                <c:pt idx="1208">
                  <c:v>1217349</c:v>
                </c:pt>
                <c:pt idx="1209">
                  <c:v>935655</c:v>
                </c:pt>
                <c:pt idx="1210">
                  <c:v>1054519</c:v>
                </c:pt>
                <c:pt idx="1211">
                  <c:v>1817996</c:v>
                </c:pt>
                <c:pt idx="1212">
                  <c:v>1168044</c:v>
                </c:pt>
                <c:pt idx="1213">
                  <c:v>1482912</c:v>
                </c:pt>
                <c:pt idx="1214">
                  <c:v>1828104</c:v>
                </c:pt>
                <c:pt idx="1215">
                  <c:v>1585455</c:v>
                </c:pt>
                <c:pt idx="1216">
                  <c:v>3601412</c:v>
                </c:pt>
                <c:pt idx="1217">
                  <c:v>2044647</c:v>
                </c:pt>
                <c:pt idx="1218">
                  <c:v>1168044</c:v>
                </c:pt>
                <c:pt idx="1219">
                  <c:v>1309651</c:v>
                </c:pt>
                <c:pt idx="1220">
                  <c:v>1120962</c:v>
                </c:pt>
                <c:pt idx="1221">
                  <c:v>692664</c:v>
                </c:pt>
                <c:pt idx="1222">
                  <c:v>1168044</c:v>
                </c:pt>
                <c:pt idx="1223">
                  <c:v>1168044</c:v>
                </c:pt>
                <c:pt idx="1224">
                  <c:v>801154</c:v>
                </c:pt>
                <c:pt idx="1225">
                  <c:v>1168044</c:v>
                </c:pt>
                <c:pt idx="1226">
                  <c:v>808317</c:v>
                </c:pt>
                <c:pt idx="1227">
                  <c:v>408709</c:v>
                </c:pt>
                <c:pt idx="1228">
                  <c:v>6283072</c:v>
                </c:pt>
                <c:pt idx="1229">
                  <c:v>954579</c:v>
                </c:pt>
                <c:pt idx="1230">
                  <c:v>502892</c:v>
                </c:pt>
                <c:pt idx="1231">
                  <c:v>985245</c:v>
                </c:pt>
                <c:pt idx="1232">
                  <c:v>463429</c:v>
                </c:pt>
                <c:pt idx="1233">
                  <c:v>1682127</c:v>
                </c:pt>
                <c:pt idx="1234">
                  <c:v>1150716</c:v>
                </c:pt>
                <c:pt idx="1235">
                  <c:v>305102</c:v>
                </c:pt>
                <c:pt idx="1236">
                  <c:v>1168044</c:v>
                </c:pt>
                <c:pt idx="1237">
                  <c:v>1058642</c:v>
                </c:pt>
                <c:pt idx="1238">
                  <c:v>1375391</c:v>
                </c:pt>
                <c:pt idx="1239">
                  <c:v>1865230</c:v>
                </c:pt>
                <c:pt idx="1240">
                  <c:v>1168044</c:v>
                </c:pt>
                <c:pt idx="1241">
                  <c:v>742824</c:v>
                </c:pt>
                <c:pt idx="1242">
                  <c:v>801762</c:v>
                </c:pt>
                <c:pt idx="1243">
                  <c:v>768170</c:v>
                </c:pt>
                <c:pt idx="1244">
                  <c:v>1726910</c:v>
                </c:pt>
                <c:pt idx="1245">
                  <c:v>575130</c:v>
                </c:pt>
                <c:pt idx="1246">
                  <c:v>1067686</c:v>
                </c:pt>
                <c:pt idx="1247">
                  <c:v>523925</c:v>
                </c:pt>
                <c:pt idx="1248">
                  <c:v>936035</c:v>
                </c:pt>
                <c:pt idx="1249">
                  <c:v>1886890</c:v>
                </c:pt>
                <c:pt idx="1250">
                  <c:v>1168044</c:v>
                </c:pt>
                <c:pt idx="1251">
                  <c:v>1168044</c:v>
                </c:pt>
                <c:pt idx="1252">
                  <c:v>1626305</c:v>
                </c:pt>
                <c:pt idx="1253">
                  <c:v>907212</c:v>
                </c:pt>
                <c:pt idx="1254">
                  <c:v>1318695</c:v>
                </c:pt>
                <c:pt idx="1255">
                  <c:v>1597558</c:v>
                </c:pt>
                <c:pt idx="1256">
                  <c:v>1168044</c:v>
                </c:pt>
                <c:pt idx="1257">
                  <c:v>1126206</c:v>
                </c:pt>
                <c:pt idx="1258">
                  <c:v>1792802</c:v>
                </c:pt>
                <c:pt idx="1259">
                  <c:v>1246362</c:v>
                </c:pt>
                <c:pt idx="1260">
                  <c:v>1540254</c:v>
                </c:pt>
                <c:pt idx="1261">
                  <c:v>1212656</c:v>
                </c:pt>
                <c:pt idx="1262">
                  <c:v>869288</c:v>
                </c:pt>
                <c:pt idx="1263">
                  <c:v>677312</c:v>
                </c:pt>
                <c:pt idx="1264">
                  <c:v>1168044</c:v>
                </c:pt>
                <c:pt idx="1265">
                  <c:v>1393517</c:v>
                </c:pt>
                <c:pt idx="1266">
                  <c:v>718466</c:v>
                </c:pt>
                <c:pt idx="1267">
                  <c:v>2538343</c:v>
                </c:pt>
                <c:pt idx="1268">
                  <c:v>1168044</c:v>
                </c:pt>
                <c:pt idx="1269">
                  <c:v>576042</c:v>
                </c:pt>
                <c:pt idx="1270">
                  <c:v>1062442</c:v>
                </c:pt>
                <c:pt idx="1271">
                  <c:v>1020034</c:v>
                </c:pt>
                <c:pt idx="1272">
                  <c:v>1347822</c:v>
                </c:pt>
                <c:pt idx="1273">
                  <c:v>688218</c:v>
                </c:pt>
                <c:pt idx="1274">
                  <c:v>301093</c:v>
                </c:pt>
                <c:pt idx="1275">
                  <c:v>371564</c:v>
                </c:pt>
                <c:pt idx="1276">
                  <c:v>1168044</c:v>
                </c:pt>
                <c:pt idx="1277">
                  <c:v>1212238</c:v>
                </c:pt>
                <c:pt idx="1278">
                  <c:v>2444806</c:v>
                </c:pt>
                <c:pt idx="1279">
                  <c:v>485792</c:v>
                </c:pt>
                <c:pt idx="1280">
                  <c:v>2187850</c:v>
                </c:pt>
                <c:pt idx="1281">
                  <c:v>833188</c:v>
                </c:pt>
                <c:pt idx="1282">
                  <c:v>1168044</c:v>
                </c:pt>
                <c:pt idx="1283">
                  <c:v>694564</c:v>
                </c:pt>
                <c:pt idx="1284">
                  <c:v>1538392</c:v>
                </c:pt>
                <c:pt idx="1285">
                  <c:v>1648896</c:v>
                </c:pt>
                <c:pt idx="1286">
                  <c:v>1692387</c:v>
                </c:pt>
                <c:pt idx="1287">
                  <c:v>1168044</c:v>
                </c:pt>
                <c:pt idx="1288">
                  <c:v>1543408</c:v>
                </c:pt>
                <c:pt idx="1289">
                  <c:v>1283127</c:v>
                </c:pt>
                <c:pt idx="1290">
                  <c:v>1382915</c:v>
                </c:pt>
                <c:pt idx="1291">
                  <c:v>595384</c:v>
                </c:pt>
                <c:pt idx="1292">
                  <c:v>1335054</c:v>
                </c:pt>
                <c:pt idx="1293">
                  <c:v>1380426</c:v>
                </c:pt>
                <c:pt idx="1294">
                  <c:v>1044639</c:v>
                </c:pt>
                <c:pt idx="1295">
                  <c:v>1322153</c:v>
                </c:pt>
                <c:pt idx="1296">
                  <c:v>928226</c:v>
                </c:pt>
                <c:pt idx="1297">
                  <c:v>1201788</c:v>
                </c:pt>
                <c:pt idx="1298">
                  <c:v>502645</c:v>
                </c:pt>
                <c:pt idx="1299">
                  <c:v>1263785</c:v>
                </c:pt>
                <c:pt idx="1300">
                  <c:v>1168044</c:v>
                </c:pt>
                <c:pt idx="1301">
                  <c:v>1150716</c:v>
                </c:pt>
                <c:pt idx="1302">
                  <c:v>529967</c:v>
                </c:pt>
                <c:pt idx="1303">
                  <c:v>1168044</c:v>
                </c:pt>
                <c:pt idx="1304">
                  <c:v>1818908</c:v>
                </c:pt>
                <c:pt idx="1305">
                  <c:v>1395911</c:v>
                </c:pt>
                <c:pt idx="1306">
                  <c:v>1400205</c:v>
                </c:pt>
                <c:pt idx="1307">
                  <c:v>1156511</c:v>
                </c:pt>
                <c:pt idx="1308">
                  <c:v>1168044</c:v>
                </c:pt>
                <c:pt idx="1309">
                  <c:v>1168044</c:v>
                </c:pt>
                <c:pt idx="1310">
                  <c:v>1083551</c:v>
                </c:pt>
                <c:pt idx="1311">
                  <c:v>749816</c:v>
                </c:pt>
                <c:pt idx="1312">
                  <c:v>280136</c:v>
                </c:pt>
                <c:pt idx="1313">
                  <c:v>1168044</c:v>
                </c:pt>
                <c:pt idx="1314">
                  <c:v>835088</c:v>
                </c:pt>
                <c:pt idx="1315">
                  <c:v>655310</c:v>
                </c:pt>
                <c:pt idx="1316">
                  <c:v>1168044</c:v>
                </c:pt>
                <c:pt idx="1317">
                  <c:v>492328</c:v>
                </c:pt>
                <c:pt idx="1318">
                  <c:v>583509</c:v>
                </c:pt>
                <c:pt idx="1319">
                  <c:v>1595468</c:v>
                </c:pt>
                <c:pt idx="1320">
                  <c:v>1168044</c:v>
                </c:pt>
                <c:pt idx="1321">
                  <c:v>827127</c:v>
                </c:pt>
                <c:pt idx="1322">
                  <c:v>1673007</c:v>
                </c:pt>
                <c:pt idx="1323">
                  <c:v>1361027</c:v>
                </c:pt>
                <c:pt idx="1324">
                  <c:v>716718</c:v>
                </c:pt>
                <c:pt idx="1325">
                  <c:v>1168044</c:v>
                </c:pt>
                <c:pt idx="1326">
                  <c:v>681226</c:v>
                </c:pt>
                <c:pt idx="1327">
                  <c:v>690764</c:v>
                </c:pt>
                <c:pt idx="1328">
                  <c:v>1168044</c:v>
                </c:pt>
                <c:pt idx="1329">
                  <c:v>1010325</c:v>
                </c:pt>
                <c:pt idx="1330">
                  <c:v>1168044</c:v>
                </c:pt>
                <c:pt idx="1331">
                  <c:v>482125</c:v>
                </c:pt>
                <c:pt idx="1332">
                  <c:v>1473317</c:v>
                </c:pt>
                <c:pt idx="1333">
                  <c:v>622478</c:v>
                </c:pt>
                <c:pt idx="1334">
                  <c:v>1816001</c:v>
                </c:pt>
                <c:pt idx="1335">
                  <c:v>1398647</c:v>
                </c:pt>
                <c:pt idx="1336">
                  <c:v>1060048</c:v>
                </c:pt>
                <c:pt idx="1337">
                  <c:v>1168044</c:v>
                </c:pt>
                <c:pt idx="1338">
                  <c:v>1168044</c:v>
                </c:pt>
                <c:pt idx="1339">
                  <c:v>936035</c:v>
                </c:pt>
                <c:pt idx="1340">
                  <c:v>1676465</c:v>
                </c:pt>
                <c:pt idx="1341">
                  <c:v>788614</c:v>
                </c:pt>
                <c:pt idx="1342">
                  <c:v>694811</c:v>
                </c:pt>
                <c:pt idx="1343">
                  <c:v>564756</c:v>
                </c:pt>
                <c:pt idx="1344">
                  <c:v>1383599</c:v>
                </c:pt>
                <c:pt idx="1345">
                  <c:v>761824</c:v>
                </c:pt>
                <c:pt idx="1346">
                  <c:v>1168044</c:v>
                </c:pt>
                <c:pt idx="1347">
                  <c:v>1330513</c:v>
                </c:pt>
                <c:pt idx="1348">
                  <c:v>1074013</c:v>
                </c:pt>
                <c:pt idx="1349">
                  <c:v>1022333</c:v>
                </c:pt>
                <c:pt idx="1350">
                  <c:v>626373</c:v>
                </c:pt>
                <c:pt idx="1351">
                  <c:v>1168044</c:v>
                </c:pt>
                <c:pt idx="1352">
                  <c:v>877021</c:v>
                </c:pt>
                <c:pt idx="1353">
                  <c:v>976942</c:v>
                </c:pt>
                <c:pt idx="1354">
                  <c:v>1168272</c:v>
                </c:pt>
                <c:pt idx="1355">
                  <c:v>1446280</c:v>
                </c:pt>
                <c:pt idx="1356">
                  <c:v>7669160</c:v>
                </c:pt>
                <c:pt idx="1357">
                  <c:v>1168044</c:v>
                </c:pt>
                <c:pt idx="1358">
                  <c:v>934990</c:v>
                </c:pt>
                <c:pt idx="1359">
                  <c:v>1168044</c:v>
                </c:pt>
                <c:pt idx="1360">
                  <c:v>1095217</c:v>
                </c:pt>
                <c:pt idx="1361">
                  <c:v>599545</c:v>
                </c:pt>
                <c:pt idx="1362">
                  <c:v>764712</c:v>
                </c:pt>
                <c:pt idx="1363">
                  <c:v>1233765</c:v>
                </c:pt>
                <c:pt idx="1364">
                  <c:v>1168044</c:v>
                </c:pt>
                <c:pt idx="1365">
                  <c:v>1306060</c:v>
                </c:pt>
                <c:pt idx="1366">
                  <c:v>945630</c:v>
                </c:pt>
                <c:pt idx="1367">
                  <c:v>996892</c:v>
                </c:pt>
                <c:pt idx="1368">
                  <c:v>479275</c:v>
                </c:pt>
                <c:pt idx="1369">
                  <c:v>1607666</c:v>
                </c:pt>
                <c:pt idx="1370">
                  <c:v>1404879</c:v>
                </c:pt>
                <c:pt idx="1371">
                  <c:v>732963</c:v>
                </c:pt>
                <c:pt idx="1372">
                  <c:v>620977</c:v>
                </c:pt>
                <c:pt idx="1373">
                  <c:v>1133673</c:v>
                </c:pt>
                <c:pt idx="1374">
                  <c:v>665798</c:v>
                </c:pt>
                <c:pt idx="1375">
                  <c:v>1168044</c:v>
                </c:pt>
                <c:pt idx="1376">
                  <c:v>1236197</c:v>
                </c:pt>
                <c:pt idx="1377">
                  <c:v>650655</c:v>
                </c:pt>
                <c:pt idx="1378">
                  <c:v>738986</c:v>
                </c:pt>
                <c:pt idx="1379">
                  <c:v>933945</c:v>
                </c:pt>
                <c:pt idx="1380">
                  <c:v>741076</c:v>
                </c:pt>
                <c:pt idx="1381">
                  <c:v>722019</c:v>
                </c:pt>
                <c:pt idx="1382">
                  <c:v>1168044</c:v>
                </c:pt>
                <c:pt idx="1383">
                  <c:v>2362897</c:v>
                </c:pt>
                <c:pt idx="1384">
                  <c:v>1318695</c:v>
                </c:pt>
                <c:pt idx="1385">
                  <c:v>1029439</c:v>
                </c:pt>
                <c:pt idx="1386">
                  <c:v>1385480</c:v>
                </c:pt>
                <c:pt idx="1387">
                  <c:v>797639</c:v>
                </c:pt>
                <c:pt idx="1388">
                  <c:v>561906</c:v>
                </c:pt>
                <c:pt idx="1389">
                  <c:v>783085</c:v>
                </c:pt>
                <c:pt idx="1390">
                  <c:v>921272</c:v>
                </c:pt>
                <c:pt idx="1391">
                  <c:v>1168044</c:v>
                </c:pt>
                <c:pt idx="1392">
                  <c:v>629698</c:v>
                </c:pt>
                <c:pt idx="1393">
                  <c:v>1285274</c:v>
                </c:pt>
                <c:pt idx="1394">
                  <c:v>1334902</c:v>
                </c:pt>
                <c:pt idx="1395">
                  <c:v>885096</c:v>
                </c:pt>
                <c:pt idx="1396">
                  <c:v>751336</c:v>
                </c:pt>
                <c:pt idx="1397">
                  <c:v>1557753</c:v>
                </c:pt>
                <c:pt idx="1398">
                  <c:v>852359</c:v>
                </c:pt>
                <c:pt idx="1399">
                  <c:v>1168044</c:v>
                </c:pt>
                <c:pt idx="1400">
                  <c:v>971660</c:v>
                </c:pt>
                <c:pt idx="1401">
                  <c:v>1685547</c:v>
                </c:pt>
                <c:pt idx="1402">
                  <c:v>440895</c:v>
                </c:pt>
                <c:pt idx="1403">
                  <c:v>1168044</c:v>
                </c:pt>
                <c:pt idx="1404">
                  <c:v>960184</c:v>
                </c:pt>
                <c:pt idx="1405">
                  <c:v>1168044</c:v>
                </c:pt>
                <c:pt idx="1406">
                  <c:v>844227</c:v>
                </c:pt>
                <c:pt idx="1407">
                  <c:v>1048363</c:v>
                </c:pt>
                <c:pt idx="1408">
                  <c:v>1965322</c:v>
                </c:pt>
                <c:pt idx="1409">
                  <c:v>1114122</c:v>
                </c:pt>
                <c:pt idx="1410">
                  <c:v>1324452</c:v>
                </c:pt>
                <c:pt idx="1411">
                  <c:v>1168044</c:v>
                </c:pt>
                <c:pt idx="1412">
                  <c:v>1168044</c:v>
                </c:pt>
                <c:pt idx="1413">
                  <c:v>459325</c:v>
                </c:pt>
                <c:pt idx="1414">
                  <c:v>573819</c:v>
                </c:pt>
                <c:pt idx="1415">
                  <c:v>1565182</c:v>
                </c:pt>
                <c:pt idx="1416">
                  <c:v>664468</c:v>
                </c:pt>
                <c:pt idx="1417">
                  <c:v>473822</c:v>
                </c:pt>
                <c:pt idx="1418">
                  <c:v>1749748</c:v>
                </c:pt>
                <c:pt idx="1419">
                  <c:v>1224873</c:v>
                </c:pt>
                <c:pt idx="1420">
                  <c:v>1168044</c:v>
                </c:pt>
                <c:pt idx="1421">
                  <c:v>787797</c:v>
                </c:pt>
                <c:pt idx="1422">
                  <c:v>945535</c:v>
                </c:pt>
                <c:pt idx="1423">
                  <c:v>693861</c:v>
                </c:pt>
                <c:pt idx="1424">
                  <c:v>1168044</c:v>
                </c:pt>
                <c:pt idx="1425">
                  <c:v>1592561</c:v>
                </c:pt>
                <c:pt idx="1426">
                  <c:v>1168044</c:v>
                </c:pt>
                <c:pt idx="1427">
                  <c:v>830319</c:v>
                </c:pt>
                <c:pt idx="1428">
                  <c:v>916009</c:v>
                </c:pt>
                <c:pt idx="1429">
                  <c:v>648508</c:v>
                </c:pt>
                <c:pt idx="1430">
                  <c:v>1292095</c:v>
                </c:pt>
                <c:pt idx="1431">
                  <c:v>714628</c:v>
                </c:pt>
                <c:pt idx="1432">
                  <c:v>1095559</c:v>
                </c:pt>
                <c:pt idx="1433">
                  <c:v>1058699</c:v>
                </c:pt>
                <c:pt idx="1434">
                  <c:v>553755</c:v>
                </c:pt>
                <c:pt idx="1435">
                  <c:v>1005784</c:v>
                </c:pt>
                <c:pt idx="1436">
                  <c:v>929575</c:v>
                </c:pt>
                <c:pt idx="1437">
                  <c:v>1153851</c:v>
                </c:pt>
                <c:pt idx="1438">
                  <c:v>795511</c:v>
                </c:pt>
                <c:pt idx="1439">
                  <c:v>1168044</c:v>
                </c:pt>
                <c:pt idx="1440">
                  <c:v>1168044</c:v>
                </c:pt>
                <c:pt idx="1441">
                  <c:v>593427</c:v>
                </c:pt>
                <c:pt idx="1442">
                  <c:v>6489070</c:v>
                </c:pt>
                <c:pt idx="1443">
                  <c:v>1168044</c:v>
                </c:pt>
                <c:pt idx="1444">
                  <c:v>1027235</c:v>
                </c:pt>
                <c:pt idx="1445">
                  <c:v>1495471</c:v>
                </c:pt>
                <c:pt idx="1446">
                  <c:v>1280125</c:v>
                </c:pt>
                <c:pt idx="1447">
                  <c:v>807595</c:v>
                </c:pt>
                <c:pt idx="1448">
                  <c:v>192166</c:v>
                </c:pt>
                <c:pt idx="1449">
                  <c:v>1168044</c:v>
                </c:pt>
                <c:pt idx="1450">
                  <c:v>485697</c:v>
                </c:pt>
                <c:pt idx="1451">
                  <c:v>1757101</c:v>
                </c:pt>
                <c:pt idx="1452">
                  <c:v>2318532</c:v>
                </c:pt>
                <c:pt idx="1453">
                  <c:v>1176727</c:v>
                </c:pt>
                <c:pt idx="1454">
                  <c:v>584079</c:v>
                </c:pt>
                <c:pt idx="1455">
                  <c:v>463258</c:v>
                </c:pt>
                <c:pt idx="1456">
                  <c:v>1304198</c:v>
                </c:pt>
                <c:pt idx="1457">
                  <c:v>843125</c:v>
                </c:pt>
                <c:pt idx="1458">
                  <c:v>1302849</c:v>
                </c:pt>
                <c:pt idx="1459">
                  <c:v>813732</c:v>
                </c:pt>
                <c:pt idx="1460">
                  <c:v>1286490</c:v>
                </c:pt>
                <c:pt idx="1461">
                  <c:v>286330</c:v>
                </c:pt>
                <c:pt idx="1462">
                  <c:v>1096167</c:v>
                </c:pt>
                <c:pt idx="1463">
                  <c:v>849110</c:v>
                </c:pt>
                <c:pt idx="1464">
                  <c:v>532114</c:v>
                </c:pt>
                <c:pt idx="1465">
                  <c:v>1263538</c:v>
                </c:pt>
                <c:pt idx="1466">
                  <c:v>932881</c:v>
                </c:pt>
                <c:pt idx="1467">
                  <c:v>511442</c:v>
                </c:pt>
                <c:pt idx="1468">
                  <c:v>1496193</c:v>
                </c:pt>
                <c:pt idx="1469">
                  <c:v>1168044</c:v>
                </c:pt>
                <c:pt idx="1470">
                  <c:v>1663906</c:v>
                </c:pt>
                <c:pt idx="1471">
                  <c:v>3602153</c:v>
                </c:pt>
                <c:pt idx="1472">
                  <c:v>1488536</c:v>
                </c:pt>
                <c:pt idx="1473">
                  <c:v>1168044</c:v>
                </c:pt>
                <c:pt idx="1474">
                  <c:v>1168044</c:v>
                </c:pt>
                <c:pt idx="1475">
                  <c:v>688522</c:v>
                </c:pt>
                <c:pt idx="1476">
                  <c:v>869022</c:v>
                </c:pt>
                <c:pt idx="1477">
                  <c:v>2124067</c:v>
                </c:pt>
                <c:pt idx="1478">
                  <c:v>896857</c:v>
                </c:pt>
                <c:pt idx="1479">
                  <c:v>1168044</c:v>
                </c:pt>
                <c:pt idx="1480">
                  <c:v>1184194</c:v>
                </c:pt>
                <c:pt idx="1481">
                  <c:v>758556</c:v>
                </c:pt>
                <c:pt idx="1482">
                  <c:v>1168044</c:v>
                </c:pt>
                <c:pt idx="1483">
                  <c:v>1168044</c:v>
                </c:pt>
                <c:pt idx="1484">
                  <c:v>656355</c:v>
                </c:pt>
                <c:pt idx="1485">
                  <c:v>714457</c:v>
                </c:pt>
                <c:pt idx="1486">
                  <c:v>796917</c:v>
                </c:pt>
                <c:pt idx="1487">
                  <c:v>799292</c:v>
                </c:pt>
                <c:pt idx="1488">
                  <c:v>2022930</c:v>
                </c:pt>
                <c:pt idx="1489">
                  <c:v>651301</c:v>
                </c:pt>
                <c:pt idx="1490">
                  <c:v>851466</c:v>
                </c:pt>
                <c:pt idx="1491">
                  <c:v>524609</c:v>
                </c:pt>
                <c:pt idx="1492">
                  <c:v>1482760</c:v>
                </c:pt>
                <c:pt idx="1493">
                  <c:v>1062043</c:v>
                </c:pt>
                <c:pt idx="1494">
                  <c:v>1222536</c:v>
                </c:pt>
                <c:pt idx="1495">
                  <c:v>941070</c:v>
                </c:pt>
                <c:pt idx="1496">
                  <c:v>1048667</c:v>
                </c:pt>
                <c:pt idx="1497">
                  <c:v>1168044</c:v>
                </c:pt>
                <c:pt idx="1498">
                  <c:v>536370</c:v>
                </c:pt>
                <c:pt idx="1499">
                  <c:v>1307124</c:v>
                </c:pt>
                <c:pt idx="1500">
                  <c:v>1518024</c:v>
                </c:pt>
                <c:pt idx="1501">
                  <c:v>846108</c:v>
                </c:pt>
                <c:pt idx="1502">
                  <c:v>2309184</c:v>
                </c:pt>
                <c:pt idx="1503">
                  <c:v>3368890</c:v>
                </c:pt>
                <c:pt idx="1504">
                  <c:v>855209</c:v>
                </c:pt>
                <c:pt idx="1505">
                  <c:v>566124</c:v>
                </c:pt>
                <c:pt idx="1506">
                  <c:v>1168044</c:v>
                </c:pt>
                <c:pt idx="1507">
                  <c:v>1168044</c:v>
                </c:pt>
                <c:pt idx="1508">
                  <c:v>816753</c:v>
                </c:pt>
                <c:pt idx="1509">
                  <c:v>1126890</c:v>
                </c:pt>
                <c:pt idx="1510">
                  <c:v>1131906</c:v>
                </c:pt>
                <c:pt idx="1511">
                  <c:v>1168044</c:v>
                </c:pt>
                <c:pt idx="1512">
                  <c:v>1168044</c:v>
                </c:pt>
                <c:pt idx="1513">
                  <c:v>1386734</c:v>
                </c:pt>
                <c:pt idx="1514">
                  <c:v>1168044</c:v>
                </c:pt>
                <c:pt idx="1515">
                  <c:v>452352</c:v>
                </c:pt>
                <c:pt idx="1516">
                  <c:v>753692</c:v>
                </c:pt>
                <c:pt idx="1517">
                  <c:v>865602</c:v>
                </c:pt>
                <c:pt idx="1518">
                  <c:v>1152312</c:v>
                </c:pt>
                <c:pt idx="1519">
                  <c:v>1168044</c:v>
                </c:pt>
                <c:pt idx="1520">
                  <c:v>600761</c:v>
                </c:pt>
                <c:pt idx="1521">
                  <c:v>872917</c:v>
                </c:pt>
                <c:pt idx="1522">
                  <c:v>655025</c:v>
                </c:pt>
                <c:pt idx="1523">
                  <c:v>361399</c:v>
                </c:pt>
                <c:pt idx="1524">
                  <c:v>625252</c:v>
                </c:pt>
                <c:pt idx="1525">
                  <c:v>1168044</c:v>
                </c:pt>
                <c:pt idx="1526">
                  <c:v>729087</c:v>
                </c:pt>
                <c:pt idx="1527">
                  <c:v>1261809</c:v>
                </c:pt>
                <c:pt idx="1528">
                  <c:v>1168044</c:v>
                </c:pt>
                <c:pt idx="1529">
                  <c:v>556263</c:v>
                </c:pt>
                <c:pt idx="1530">
                  <c:v>1168044</c:v>
                </c:pt>
                <c:pt idx="1531">
                  <c:v>1168044</c:v>
                </c:pt>
                <c:pt idx="1532">
                  <c:v>999001</c:v>
                </c:pt>
                <c:pt idx="1533">
                  <c:v>1175929</c:v>
                </c:pt>
                <c:pt idx="1534">
                  <c:v>765700</c:v>
                </c:pt>
                <c:pt idx="1535">
                  <c:v>1168044</c:v>
                </c:pt>
                <c:pt idx="1536">
                  <c:v>1327872</c:v>
                </c:pt>
                <c:pt idx="1537">
                  <c:v>2003854</c:v>
                </c:pt>
                <c:pt idx="1538">
                  <c:v>1168044</c:v>
                </c:pt>
                <c:pt idx="1539">
                  <c:v>1525472</c:v>
                </c:pt>
                <c:pt idx="1540">
                  <c:v>756884</c:v>
                </c:pt>
                <c:pt idx="1541">
                  <c:v>1411966</c:v>
                </c:pt>
                <c:pt idx="1542">
                  <c:v>1898860</c:v>
                </c:pt>
                <c:pt idx="1543">
                  <c:v>1168044</c:v>
                </c:pt>
                <c:pt idx="1544">
                  <c:v>855095</c:v>
                </c:pt>
                <c:pt idx="1545">
                  <c:v>1629098</c:v>
                </c:pt>
                <c:pt idx="1546">
                  <c:v>1031548</c:v>
                </c:pt>
                <c:pt idx="1547">
                  <c:v>1168044</c:v>
                </c:pt>
                <c:pt idx="1548">
                  <c:v>1168044</c:v>
                </c:pt>
                <c:pt idx="1549">
                  <c:v>1277066</c:v>
                </c:pt>
                <c:pt idx="1550">
                  <c:v>759544</c:v>
                </c:pt>
                <c:pt idx="1551">
                  <c:v>1168044</c:v>
                </c:pt>
                <c:pt idx="1552">
                  <c:v>405859</c:v>
                </c:pt>
                <c:pt idx="1553">
                  <c:v>697547</c:v>
                </c:pt>
                <c:pt idx="1554">
                  <c:v>1168044</c:v>
                </c:pt>
                <c:pt idx="1555">
                  <c:v>1168044</c:v>
                </c:pt>
                <c:pt idx="1556">
                  <c:v>1168044</c:v>
                </c:pt>
                <c:pt idx="1557">
                  <c:v>1526384</c:v>
                </c:pt>
                <c:pt idx="1558">
                  <c:v>1249953</c:v>
                </c:pt>
                <c:pt idx="1559">
                  <c:v>660953</c:v>
                </c:pt>
                <c:pt idx="1560">
                  <c:v>1038616</c:v>
                </c:pt>
                <c:pt idx="1561">
                  <c:v>902538</c:v>
                </c:pt>
                <c:pt idx="1562">
                  <c:v>804460</c:v>
                </c:pt>
                <c:pt idx="1563">
                  <c:v>1107776</c:v>
                </c:pt>
                <c:pt idx="1564">
                  <c:v>1395227</c:v>
                </c:pt>
                <c:pt idx="1565">
                  <c:v>823707</c:v>
                </c:pt>
                <c:pt idx="1566">
                  <c:v>974662</c:v>
                </c:pt>
                <c:pt idx="1567">
                  <c:v>795910</c:v>
                </c:pt>
                <c:pt idx="1568">
                  <c:v>230147</c:v>
                </c:pt>
                <c:pt idx="1569">
                  <c:v>1168044</c:v>
                </c:pt>
                <c:pt idx="1570">
                  <c:v>668059</c:v>
                </c:pt>
                <c:pt idx="1571">
                  <c:v>930601</c:v>
                </c:pt>
                <c:pt idx="1572">
                  <c:v>1375581</c:v>
                </c:pt>
                <c:pt idx="1573">
                  <c:v>2015672</c:v>
                </c:pt>
                <c:pt idx="1574">
                  <c:v>1168044</c:v>
                </c:pt>
                <c:pt idx="1575">
                  <c:v>1168044</c:v>
                </c:pt>
                <c:pt idx="1576">
                  <c:v>993833</c:v>
                </c:pt>
                <c:pt idx="1577">
                  <c:v>490713</c:v>
                </c:pt>
                <c:pt idx="1578">
                  <c:v>748486</c:v>
                </c:pt>
                <c:pt idx="1579">
                  <c:v>1168044</c:v>
                </c:pt>
                <c:pt idx="1580">
                  <c:v>602832</c:v>
                </c:pt>
                <c:pt idx="1581">
                  <c:v>1447344</c:v>
                </c:pt>
                <c:pt idx="1582">
                  <c:v>1127916</c:v>
                </c:pt>
                <c:pt idx="1583">
                  <c:v>1168044</c:v>
                </c:pt>
                <c:pt idx="1584">
                  <c:v>2721674</c:v>
                </c:pt>
                <c:pt idx="1585">
                  <c:v>1437407</c:v>
                </c:pt>
                <c:pt idx="1586">
                  <c:v>1606526</c:v>
                </c:pt>
                <c:pt idx="1587">
                  <c:v>1117865</c:v>
                </c:pt>
                <c:pt idx="1588">
                  <c:v>1168044</c:v>
                </c:pt>
                <c:pt idx="1589">
                  <c:v>731044</c:v>
                </c:pt>
                <c:pt idx="1590">
                  <c:v>622991</c:v>
                </c:pt>
                <c:pt idx="1591">
                  <c:v>1168044</c:v>
                </c:pt>
                <c:pt idx="1592">
                  <c:v>569829</c:v>
                </c:pt>
                <c:pt idx="1593">
                  <c:v>1157328</c:v>
                </c:pt>
                <c:pt idx="1594">
                  <c:v>1168044</c:v>
                </c:pt>
                <c:pt idx="1595">
                  <c:v>1168044</c:v>
                </c:pt>
                <c:pt idx="1596">
                  <c:v>1168044</c:v>
                </c:pt>
                <c:pt idx="1597">
                  <c:v>228437</c:v>
                </c:pt>
                <c:pt idx="1598">
                  <c:v>2261304</c:v>
                </c:pt>
                <c:pt idx="1599">
                  <c:v>821826</c:v>
                </c:pt>
                <c:pt idx="1600">
                  <c:v>785973</c:v>
                </c:pt>
                <c:pt idx="1601">
                  <c:v>1168044</c:v>
                </c:pt>
                <c:pt idx="1602">
                  <c:v>1575575</c:v>
                </c:pt>
                <c:pt idx="1603">
                  <c:v>856900</c:v>
                </c:pt>
                <c:pt idx="1604">
                  <c:v>653904</c:v>
                </c:pt>
                <c:pt idx="1605">
                  <c:v>850383</c:v>
                </c:pt>
                <c:pt idx="1606">
                  <c:v>1409610</c:v>
                </c:pt>
                <c:pt idx="1607">
                  <c:v>704387</c:v>
                </c:pt>
                <c:pt idx="1608">
                  <c:v>1168044</c:v>
                </c:pt>
                <c:pt idx="1609">
                  <c:v>954560</c:v>
                </c:pt>
                <c:pt idx="1610">
                  <c:v>678661</c:v>
                </c:pt>
                <c:pt idx="1611">
                  <c:v>1934960</c:v>
                </c:pt>
                <c:pt idx="1612">
                  <c:v>562932</c:v>
                </c:pt>
                <c:pt idx="1613">
                  <c:v>686945</c:v>
                </c:pt>
                <c:pt idx="1614">
                  <c:v>2081792</c:v>
                </c:pt>
                <c:pt idx="1615">
                  <c:v>1786608</c:v>
                </c:pt>
                <c:pt idx="1616">
                  <c:v>652137</c:v>
                </c:pt>
                <c:pt idx="1617">
                  <c:v>451117</c:v>
                </c:pt>
                <c:pt idx="1618">
                  <c:v>1239940</c:v>
                </c:pt>
                <c:pt idx="1619">
                  <c:v>1168044</c:v>
                </c:pt>
                <c:pt idx="1620">
                  <c:v>1260574</c:v>
                </c:pt>
                <c:pt idx="1621">
                  <c:v>799083</c:v>
                </c:pt>
                <c:pt idx="1622">
                  <c:v>2229137</c:v>
                </c:pt>
                <c:pt idx="1623">
                  <c:v>895147</c:v>
                </c:pt>
                <c:pt idx="1624">
                  <c:v>1057293</c:v>
                </c:pt>
                <c:pt idx="1625">
                  <c:v>1168044</c:v>
                </c:pt>
                <c:pt idx="1626">
                  <c:v>1538696</c:v>
                </c:pt>
                <c:pt idx="1627">
                  <c:v>702088</c:v>
                </c:pt>
                <c:pt idx="1628">
                  <c:v>816677</c:v>
                </c:pt>
                <c:pt idx="1629">
                  <c:v>1029857</c:v>
                </c:pt>
                <c:pt idx="1630">
                  <c:v>637241</c:v>
                </c:pt>
                <c:pt idx="1631">
                  <c:v>973275</c:v>
                </c:pt>
                <c:pt idx="1632">
                  <c:v>776188</c:v>
                </c:pt>
                <c:pt idx="1633">
                  <c:v>931095</c:v>
                </c:pt>
                <c:pt idx="1634">
                  <c:v>1292380</c:v>
                </c:pt>
                <c:pt idx="1635">
                  <c:v>696730</c:v>
                </c:pt>
                <c:pt idx="1636">
                  <c:v>562419</c:v>
                </c:pt>
                <c:pt idx="1637">
                  <c:v>1168044</c:v>
                </c:pt>
                <c:pt idx="1638">
                  <c:v>950399</c:v>
                </c:pt>
                <c:pt idx="1639">
                  <c:v>1168044</c:v>
                </c:pt>
                <c:pt idx="1640">
                  <c:v>793459</c:v>
                </c:pt>
                <c:pt idx="1641">
                  <c:v>1832075</c:v>
                </c:pt>
                <c:pt idx="1642">
                  <c:v>1678878</c:v>
                </c:pt>
                <c:pt idx="1643">
                  <c:v>3954888</c:v>
                </c:pt>
                <c:pt idx="1644">
                  <c:v>845937</c:v>
                </c:pt>
                <c:pt idx="1645">
                  <c:v>845937</c:v>
                </c:pt>
                <c:pt idx="1646">
                  <c:v>891480</c:v>
                </c:pt>
                <c:pt idx="1647">
                  <c:v>668990</c:v>
                </c:pt>
                <c:pt idx="1648">
                  <c:v>1168044</c:v>
                </c:pt>
                <c:pt idx="1649">
                  <c:v>1403207</c:v>
                </c:pt>
                <c:pt idx="1650">
                  <c:v>518757</c:v>
                </c:pt>
                <c:pt idx="1651">
                  <c:v>1254228</c:v>
                </c:pt>
                <c:pt idx="1652">
                  <c:v>775542</c:v>
                </c:pt>
                <c:pt idx="1653">
                  <c:v>873050</c:v>
                </c:pt>
                <c:pt idx="1654">
                  <c:v>501771</c:v>
                </c:pt>
                <c:pt idx="1655">
                  <c:v>1243645</c:v>
                </c:pt>
                <c:pt idx="1656">
                  <c:v>1168044</c:v>
                </c:pt>
                <c:pt idx="1657">
                  <c:v>1358994</c:v>
                </c:pt>
                <c:pt idx="1658">
                  <c:v>1168044</c:v>
                </c:pt>
                <c:pt idx="1659">
                  <c:v>671137</c:v>
                </c:pt>
                <c:pt idx="1660">
                  <c:v>1168044</c:v>
                </c:pt>
                <c:pt idx="1661">
                  <c:v>975251</c:v>
                </c:pt>
                <c:pt idx="1662">
                  <c:v>1168215</c:v>
                </c:pt>
                <c:pt idx="1663">
                  <c:v>1168044</c:v>
                </c:pt>
                <c:pt idx="1664">
                  <c:v>1223144</c:v>
                </c:pt>
                <c:pt idx="1665">
                  <c:v>1535048</c:v>
                </c:pt>
                <c:pt idx="1666">
                  <c:v>1365131</c:v>
                </c:pt>
                <c:pt idx="1667">
                  <c:v>668002</c:v>
                </c:pt>
                <c:pt idx="1668">
                  <c:v>677502</c:v>
                </c:pt>
                <c:pt idx="1669">
                  <c:v>1299486</c:v>
                </c:pt>
                <c:pt idx="1670">
                  <c:v>1002364</c:v>
                </c:pt>
                <c:pt idx="1671">
                  <c:v>767372</c:v>
                </c:pt>
                <c:pt idx="1672">
                  <c:v>1886510</c:v>
                </c:pt>
                <c:pt idx="1673">
                  <c:v>1900190</c:v>
                </c:pt>
                <c:pt idx="1674">
                  <c:v>836589</c:v>
                </c:pt>
                <c:pt idx="1675">
                  <c:v>1168044</c:v>
                </c:pt>
                <c:pt idx="1676">
                  <c:v>781736</c:v>
                </c:pt>
                <c:pt idx="1677">
                  <c:v>1029895</c:v>
                </c:pt>
                <c:pt idx="1678">
                  <c:v>1156758</c:v>
                </c:pt>
                <c:pt idx="1679">
                  <c:v>777024</c:v>
                </c:pt>
                <c:pt idx="1680">
                  <c:v>730588</c:v>
                </c:pt>
                <c:pt idx="1681">
                  <c:v>525996</c:v>
                </c:pt>
                <c:pt idx="1682">
                  <c:v>1138518</c:v>
                </c:pt>
                <c:pt idx="1683">
                  <c:v>1245374</c:v>
                </c:pt>
                <c:pt idx="1684">
                  <c:v>291992</c:v>
                </c:pt>
                <c:pt idx="1685">
                  <c:v>870219</c:v>
                </c:pt>
                <c:pt idx="1686">
                  <c:v>1051175</c:v>
                </c:pt>
                <c:pt idx="1687">
                  <c:v>1168044</c:v>
                </c:pt>
                <c:pt idx="1688">
                  <c:v>1168044</c:v>
                </c:pt>
                <c:pt idx="1689">
                  <c:v>728726</c:v>
                </c:pt>
                <c:pt idx="1690">
                  <c:v>1640745</c:v>
                </c:pt>
                <c:pt idx="1691">
                  <c:v>1168044</c:v>
                </c:pt>
                <c:pt idx="1692">
                  <c:v>3244535</c:v>
                </c:pt>
                <c:pt idx="1693">
                  <c:v>466602</c:v>
                </c:pt>
                <c:pt idx="1694">
                  <c:v>656849</c:v>
                </c:pt>
                <c:pt idx="1695">
                  <c:v>666805</c:v>
                </c:pt>
                <c:pt idx="1696">
                  <c:v>1168044</c:v>
                </c:pt>
                <c:pt idx="1697">
                  <c:v>1060675</c:v>
                </c:pt>
                <c:pt idx="1698">
                  <c:v>1041979</c:v>
                </c:pt>
                <c:pt idx="1699">
                  <c:v>1168044</c:v>
                </c:pt>
                <c:pt idx="1700">
                  <c:v>651909</c:v>
                </c:pt>
                <c:pt idx="1701">
                  <c:v>734027</c:v>
                </c:pt>
                <c:pt idx="1702">
                  <c:v>853974</c:v>
                </c:pt>
                <c:pt idx="1703">
                  <c:v>805733</c:v>
                </c:pt>
                <c:pt idx="1704">
                  <c:v>875026</c:v>
                </c:pt>
                <c:pt idx="1705">
                  <c:v>1168044</c:v>
                </c:pt>
                <c:pt idx="1706">
                  <c:v>867711</c:v>
                </c:pt>
                <c:pt idx="1707">
                  <c:v>556719</c:v>
                </c:pt>
                <c:pt idx="1708">
                  <c:v>883329</c:v>
                </c:pt>
                <c:pt idx="1709">
                  <c:v>1420782</c:v>
                </c:pt>
                <c:pt idx="1710">
                  <c:v>1705554</c:v>
                </c:pt>
                <c:pt idx="1711">
                  <c:v>1308283</c:v>
                </c:pt>
                <c:pt idx="1712">
                  <c:v>573819</c:v>
                </c:pt>
                <c:pt idx="1713">
                  <c:v>992845</c:v>
                </c:pt>
                <c:pt idx="1714">
                  <c:v>1018590</c:v>
                </c:pt>
                <c:pt idx="1715">
                  <c:v>845766</c:v>
                </c:pt>
                <c:pt idx="1716">
                  <c:v>776948</c:v>
                </c:pt>
                <c:pt idx="1717">
                  <c:v>1909880</c:v>
                </c:pt>
                <c:pt idx="1718">
                  <c:v>842859</c:v>
                </c:pt>
                <c:pt idx="1719">
                  <c:v>348707</c:v>
                </c:pt>
                <c:pt idx="1720">
                  <c:v>1168044</c:v>
                </c:pt>
                <c:pt idx="1721">
                  <c:v>1168044</c:v>
                </c:pt>
                <c:pt idx="1722">
                  <c:v>888763</c:v>
                </c:pt>
                <c:pt idx="1723">
                  <c:v>1374650</c:v>
                </c:pt>
                <c:pt idx="1724">
                  <c:v>518111</c:v>
                </c:pt>
                <c:pt idx="1725">
                  <c:v>724470</c:v>
                </c:pt>
                <c:pt idx="1726">
                  <c:v>911487</c:v>
                </c:pt>
                <c:pt idx="1727">
                  <c:v>1091854</c:v>
                </c:pt>
                <c:pt idx="1728">
                  <c:v>378632</c:v>
                </c:pt>
                <c:pt idx="1729">
                  <c:v>406942</c:v>
                </c:pt>
                <c:pt idx="1730">
                  <c:v>914185</c:v>
                </c:pt>
                <c:pt idx="1731">
                  <c:v>1634380</c:v>
                </c:pt>
                <c:pt idx="1732">
                  <c:v>474069</c:v>
                </c:pt>
                <c:pt idx="1733">
                  <c:v>1439402</c:v>
                </c:pt>
                <c:pt idx="1734">
                  <c:v>775409</c:v>
                </c:pt>
                <c:pt idx="1735">
                  <c:v>1907410</c:v>
                </c:pt>
                <c:pt idx="1736">
                  <c:v>672790</c:v>
                </c:pt>
                <c:pt idx="1737">
                  <c:v>1228464</c:v>
                </c:pt>
                <c:pt idx="1738">
                  <c:v>1352344</c:v>
                </c:pt>
                <c:pt idx="1739">
                  <c:v>1760597</c:v>
                </c:pt>
                <c:pt idx="1740">
                  <c:v>578930</c:v>
                </c:pt>
                <c:pt idx="1741">
                  <c:v>358701</c:v>
                </c:pt>
                <c:pt idx="1742">
                  <c:v>580469</c:v>
                </c:pt>
                <c:pt idx="1743">
                  <c:v>711455</c:v>
                </c:pt>
                <c:pt idx="1744">
                  <c:v>1597577</c:v>
                </c:pt>
                <c:pt idx="1745">
                  <c:v>676324</c:v>
                </c:pt>
                <c:pt idx="1746">
                  <c:v>437209</c:v>
                </c:pt>
                <c:pt idx="1747">
                  <c:v>582027</c:v>
                </c:pt>
                <c:pt idx="1748">
                  <c:v>379050</c:v>
                </c:pt>
                <c:pt idx="1749">
                  <c:v>1168044</c:v>
                </c:pt>
                <c:pt idx="1750">
                  <c:v>691828</c:v>
                </c:pt>
                <c:pt idx="1751">
                  <c:v>1168044</c:v>
                </c:pt>
                <c:pt idx="1752">
                  <c:v>572793</c:v>
                </c:pt>
                <c:pt idx="1753">
                  <c:v>1442670</c:v>
                </c:pt>
                <c:pt idx="1754">
                  <c:v>1168044</c:v>
                </c:pt>
                <c:pt idx="1755">
                  <c:v>880460</c:v>
                </c:pt>
                <c:pt idx="1756">
                  <c:v>1168044</c:v>
                </c:pt>
                <c:pt idx="1757">
                  <c:v>819128</c:v>
                </c:pt>
                <c:pt idx="1758">
                  <c:v>703950</c:v>
                </c:pt>
                <c:pt idx="1759">
                  <c:v>521512</c:v>
                </c:pt>
                <c:pt idx="1760">
                  <c:v>1043024</c:v>
                </c:pt>
                <c:pt idx="1761">
                  <c:v>1077528</c:v>
                </c:pt>
                <c:pt idx="1762">
                  <c:v>705394</c:v>
                </c:pt>
                <c:pt idx="1763">
                  <c:v>410020</c:v>
                </c:pt>
                <c:pt idx="1764">
                  <c:v>1168044</c:v>
                </c:pt>
                <c:pt idx="1765">
                  <c:v>480415</c:v>
                </c:pt>
                <c:pt idx="1766">
                  <c:v>1168044</c:v>
                </c:pt>
                <c:pt idx="1767">
                  <c:v>1438680</c:v>
                </c:pt>
                <c:pt idx="1768">
                  <c:v>185782</c:v>
                </c:pt>
                <c:pt idx="1769">
                  <c:v>808583</c:v>
                </c:pt>
                <c:pt idx="1770">
                  <c:v>843771</c:v>
                </c:pt>
                <c:pt idx="1771">
                  <c:v>1168044</c:v>
                </c:pt>
                <c:pt idx="1772">
                  <c:v>3163215</c:v>
                </c:pt>
                <c:pt idx="1773">
                  <c:v>905521</c:v>
                </c:pt>
                <c:pt idx="1774">
                  <c:v>796499</c:v>
                </c:pt>
                <c:pt idx="1775">
                  <c:v>1221662</c:v>
                </c:pt>
                <c:pt idx="1776">
                  <c:v>629850</c:v>
                </c:pt>
                <c:pt idx="1777">
                  <c:v>2467530</c:v>
                </c:pt>
                <c:pt idx="1778">
                  <c:v>1766012</c:v>
                </c:pt>
                <c:pt idx="1779">
                  <c:v>1168044</c:v>
                </c:pt>
                <c:pt idx="1780">
                  <c:v>497306</c:v>
                </c:pt>
                <c:pt idx="1781">
                  <c:v>928720</c:v>
                </c:pt>
                <c:pt idx="1782">
                  <c:v>866799</c:v>
                </c:pt>
                <c:pt idx="1783">
                  <c:v>866799</c:v>
                </c:pt>
                <c:pt idx="1784">
                  <c:v>721601</c:v>
                </c:pt>
                <c:pt idx="1785">
                  <c:v>1168044</c:v>
                </c:pt>
                <c:pt idx="1786">
                  <c:v>1107396</c:v>
                </c:pt>
                <c:pt idx="1787">
                  <c:v>742520</c:v>
                </c:pt>
                <c:pt idx="1788">
                  <c:v>1731242</c:v>
                </c:pt>
                <c:pt idx="1789">
                  <c:v>1168044</c:v>
                </c:pt>
                <c:pt idx="1790">
                  <c:v>655899</c:v>
                </c:pt>
                <c:pt idx="1791">
                  <c:v>1518176</c:v>
                </c:pt>
                <c:pt idx="1792">
                  <c:v>537472</c:v>
                </c:pt>
                <c:pt idx="1793">
                  <c:v>670985</c:v>
                </c:pt>
                <c:pt idx="1794">
                  <c:v>1168044</c:v>
                </c:pt>
                <c:pt idx="1795">
                  <c:v>1465698</c:v>
                </c:pt>
                <c:pt idx="1796">
                  <c:v>965105</c:v>
                </c:pt>
                <c:pt idx="1797">
                  <c:v>1964429</c:v>
                </c:pt>
                <c:pt idx="1798">
                  <c:v>674044</c:v>
                </c:pt>
                <c:pt idx="1799">
                  <c:v>531734</c:v>
                </c:pt>
                <c:pt idx="1800">
                  <c:v>1871310</c:v>
                </c:pt>
                <c:pt idx="1801">
                  <c:v>583224</c:v>
                </c:pt>
                <c:pt idx="1802">
                  <c:v>1225006</c:v>
                </c:pt>
                <c:pt idx="1803">
                  <c:v>2247396</c:v>
                </c:pt>
                <c:pt idx="1804">
                  <c:v>468255</c:v>
                </c:pt>
                <c:pt idx="1805">
                  <c:v>778145</c:v>
                </c:pt>
                <c:pt idx="1806">
                  <c:v>1168044</c:v>
                </c:pt>
                <c:pt idx="1807">
                  <c:v>529872</c:v>
                </c:pt>
                <c:pt idx="1808">
                  <c:v>1045285</c:v>
                </c:pt>
                <c:pt idx="1809">
                  <c:v>584288</c:v>
                </c:pt>
                <c:pt idx="1810">
                  <c:v>1168044</c:v>
                </c:pt>
                <c:pt idx="1811">
                  <c:v>2431962</c:v>
                </c:pt>
                <c:pt idx="1812">
                  <c:v>868224</c:v>
                </c:pt>
                <c:pt idx="1813">
                  <c:v>1022523</c:v>
                </c:pt>
                <c:pt idx="1814">
                  <c:v>1168044</c:v>
                </c:pt>
                <c:pt idx="1815">
                  <c:v>787626</c:v>
                </c:pt>
                <c:pt idx="1816">
                  <c:v>1141710</c:v>
                </c:pt>
                <c:pt idx="1817">
                  <c:v>347035</c:v>
                </c:pt>
                <c:pt idx="1818">
                  <c:v>934800</c:v>
                </c:pt>
                <c:pt idx="1819">
                  <c:v>840731</c:v>
                </c:pt>
                <c:pt idx="1820">
                  <c:v>567606</c:v>
                </c:pt>
                <c:pt idx="1821">
                  <c:v>3035725</c:v>
                </c:pt>
                <c:pt idx="1822">
                  <c:v>1156150</c:v>
                </c:pt>
                <c:pt idx="1823">
                  <c:v>1634627</c:v>
                </c:pt>
                <c:pt idx="1824">
                  <c:v>1359792</c:v>
                </c:pt>
                <c:pt idx="1825">
                  <c:v>572451</c:v>
                </c:pt>
                <c:pt idx="1826">
                  <c:v>1383599</c:v>
                </c:pt>
                <c:pt idx="1827">
                  <c:v>1858010</c:v>
                </c:pt>
                <c:pt idx="1828">
                  <c:v>761520</c:v>
                </c:pt>
                <c:pt idx="1829">
                  <c:v>946295</c:v>
                </c:pt>
                <c:pt idx="1830">
                  <c:v>562685</c:v>
                </c:pt>
                <c:pt idx="1831">
                  <c:v>2317392</c:v>
                </c:pt>
                <c:pt idx="1832">
                  <c:v>918194</c:v>
                </c:pt>
                <c:pt idx="1833">
                  <c:v>1166296</c:v>
                </c:pt>
                <c:pt idx="1834">
                  <c:v>1542192</c:v>
                </c:pt>
                <c:pt idx="1835">
                  <c:v>758024</c:v>
                </c:pt>
                <c:pt idx="1836">
                  <c:v>2062260</c:v>
                </c:pt>
                <c:pt idx="1837">
                  <c:v>2408554</c:v>
                </c:pt>
                <c:pt idx="1838">
                  <c:v>561222</c:v>
                </c:pt>
                <c:pt idx="1839">
                  <c:v>852188</c:v>
                </c:pt>
                <c:pt idx="1840">
                  <c:v>1499176</c:v>
                </c:pt>
                <c:pt idx="1841">
                  <c:v>571995</c:v>
                </c:pt>
                <c:pt idx="1842">
                  <c:v>217911</c:v>
                </c:pt>
                <c:pt idx="1843">
                  <c:v>719910</c:v>
                </c:pt>
                <c:pt idx="1844">
                  <c:v>630268</c:v>
                </c:pt>
                <c:pt idx="1845">
                  <c:v>618089</c:v>
                </c:pt>
                <c:pt idx="1846">
                  <c:v>1168044</c:v>
                </c:pt>
                <c:pt idx="1847">
                  <c:v>1168044</c:v>
                </c:pt>
                <c:pt idx="1848">
                  <c:v>905160</c:v>
                </c:pt>
                <c:pt idx="1849">
                  <c:v>753692</c:v>
                </c:pt>
                <c:pt idx="1850">
                  <c:v>1168044</c:v>
                </c:pt>
                <c:pt idx="1851">
                  <c:v>463657</c:v>
                </c:pt>
                <c:pt idx="1852">
                  <c:v>679896</c:v>
                </c:pt>
                <c:pt idx="1853">
                  <c:v>1168044</c:v>
                </c:pt>
                <c:pt idx="1854">
                  <c:v>785707</c:v>
                </c:pt>
                <c:pt idx="1855">
                  <c:v>3336970</c:v>
                </c:pt>
                <c:pt idx="1856">
                  <c:v>761900</c:v>
                </c:pt>
                <c:pt idx="1857">
                  <c:v>777822</c:v>
                </c:pt>
                <c:pt idx="1858">
                  <c:v>1347955</c:v>
                </c:pt>
                <c:pt idx="1859">
                  <c:v>1168044</c:v>
                </c:pt>
                <c:pt idx="1860">
                  <c:v>1022846</c:v>
                </c:pt>
                <c:pt idx="1861">
                  <c:v>835943</c:v>
                </c:pt>
                <c:pt idx="1862">
                  <c:v>1223771</c:v>
                </c:pt>
                <c:pt idx="1863">
                  <c:v>1264279</c:v>
                </c:pt>
                <c:pt idx="1864">
                  <c:v>434853</c:v>
                </c:pt>
                <c:pt idx="1865">
                  <c:v>927523</c:v>
                </c:pt>
                <c:pt idx="1866">
                  <c:v>1067154</c:v>
                </c:pt>
                <c:pt idx="1867">
                  <c:v>1524313</c:v>
                </c:pt>
                <c:pt idx="1868">
                  <c:v>1305927</c:v>
                </c:pt>
                <c:pt idx="1869">
                  <c:v>1118948</c:v>
                </c:pt>
                <c:pt idx="1870">
                  <c:v>1168044</c:v>
                </c:pt>
                <c:pt idx="1871">
                  <c:v>1620681</c:v>
                </c:pt>
                <c:pt idx="1872">
                  <c:v>1168044</c:v>
                </c:pt>
                <c:pt idx="1873">
                  <c:v>1133274</c:v>
                </c:pt>
                <c:pt idx="1874">
                  <c:v>543837</c:v>
                </c:pt>
                <c:pt idx="1875">
                  <c:v>280706</c:v>
                </c:pt>
                <c:pt idx="1876">
                  <c:v>1168044</c:v>
                </c:pt>
                <c:pt idx="1877">
                  <c:v>784833</c:v>
                </c:pt>
                <c:pt idx="1878">
                  <c:v>765833</c:v>
                </c:pt>
                <c:pt idx="1879">
                  <c:v>311372</c:v>
                </c:pt>
                <c:pt idx="1880">
                  <c:v>1337353</c:v>
                </c:pt>
                <c:pt idx="1881">
                  <c:v>606290</c:v>
                </c:pt>
                <c:pt idx="1882">
                  <c:v>1633202</c:v>
                </c:pt>
                <c:pt idx="1883">
                  <c:v>1168044</c:v>
                </c:pt>
                <c:pt idx="1884">
                  <c:v>233681</c:v>
                </c:pt>
                <c:pt idx="1885">
                  <c:v>1205322</c:v>
                </c:pt>
                <c:pt idx="1886">
                  <c:v>936605</c:v>
                </c:pt>
                <c:pt idx="1887">
                  <c:v>936130</c:v>
                </c:pt>
                <c:pt idx="1888">
                  <c:v>649249</c:v>
                </c:pt>
                <c:pt idx="1889">
                  <c:v>982167</c:v>
                </c:pt>
                <c:pt idx="1890">
                  <c:v>1168272</c:v>
                </c:pt>
                <c:pt idx="1891">
                  <c:v>892164</c:v>
                </c:pt>
                <c:pt idx="1892">
                  <c:v>1288523</c:v>
                </c:pt>
                <c:pt idx="1893">
                  <c:v>866476</c:v>
                </c:pt>
                <c:pt idx="1894">
                  <c:v>699124</c:v>
                </c:pt>
                <c:pt idx="1895">
                  <c:v>654227</c:v>
                </c:pt>
                <c:pt idx="1896">
                  <c:v>1380160</c:v>
                </c:pt>
                <c:pt idx="1897">
                  <c:v>582825</c:v>
                </c:pt>
                <c:pt idx="1898">
                  <c:v>914014</c:v>
                </c:pt>
                <c:pt idx="1899">
                  <c:v>846431</c:v>
                </c:pt>
                <c:pt idx="1900">
                  <c:v>1168044</c:v>
                </c:pt>
                <c:pt idx="1901">
                  <c:v>807576</c:v>
                </c:pt>
                <c:pt idx="1902">
                  <c:v>751108</c:v>
                </c:pt>
                <c:pt idx="1903">
                  <c:v>751108</c:v>
                </c:pt>
                <c:pt idx="1904">
                  <c:v>1115699</c:v>
                </c:pt>
                <c:pt idx="1905">
                  <c:v>1198387</c:v>
                </c:pt>
                <c:pt idx="1906">
                  <c:v>773072</c:v>
                </c:pt>
                <c:pt idx="1907">
                  <c:v>1168044</c:v>
                </c:pt>
                <c:pt idx="1908">
                  <c:v>1168044</c:v>
                </c:pt>
                <c:pt idx="1909">
                  <c:v>1124040</c:v>
                </c:pt>
                <c:pt idx="1910">
                  <c:v>908010</c:v>
                </c:pt>
                <c:pt idx="1911">
                  <c:v>1312045</c:v>
                </c:pt>
                <c:pt idx="1912">
                  <c:v>564414</c:v>
                </c:pt>
                <c:pt idx="1913">
                  <c:v>1142622</c:v>
                </c:pt>
                <c:pt idx="1914">
                  <c:v>693234</c:v>
                </c:pt>
                <c:pt idx="1915">
                  <c:v>1674945</c:v>
                </c:pt>
                <c:pt idx="1916">
                  <c:v>1839048</c:v>
                </c:pt>
                <c:pt idx="1917">
                  <c:v>222718</c:v>
                </c:pt>
                <c:pt idx="1918">
                  <c:v>1520209</c:v>
                </c:pt>
                <c:pt idx="1919">
                  <c:v>938315</c:v>
                </c:pt>
                <c:pt idx="1920">
                  <c:v>992047</c:v>
                </c:pt>
                <c:pt idx="1921">
                  <c:v>1263785</c:v>
                </c:pt>
                <c:pt idx="1922">
                  <c:v>738245</c:v>
                </c:pt>
                <c:pt idx="1923">
                  <c:v>1320557</c:v>
                </c:pt>
                <c:pt idx="1924">
                  <c:v>2299836</c:v>
                </c:pt>
                <c:pt idx="1925">
                  <c:v>873031</c:v>
                </c:pt>
                <c:pt idx="1926">
                  <c:v>720119</c:v>
                </c:pt>
                <c:pt idx="1927">
                  <c:v>1750280</c:v>
                </c:pt>
                <c:pt idx="1928">
                  <c:v>1008748</c:v>
                </c:pt>
                <c:pt idx="1929">
                  <c:v>1136238</c:v>
                </c:pt>
                <c:pt idx="1930">
                  <c:v>1453937</c:v>
                </c:pt>
                <c:pt idx="1931">
                  <c:v>386118</c:v>
                </c:pt>
                <c:pt idx="1932">
                  <c:v>1205683</c:v>
                </c:pt>
                <c:pt idx="1933">
                  <c:v>1168044</c:v>
                </c:pt>
                <c:pt idx="1934">
                  <c:v>1168044</c:v>
                </c:pt>
                <c:pt idx="1935">
                  <c:v>1509721</c:v>
                </c:pt>
                <c:pt idx="1936">
                  <c:v>1168044</c:v>
                </c:pt>
                <c:pt idx="1937">
                  <c:v>571539</c:v>
                </c:pt>
                <c:pt idx="1938">
                  <c:v>813903</c:v>
                </c:pt>
                <c:pt idx="1939">
                  <c:v>794960</c:v>
                </c:pt>
                <c:pt idx="1940">
                  <c:v>767752</c:v>
                </c:pt>
                <c:pt idx="1941">
                  <c:v>1168044</c:v>
                </c:pt>
                <c:pt idx="1942">
                  <c:v>1514224</c:v>
                </c:pt>
                <c:pt idx="1943">
                  <c:v>990223</c:v>
                </c:pt>
                <c:pt idx="1944">
                  <c:v>936130</c:v>
                </c:pt>
                <c:pt idx="1945">
                  <c:v>1168044</c:v>
                </c:pt>
                <c:pt idx="1946">
                  <c:v>1168044</c:v>
                </c:pt>
                <c:pt idx="1947">
                  <c:v>1168044</c:v>
                </c:pt>
                <c:pt idx="1948">
                  <c:v>577467</c:v>
                </c:pt>
                <c:pt idx="1949">
                  <c:v>1168044</c:v>
                </c:pt>
                <c:pt idx="1950">
                  <c:v>944775</c:v>
                </c:pt>
                <c:pt idx="1951">
                  <c:v>777556</c:v>
                </c:pt>
                <c:pt idx="1952">
                  <c:v>1815469</c:v>
                </c:pt>
                <c:pt idx="1953">
                  <c:v>969513</c:v>
                </c:pt>
                <c:pt idx="1954">
                  <c:v>1306991</c:v>
                </c:pt>
                <c:pt idx="1955">
                  <c:v>1530108</c:v>
                </c:pt>
                <c:pt idx="1956">
                  <c:v>461928</c:v>
                </c:pt>
                <c:pt idx="1957">
                  <c:v>1087009</c:v>
                </c:pt>
                <c:pt idx="1958">
                  <c:v>1903420</c:v>
                </c:pt>
                <c:pt idx="1959">
                  <c:v>579899</c:v>
                </c:pt>
                <c:pt idx="1960">
                  <c:v>1483520</c:v>
                </c:pt>
                <c:pt idx="1961">
                  <c:v>1143610</c:v>
                </c:pt>
                <c:pt idx="1962">
                  <c:v>653144</c:v>
                </c:pt>
                <c:pt idx="1963">
                  <c:v>835620</c:v>
                </c:pt>
                <c:pt idx="1964">
                  <c:v>1065786</c:v>
                </c:pt>
                <c:pt idx="1965">
                  <c:v>1331064</c:v>
                </c:pt>
                <c:pt idx="1966">
                  <c:v>1168044</c:v>
                </c:pt>
                <c:pt idx="1967">
                  <c:v>1831182</c:v>
                </c:pt>
                <c:pt idx="1968">
                  <c:v>1823715</c:v>
                </c:pt>
                <c:pt idx="1969">
                  <c:v>1215126</c:v>
                </c:pt>
                <c:pt idx="1970">
                  <c:v>624929</c:v>
                </c:pt>
                <c:pt idx="1971">
                  <c:v>2197901</c:v>
                </c:pt>
                <c:pt idx="1972">
                  <c:v>1168044</c:v>
                </c:pt>
                <c:pt idx="1973">
                  <c:v>742976</c:v>
                </c:pt>
                <c:pt idx="1974">
                  <c:v>1168044</c:v>
                </c:pt>
                <c:pt idx="1975">
                  <c:v>563844</c:v>
                </c:pt>
                <c:pt idx="1976">
                  <c:v>1168044</c:v>
                </c:pt>
                <c:pt idx="1977">
                  <c:v>1059497</c:v>
                </c:pt>
                <c:pt idx="1978">
                  <c:v>1168044</c:v>
                </c:pt>
                <c:pt idx="1979">
                  <c:v>1168044</c:v>
                </c:pt>
                <c:pt idx="1980">
                  <c:v>687420</c:v>
                </c:pt>
                <c:pt idx="1981">
                  <c:v>719549</c:v>
                </c:pt>
                <c:pt idx="1982">
                  <c:v>1168044</c:v>
                </c:pt>
                <c:pt idx="1983">
                  <c:v>1926467</c:v>
                </c:pt>
                <c:pt idx="1984">
                  <c:v>1828009</c:v>
                </c:pt>
                <c:pt idx="1985">
                  <c:v>867749</c:v>
                </c:pt>
                <c:pt idx="1986">
                  <c:v>622041</c:v>
                </c:pt>
                <c:pt idx="1987">
                  <c:v>1520608</c:v>
                </c:pt>
                <c:pt idx="1988">
                  <c:v>456589</c:v>
                </c:pt>
                <c:pt idx="1989">
                  <c:v>897769</c:v>
                </c:pt>
                <c:pt idx="1990">
                  <c:v>456646</c:v>
                </c:pt>
                <c:pt idx="1991">
                  <c:v>1168044</c:v>
                </c:pt>
                <c:pt idx="1992">
                  <c:v>1168044</c:v>
                </c:pt>
                <c:pt idx="1993">
                  <c:v>1168044</c:v>
                </c:pt>
                <c:pt idx="1994">
                  <c:v>2055515</c:v>
                </c:pt>
                <c:pt idx="1995">
                  <c:v>1168044</c:v>
                </c:pt>
                <c:pt idx="1996">
                  <c:v>700967</c:v>
                </c:pt>
                <c:pt idx="1997">
                  <c:v>1586253</c:v>
                </c:pt>
                <c:pt idx="1998">
                  <c:v>1168044</c:v>
                </c:pt>
                <c:pt idx="1999">
                  <c:v>1042929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9-9D4A-95B4-7115CBD3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54496"/>
        <c:axId val="2051656144"/>
      </c:scatterChart>
      <c:valAx>
        <c:axId val="20516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656144"/>
        <c:crosses val="autoZero"/>
        <c:crossBetween val="midCat"/>
      </c:valAx>
      <c:valAx>
        <c:axId val="20516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6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163285</xdr:colOff>
      <xdr:row>39</xdr:row>
      <xdr:rowOff>4234</xdr:rowOff>
    </xdr:from>
    <xdr:to>
      <xdr:col>36</xdr:col>
      <xdr:colOff>698500</xdr:colOff>
      <xdr:row>52</xdr:row>
      <xdr:rowOff>192315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7EB5E1-E29C-B249-8FA0-394C8991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75.644215277774" createdVersion="7" refreshedVersion="7" minRefreshableVersion="3" recordCount="2000" xr:uid="{B5224C57-D3B1-B14F-9473-6C3A5BDE8FC7}">
  <cacheSource type="worksheet">
    <worksheetSource name="Таблица1"/>
  </cacheSource>
  <cacheFields count="24">
    <cacheField name="Номер  договора" numFmtId="0">
      <sharedItems containsSemiMixedTypes="0" containsString="0" containsNumber="1" containsInteger="1" minValue="1" maxValue="2000"/>
    </cacheField>
    <cacheField name="Идентификатор клиента" numFmtId="0">
      <sharedItems/>
    </cacheField>
    <cacheField name="Статус кредита" numFmtId="0">
      <sharedItems count="2">
        <s v="погашен"/>
        <s v="не погашен"/>
      </sharedItems>
    </cacheField>
    <cacheField name="Срок кредита" numFmtId="0">
      <sharedItems count="2">
        <s v="долгосрочный"/>
        <s v="краткосрочный"/>
      </sharedItems>
    </cacheField>
    <cacheField name="Стаж работы на текущем месте" numFmtId="0">
      <sharedItems count="11">
        <s v="4 года"/>
        <s v="10+ лет"/>
        <s v="5 лет"/>
        <s v="2 года"/>
        <s v="9 лет"/>
        <s v="&lt; 1 года"/>
        <s v="3 года"/>
        <s v="1 год"/>
        <s v="6 лет"/>
        <s v="7 лет"/>
        <s v="8 лет"/>
      </sharedItems>
    </cacheField>
    <cacheField name="Недвижимость" numFmtId="0">
      <sharedItems/>
    </cacheField>
    <cacheField name="Цель кредита" numFmtId="0">
      <sharedItems/>
    </cacheField>
    <cacheField name="Размер кредита" numFmtId="164">
      <sharedItems containsSemiMixedTypes="0" containsString="0" containsNumber="1" minValue="21824" maxValue="789096"/>
    </cacheField>
    <cacheField name="Кредитный рейтинг" numFmtId="2">
      <sharedItems containsSemiMixedTypes="0" containsString="0" containsNumber="1" containsInteger="1" minValue="0" maxValue="751"/>
    </cacheField>
    <cacheField name="Годовой доход" numFmtId="2">
      <sharedItems containsSemiMixedTypes="0" containsString="0" containsNumber="1" containsInteger="1" minValue="185782" maxValue="9057984"/>
    </cacheField>
    <cacheField name="Ежемесячный платеж" numFmtId="2">
      <sharedItems containsSemiMixedTypes="0" containsString="0" containsNumber="1" minValue="0" maxValue="105676.48"/>
    </cacheField>
    <cacheField name="Срок кредитной истории (лет)" numFmtId="2">
      <sharedItems containsSemiMixedTypes="0" containsString="0" containsNumber="1" minValue="4.5" maxValue="50.1"/>
    </cacheField>
    <cacheField name="Срок с последнего нарушения кредитного договора (мес,)" numFmtId="165">
      <sharedItems containsSemiMixedTypes="0" containsString="0" containsNumber="1" minValue="0" maxValue="88"/>
    </cacheField>
    <cacheField name="Количество кредитных карт" numFmtId="2">
      <sharedItems containsSemiMixedTypes="0" containsString="0" containsNumber="1" containsInteger="1" minValue="1" maxValue="43"/>
    </cacheField>
    <cacheField name="Текущий баланс кредитов" numFmtId="2">
      <sharedItems containsSemiMixedTypes="0" containsString="0" containsNumber="1" containsInteger="1" minValue="0" maxValue="5246261"/>
    </cacheField>
    <cacheField name="Максимальный выданный кредит" numFmtId="2">
      <sharedItems containsSemiMixedTypes="0" containsString="0" containsNumber="1" containsInteger="1" minValue="0" maxValue="145907344"/>
    </cacheField>
    <cacheField name="Число нарушений кредитных договоров" numFmtId="1">
      <sharedItems containsSemiMixedTypes="0" containsString="0" containsNumber="1" containsInteger="1" minValue="0" maxValue="7"/>
    </cacheField>
    <cacheField name="Z РК" numFmtId="2">
      <sharedItems containsSemiMixedTypes="0" containsString="0" containsNumber="1" minValue="-1.6383584311131878" maxValue="2.7299365938301339"/>
    </cacheField>
    <cacheField name="min max КР" numFmtId="2">
      <sharedItems containsSemiMixedTypes="0" containsString="0" containsNumber="1" minValue="0" maxValue="1"/>
    </cacheField>
    <cacheField name="min max Посл нар" numFmtId="2">
      <sharedItems containsSemiMixedTypes="0" containsString="0" containsNumber="1" minValue="0" maxValue="1"/>
    </cacheField>
    <cacheField name="min max Кол кр карт" numFmtId="2">
      <sharedItems containsSemiMixedTypes="0" containsString="0" containsNumber="1" minValue="0" maxValue="1"/>
    </cacheField>
    <cacheField name="min max Число нар кред дог" numFmtId="2">
      <sharedItems containsSemiMixedTypes="0" containsString="0" containsNumber="1" minValue="0" maxValue="1"/>
    </cacheField>
    <cacheField name="Ежем доход" numFmtId="2">
      <sharedItems containsSemiMixedTypes="0" containsString="0" containsNumber="1" minValue="15481.833333333334" maxValue="754832"/>
    </cacheField>
    <cacheField name="Доля ежем плат/ежем доход" numFmtId="2">
      <sharedItems containsSemiMixedTypes="0" containsString="0" containsNumber="1" minValue="0" maxValue="1.0034315830568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595"/>
    <s v="4b0ad1aa-c7c6-40fb-ba30-4c19c5fd9508"/>
    <x v="0"/>
    <x v="0"/>
    <x v="0"/>
    <s v="в ипотеке"/>
    <s v="ремонт жилья"/>
    <n v="777084"/>
    <n v="725"/>
    <n v="3355970"/>
    <n v="26623.94"/>
    <n v="26.7"/>
    <n v="35.265240640000002"/>
    <n v="13"/>
    <n v="3276284"/>
    <n v="145907344"/>
    <n v="0"/>
    <n v="2.661548903624289"/>
    <n v="0.96537949400798939"/>
    <n v="0.40074137090909095"/>
    <n v="0.2857142857142857"/>
    <n v="0"/>
    <n v="279664.16666666669"/>
    <n v="9.5199682953065717E-2"/>
  </r>
  <r>
    <n v="1900"/>
    <s v="b701c72f-a67a-4bb0-85b0-a48287ab8e9f"/>
    <x v="1"/>
    <x v="1"/>
    <x v="1"/>
    <s v="в ипотеке"/>
    <s v="ремонт жилья"/>
    <n v="326084"/>
    <n v="0"/>
    <n v="1168044"/>
    <n v="15112.98"/>
    <n v="46.2"/>
    <n v="35.265240640000002"/>
    <n v="13"/>
    <n v="677445"/>
    <n v="71309216"/>
    <n v="0"/>
    <n v="9.3879216408493088E-2"/>
    <n v="0"/>
    <n v="0.40074137090909095"/>
    <n v="0.2857142857142857"/>
    <n v="0"/>
    <n v="97337"/>
    <n v="0.15526449346086277"/>
  </r>
  <r>
    <n v="1921"/>
    <s v="b5122a31-c91e-461d-b678-8215eeacc69c"/>
    <x v="0"/>
    <x v="1"/>
    <x v="1"/>
    <s v="в ипотеке"/>
    <s v="консолидация кредитов"/>
    <n v="133848"/>
    <n v="750"/>
    <n v="2620176"/>
    <n v="6681.54"/>
    <n v="25"/>
    <n v="35.265240640000002"/>
    <n v="14"/>
    <n v="870504"/>
    <n v="14822676"/>
    <n v="0"/>
    <n v="-1.0005743312447568"/>
    <n v="0.99866844207723038"/>
    <n v="0.40074137090909095"/>
    <n v="0.30952380952380953"/>
    <n v="0"/>
    <n v="218348"/>
    <n v="3.0600417681865645E-2"/>
  </r>
  <r>
    <n v="1993"/>
    <s v="c63bc59d-51f1-4534-9288-a10136b48a2f"/>
    <x v="0"/>
    <x v="1"/>
    <x v="2"/>
    <s v="в ипотеке"/>
    <s v="ремонт жилья"/>
    <n v="431420"/>
    <n v="749"/>
    <n v="1490360"/>
    <n v="2744.74"/>
    <n v="30.8"/>
    <n v="35.265240640000002"/>
    <n v="10"/>
    <n v="784871"/>
    <n v="11957990"/>
    <n v="0"/>
    <n v="0.6935866535982117"/>
    <n v="0.99733688415446076"/>
    <n v="0.40074137090909095"/>
    <n v="0.21428571428571427"/>
    <n v="0"/>
    <n v="124196.66666666667"/>
    <n v="2.2099949005609382E-2"/>
  </r>
  <r>
    <n v="64"/>
    <s v="c5e8d25e-4417-4e67-ac03-9d5cf3f903ca"/>
    <x v="0"/>
    <x v="0"/>
    <x v="3"/>
    <s v="в собственности"/>
    <s v="консолидация кредитов"/>
    <n v="602008"/>
    <n v="741"/>
    <n v="2896721"/>
    <n v="48278.62"/>
    <n v="19.600000000000001"/>
    <n v="32"/>
    <n v="17"/>
    <n v="5246261"/>
    <n v="11887678"/>
    <n v="0"/>
    <n v="1.6647920562651035"/>
    <n v="0.98668442077230356"/>
    <n v="0.36363636363636365"/>
    <n v="0.38095238095238093"/>
    <n v="0"/>
    <n v="241393.41666666666"/>
    <n v="0.19999973763438042"/>
  </r>
  <r>
    <n v="379"/>
    <s v="4eb7b183-8053-4d35-b012-7ff377223980"/>
    <x v="0"/>
    <x v="1"/>
    <x v="4"/>
    <s v="в ипотеке"/>
    <s v="ремонт жилья"/>
    <n v="309594.52439999999"/>
    <n v="726"/>
    <n v="2311236"/>
    <n v="35438.99"/>
    <n v="23.9"/>
    <n v="18"/>
    <n v="18"/>
    <n v="3528718"/>
    <n v="10189234"/>
    <n v="0"/>
    <n v="-1.2411115481956205E-10"/>
    <n v="0.96671105193075901"/>
    <n v="0.20454545454545456"/>
    <n v="0.40476190476190477"/>
    <n v="0"/>
    <n v="192603"/>
    <n v="0.18400019729703068"/>
  </r>
  <r>
    <n v="1920"/>
    <s v="5757e8a3-0615-4fb7-9033-7cae3458aa6f"/>
    <x v="0"/>
    <x v="0"/>
    <x v="1"/>
    <s v="в собственности"/>
    <s v="иное"/>
    <n v="450208"/>
    <n v="738"/>
    <n v="4374180"/>
    <n v="44033.45"/>
    <n v="22.6"/>
    <n v="35.265240640000002"/>
    <n v="14"/>
    <n v="2693554"/>
    <n v="6900146"/>
    <n v="0"/>
    <n v="0.80055201520222574"/>
    <n v="0.9826897470039947"/>
    <n v="0.40074137090909095"/>
    <n v="0.30952380952380953"/>
    <n v="0"/>
    <n v="364515"/>
    <n v="0.1208001042481105"/>
  </r>
  <r>
    <n v="854"/>
    <s v="cf0f4b83-0179-4a41-949c-439f147ac49c"/>
    <x v="0"/>
    <x v="1"/>
    <x v="5"/>
    <s v="в ипотеке"/>
    <s v="ремонт жилья"/>
    <n v="309594.52439999999"/>
    <n v="716"/>
    <n v="4379215"/>
    <n v="32114.18"/>
    <n v="26.1"/>
    <n v="5"/>
    <n v="19"/>
    <n v="1959071"/>
    <n v="6164114"/>
    <n v="0"/>
    <n v="-1.2411115481956205E-10"/>
    <n v="0.95339547270306257"/>
    <n v="5.6818181818181816E-2"/>
    <n v="0.42857142857142855"/>
    <n v="0"/>
    <n v="364934.58333333331"/>
    <n v="8.7999826452914515E-2"/>
  </r>
  <r>
    <n v="138"/>
    <s v="1ad6919e-0fe1-4628-94a6-69bbd7cb8edc"/>
    <x v="0"/>
    <x v="1"/>
    <x v="1"/>
    <s v="в собственности"/>
    <s v="консолидация кредитов"/>
    <n v="460152"/>
    <n v="0"/>
    <n v="1168044"/>
    <n v="21330.92"/>
    <n v="20.5"/>
    <n v="6"/>
    <n v="13"/>
    <n v="1220978"/>
    <n v="5396072"/>
    <n v="0"/>
    <n v="0.85716600050083747"/>
    <n v="0"/>
    <n v="6.8181818181818177E-2"/>
    <n v="0.2857142857142857"/>
    <n v="0"/>
    <n v="97337"/>
    <n v="0.2191450322076908"/>
  </r>
  <r>
    <n v="1651"/>
    <s v="5b351e23-f3ca-4a7e-ba50-b2ae9b7071fc"/>
    <x v="1"/>
    <x v="0"/>
    <x v="1"/>
    <s v="в ипотеке"/>
    <s v="консолидация кредитов"/>
    <n v="439868"/>
    <n v="738"/>
    <n v="893855"/>
    <n v="13556.69"/>
    <n v="17.3"/>
    <n v="35.265240640000002"/>
    <n v="5"/>
    <n v="233130"/>
    <n v="5191098"/>
    <n v="0"/>
    <n v="0.74168349066605876"/>
    <n v="0.9826897470039947"/>
    <n v="0.40074137090909095"/>
    <n v="9.5238095238095233E-2"/>
    <n v="0"/>
    <n v="74487.916666666672"/>
    <n v="0.18199851206291848"/>
  </r>
  <r>
    <n v="397"/>
    <s v="a7802168-2b18-49ef-b6a5-a88de894c9b1"/>
    <x v="0"/>
    <x v="1"/>
    <x v="1"/>
    <s v="в ипотеке"/>
    <s v="иное"/>
    <n v="309594.52439999999"/>
    <n v="747"/>
    <n v="1025487"/>
    <n v="16066.02"/>
    <n v="40.299999999999997"/>
    <n v="35.265240640000002"/>
    <n v="24"/>
    <n v="536199"/>
    <n v="4166844"/>
    <n v="0"/>
    <n v="-1.2411115481956205E-10"/>
    <n v="0.9946737683089214"/>
    <n v="0.40074137090909095"/>
    <n v="0.54761904761904767"/>
    <n v="0"/>
    <n v="85457.25"/>
    <n v="0.18800066700016677"/>
  </r>
  <r>
    <n v="93"/>
    <s v="4cc38eb2-c463-493a-82e9-1571bacc69a9"/>
    <x v="0"/>
    <x v="1"/>
    <x v="3"/>
    <s v="в ипотеке"/>
    <s v="консолидация кредитов"/>
    <n v="270116"/>
    <n v="0"/>
    <n v="1168044"/>
    <n v="15649.92"/>
    <n v="31.3"/>
    <n v="35.265240640000002"/>
    <n v="22"/>
    <n v="648850"/>
    <n v="3996322"/>
    <n v="0"/>
    <n v="-0.22476232916599398"/>
    <n v="0"/>
    <n v="0.40074137090909095"/>
    <n v="0.5"/>
    <n v="0"/>
    <n v="97337"/>
    <n v="0.16078079250439195"/>
  </r>
  <r>
    <n v="1801"/>
    <s v="5ce0f793-44ef-494d-8105-5cc4ba5622e2"/>
    <x v="0"/>
    <x v="1"/>
    <x v="1"/>
    <s v="в собственности"/>
    <s v="консолидация кредитов"/>
    <n v="109780"/>
    <n v="748"/>
    <n v="2028934"/>
    <n v="45989.120000000003"/>
    <n v="22.2"/>
    <n v="35.265240640000002"/>
    <n v="12"/>
    <n v="1617375"/>
    <n v="3885398"/>
    <n v="0"/>
    <n v="-1.1376002160161756"/>
    <n v="0.99600532623169102"/>
    <n v="0.40074137090909095"/>
    <n v="0.26190476190476192"/>
    <n v="0"/>
    <n v="169077.83333333334"/>
    <n v="0.27199970033524995"/>
  </r>
  <r>
    <n v="1465"/>
    <s v="4962cffe-c225-4f8c-95b2-7207a1655a4a"/>
    <x v="0"/>
    <x v="0"/>
    <x v="6"/>
    <s v="в ипотеке"/>
    <s v="консолидация кредитов"/>
    <n v="786104"/>
    <n v="701"/>
    <n v="2715594"/>
    <n v="52501.56"/>
    <n v="38"/>
    <n v="35.265240640000002"/>
    <n v="23"/>
    <n v="1762725"/>
    <n v="3836580"/>
    <n v="0"/>
    <n v="2.712902297368605"/>
    <n v="0.93342210386151803"/>
    <n v="0.40074137090909095"/>
    <n v="0.52380952380952384"/>
    <n v="0"/>
    <n v="226299.5"/>
    <n v="0.23200033583812602"/>
  </r>
  <r>
    <n v="1316"/>
    <s v="8e31da98-a5d1-43a4-bd7d-08d389ccd9aa"/>
    <x v="0"/>
    <x v="1"/>
    <x v="2"/>
    <s v="в аренде"/>
    <s v="консолидация кредитов"/>
    <n v="324258"/>
    <n v="735"/>
    <n v="2427022"/>
    <n v="34180.43"/>
    <n v="17.7"/>
    <n v="20"/>
    <n v="20"/>
    <n v="2682306"/>
    <n v="3649624"/>
    <n v="0"/>
    <n v="8.3483285479765718E-2"/>
    <n v="0.97869507323568572"/>
    <n v="0.22727272727272727"/>
    <n v="0.45238095238095238"/>
    <n v="0"/>
    <n v="202251.83333333334"/>
    <n v="0.16899935806103117"/>
  </r>
  <r>
    <n v="1761"/>
    <s v="ee8d7b44-2acb-4285-853e-a3d9e4dd01b4"/>
    <x v="0"/>
    <x v="1"/>
    <x v="1"/>
    <s v="в ипотеке"/>
    <s v="консолидация кредитов"/>
    <n v="626098"/>
    <n v="748"/>
    <n v="2413950"/>
    <n v="21323.32"/>
    <n v="39.6"/>
    <n v="35.265240640000002"/>
    <n v="27"/>
    <n v="1261334"/>
    <n v="3502400"/>
    <n v="0"/>
    <n v="1.8019431932163861"/>
    <n v="0.99600532623169102"/>
    <n v="0.40074137090909095"/>
    <n v="0.61904761904761907"/>
    <n v="0"/>
    <n v="201162.5"/>
    <n v="0.10600047225501771"/>
  </r>
  <r>
    <n v="663"/>
    <s v="ca09fedb-53b7-445c-be75-58eeaf0317a5"/>
    <x v="1"/>
    <x v="0"/>
    <x v="1"/>
    <s v="в ипотеке"/>
    <s v="консолидация кредитов"/>
    <n v="660924"/>
    <n v="0"/>
    <n v="1168044"/>
    <n v="23848.23"/>
    <n v="23.6"/>
    <n v="48"/>
    <n v="18"/>
    <n v="1964923"/>
    <n v="3321406"/>
    <n v="0"/>
    <n v="2.0002173939413912"/>
    <n v="0"/>
    <n v="0.54545454545454541"/>
    <n v="0.40476190476190477"/>
    <n v="0"/>
    <n v="97337"/>
    <n v="0.24500683193441342"/>
  </r>
  <r>
    <n v="1703"/>
    <s v="b1b25b17-bfbe-450f-911b-0f187ae6abf2"/>
    <x v="0"/>
    <x v="1"/>
    <x v="1"/>
    <s v="в ипотеке"/>
    <s v="консолидация кредитов"/>
    <n v="520608"/>
    <n v="748"/>
    <n v="1386316"/>
    <n v="23913.97"/>
    <n v="29"/>
    <n v="40"/>
    <n v="25"/>
    <n v="674918"/>
    <n v="3256132"/>
    <n v="0"/>
    <n v="1.2013589907676183"/>
    <n v="0.99600532623169102"/>
    <n v="0.45454545454545453"/>
    <n v="0.5714285714285714"/>
    <n v="0"/>
    <n v="115526.33333333333"/>
    <n v="0.20700016446466751"/>
  </r>
  <r>
    <n v="1855"/>
    <s v="c06a4fdd-4893-49a3-bf19-b9af1d23e97f"/>
    <x v="0"/>
    <x v="1"/>
    <x v="1"/>
    <s v="в ипотеке"/>
    <s v="приобретение автомобиля"/>
    <n v="174284"/>
    <n v="751"/>
    <n v="1625678"/>
    <n v="9916.67"/>
    <n v="34.200000000000003"/>
    <n v="35.265240640000002"/>
    <n v="17"/>
    <n v="145559"/>
    <n v="3064402"/>
    <n v="0"/>
    <n v="-0.7703608246543846"/>
    <n v="1"/>
    <n v="0.40074137090909095"/>
    <n v="0.38095238095238093"/>
    <n v="0"/>
    <n v="135473.16666666666"/>
    <n v="7.320025244851687E-2"/>
  </r>
  <r>
    <n v="1231"/>
    <s v="1042c873-8a49-420f-b62a-08dfcc71cb5e"/>
    <x v="0"/>
    <x v="0"/>
    <x v="7"/>
    <s v="в ипотеке"/>
    <s v="консолидация кредитов"/>
    <n v="761222"/>
    <n v="678"/>
    <n v="3287095"/>
    <n v="48758.559999999998"/>
    <n v="28.4"/>
    <n v="35.265240640000002"/>
    <n v="24"/>
    <n v="1740609"/>
    <n v="2883320"/>
    <n v="0"/>
    <n v="2.5712420819422115"/>
    <n v="0.90279627163781628"/>
    <n v="0.40074137090909095"/>
    <n v="0.54761904761904767"/>
    <n v="0"/>
    <n v="273924.58333333331"/>
    <n v="0.17799994219820237"/>
  </r>
  <r>
    <n v="1841"/>
    <s v="5ba3fc10-5312-4a91-8c35-6c4742c04b4a"/>
    <x v="0"/>
    <x v="0"/>
    <x v="5"/>
    <s v="в ипотеке"/>
    <s v="бизнес"/>
    <n v="176660"/>
    <n v="705"/>
    <n v="1844444"/>
    <n v="23347.58"/>
    <n v="28.9"/>
    <n v="14"/>
    <n v="16"/>
    <n v="1009394"/>
    <n v="2850672"/>
    <n v="0"/>
    <n v="-0.75683358922905253"/>
    <n v="0.93874833555259651"/>
    <n v="0.15909090909090909"/>
    <n v="0.35714285714285715"/>
    <n v="0"/>
    <n v="153703.66666666666"/>
    <n v="0.15189995467468789"/>
  </r>
  <r>
    <n v="1905"/>
    <s v="39e68e74-15af-406c-a32f-6a4546a90154"/>
    <x v="0"/>
    <x v="1"/>
    <x v="1"/>
    <s v="в ипотеке"/>
    <s v="консолидация кредитов"/>
    <n v="687170"/>
    <n v="734"/>
    <n v="2132788"/>
    <n v="58829.13"/>
    <n v="18.5"/>
    <n v="69"/>
    <n v="20"/>
    <n v="826804"/>
    <n v="2849242"/>
    <n v="0"/>
    <n v="2.1496432445193641"/>
    <n v="0.9773635153129161"/>
    <n v="0.78409090909090906"/>
    <n v="0.45238095238095238"/>
    <n v="0"/>
    <n v="177732.33333333334"/>
    <n v="0.33099846773331432"/>
  </r>
  <r>
    <n v="1614"/>
    <s v="7d960bb3-0274-4b69-9d07-11e7af87ba70"/>
    <x v="0"/>
    <x v="0"/>
    <x v="1"/>
    <s v="в ипотеке"/>
    <s v="консолидация кредитов"/>
    <n v="540518"/>
    <n v="687"/>
    <n v="1556024"/>
    <n v="27360.19"/>
    <n v="14.6"/>
    <n v="35.265240640000002"/>
    <n v="10"/>
    <n v="2114738"/>
    <n v="2817760"/>
    <n v="0"/>
    <n v="1.3147122135447058"/>
    <n v="0.91478029294274299"/>
    <n v="0.40074137090909095"/>
    <n v="0.21428571428571427"/>
    <n v="0"/>
    <n v="129668.66666666667"/>
    <n v="0.21100078147894891"/>
  </r>
  <r>
    <n v="734"/>
    <s v="057a4126-5b06-4b0a-8d3e-37c272cd2003"/>
    <x v="0"/>
    <x v="1"/>
    <x v="8"/>
    <s v="в ипотеке"/>
    <s v="консолидация кредитов"/>
    <n v="395846"/>
    <n v="751"/>
    <n v="3228708"/>
    <n v="31749"/>
    <n v="18.2"/>
    <n v="35.265240640000002"/>
    <n v="13"/>
    <n v="817589"/>
    <n v="2674232"/>
    <n v="0"/>
    <n v="0.49105387875782425"/>
    <n v="1"/>
    <n v="0.40074137090909095"/>
    <n v="0.2857142857142857"/>
    <n v="0"/>
    <n v="269059"/>
    <n v="0.11800014123296378"/>
  </r>
  <r>
    <n v="540"/>
    <s v="3219b489-52ab-4f25-81e7-cbd0fb6b1191"/>
    <x v="0"/>
    <x v="0"/>
    <x v="1"/>
    <s v="в ипотеке"/>
    <s v="консолидация кредитов"/>
    <n v="436524"/>
    <n v="0"/>
    <n v="1168044"/>
    <n v="11100.18"/>
    <n v="20"/>
    <n v="7"/>
    <n v="17"/>
    <n v="364192"/>
    <n v="2652232"/>
    <n v="0"/>
    <n v="0.72264515932670259"/>
    <n v="0"/>
    <n v="7.9545454545454544E-2"/>
    <n v="0.38095238095238093"/>
    <n v="0"/>
    <n v="97337"/>
    <n v="0.11403864922896741"/>
  </r>
  <r>
    <n v="1445"/>
    <s v="ad9257ea-3056-4867-a4d3-7b1938405649"/>
    <x v="1"/>
    <x v="0"/>
    <x v="3"/>
    <s v="в ипотеке"/>
    <s v="иное"/>
    <n v="560956"/>
    <n v="668"/>
    <n v="3391253"/>
    <n v="35325.56"/>
    <n v="30.3"/>
    <n v="22"/>
    <n v="29"/>
    <n v="570912"/>
    <n v="2592348"/>
    <n v="0"/>
    <n v="1.4310714886385338"/>
    <n v="0.88948069241011984"/>
    <n v="0.25"/>
    <n v="0.66666666666666663"/>
    <n v="0"/>
    <n v="282604.41666666669"/>
    <n v="0.12500002801324464"/>
  </r>
  <r>
    <n v="1398"/>
    <s v="b5f3fb8d-95f7-4df9-8180-e5ee8a46de70"/>
    <x v="0"/>
    <x v="0"/>
    <x v="8"/>
    <s v="в ипотеке"/>
    <s v="консолидация кредитов"/>
    <n v="789096"/>
    <n v="681"/>
    <n v="2433900"/>
    <n v="39956.43"/>
    <n v="28.1"/>
    <n v="35.265240640000002"/>
    <n v="17"/>
    <n v="2191726"/>
    <n v="2589576"/>
    <n v="0"/>
    <n v="2.7299365938301339"/>
    <n v="0.90679094540612515"/>
    <n v="0.40074137090909095"/>
    <n v="0.38095238095238093"/>
    <n v="0"/>
    <n v="202825"/>
    <n v="0.19699953161592507"/>
  </r>
  <r>
    <n v="1166"/>
    <s v="93e2bda9-b01a-429d-b4e9-00485f49fbf3"/>
    <x v="1"/>
    <x v="0"/>
    <x v="9"/>
    <s v="в ипотеке"/>
    <s v="консолидация кредитов"/>
    <n v="778316"/>
    <n v="709"/>
    <n v="2016546"/>
    <n v="52262.16"/>
    <n v="22.5"/>
    <n v="35.265240640000002"/>
    <n v="28"/>
    <n v="1009375"/>
    <n v="2557412"/>
    <n v="0"/>
    <n v="2.6685630256966832"/>
    <n v="0.94407456724367511"/>
    <n v="0.40074137090909095"/>
    <n v="0.6428571428571429"/>
    <n v="0"/>
    <n v="168045.5"/>
    <n v="0.31100005653230822"/>
  </r>
  <r>
    <n v="1519"/>
    <s v="705577ba-484d-47f0-a553-d4c2c88d6e51"/>
    <x v="0"/>
    <x v="1"/>
    <x v="1"/>
    <s v="в ипотеке"/>
    <s v="консолидация кредитов"/>
    <n v="448734"/>
    <n v="0"/>
    <n v="1168044"/>
    <n v="16742.419999999998"/>
    <n v="18.399999999999999"/>
    <n v="7"/>
    <n v="21"/>
    <n v="495672"/>
    <n v="2539526"/>
    <n v="0"/>
    <n v="0.79216011915132534"/>
    <n v="0"/>
    <n v="7.9545454545454544E-2"/>
    <n v="0.47619047619047616"/>
    <n v="0"/>
    <n v="97337"/>
    <n v="0.17200468475502634"/>
  </r>
  <r>
    <n v="75"/>
    <s v="8980b1b1-7f07-49c7-a4f7-4268a61210f5"/>
    <x v="0"/>
    <x v="0"/>
    <x v="1"/>
    <s v="в ипотеке"/>
    <s v="консолидация кредитов"/>
    <n v="767536"/>
    <n v="724"/>
    <n v="6628720"/>
    <n v="53747.96"/>
    <n v="29.5"/>
    <n v="35.265240640000002"/>
    <n v="13"/>
    <n v="1426425"/>
    <n v="2510112"/>
    <n v="0"/>
    <n v="2.6071894575632326"/>
    <n v="0.96404793608521966"/>
    <n v="0.40074137090909095"/>
    <n v="0.2857142857142857"/>
    <n v="0"/>
    <n v="552393.33333333337"/>
    <n v="9.7300160513643652E-2"/>
  </r>
  <r>
    <n v="1353"/>
    <s v="2d783eed-deb5-42b7-a7a4-d34408141253"/>
    <x v="1"/>
    <x v="0"/>
    <x v="10"/>
    <s v="в ипотеке"/>
    <s v="консолидация кредитов"/>
    <n v="613668"/>
    <n v="738"/>
    <n v="1608787"/>
    <n v="31384.77"/>
    <n v="17.600000000000001"/>
    <n v="35.265240640000002"/>
    <n v="13"/>
    <n v="891708"/>
    <n v="2335982"/>
    <n v="0"/>
    <n v="1.7311757115931214"/>
    <n v="0.9826897470039947"/>
    <n v="0.40074137090909095"/>
    <n v="0.2857142857142857"/>
    <n v="0"/>
    <n v="134065.58333333334"/>
    <n v="0.23410012636849997"/>
  </r>
  <r>
    <n v="463"/>
    <s v="83375a14-3b11-47e3-adcc-aba68b9aa3a4"/>
    <x v="0"/>
    <x v="1"/>
    <x v="1"/>
    <s v="в ипотеке"/>
    <s v="консолидация кредитов"/>
    <n v="773388"/>
    <n v="0"/>
    <n v="1168044"/>
    <n v="32008.73"/>
    <n v="29.2"/>
    <n v="35.265240640000002"/>
    <n v="8"/>
    <n v="1515592"/>
    <n v="2321308"/>
    <n v="0"/>
    <n v="2.6405065374071057"/>
    <n v="0"/>
    <n v="0.40074137090909095"/>
    <n v="0.16666666666666666"/>
    <n v="0"/>
    <n v="97337"/>
    <n v="0.32884442709349992"/>
  </r>
  <r>
    <n v="603"/>
    <s v="144df0a2-30a3-4224-8d51-4a04563e2bd0"/>
    <x v="1"/>
    <x v="0"/>
    <x v="2"/>
    <s v="в аренде"/>
    <s v="консолидация кредитов"/>
    <n v="535920"/>
    <n v="743"/>
    <n v="1253525"/>
    <n v="14310.99"/>
    <n v="27.5"/>
    <n v="35.265240640000002"/>
    <n v="16"/>
    <n v="478857"/>
    <n v="2291212"/>
    <n v="0"/>
    <n v="1.2885345079530912"/>
    <n v="0.98934753661784292"/>
    <n v="0.40074137090909095"/>
    <n v="0.35714285714285715"/>
    <n v="0"/>
    <n v="104460.41666666667"/>
    <n v="0.13699916635089049"/>
  </r>
  <r>
    <n v="1369"/>
    <s v="748bc205-e205-481b-9012-60f0385f288f"/>
    <x v="0"/>
    <x v="0"/>
    <x v="0"/>
    <s v="в ипотеке"/>
    <s v="приобретение автомобиля"/>
    <n v="244420"/>
    <n v="696"/>
    <n v="2461184"/>
    <n v="31585.22"/>
    <n v="27"/>
    <n v="2"/>
    <n v="27"/>
    <n v="227373"/>
    <n v="2289430"/>
    <n v="0"/>
    <n v="-0.37105687524736225"/>
    <n v="0.92676431424766981"/>
    <n v="2.2727272727272728E-2"/>
    <n v="0.61904761904761907"/>
    <n v="0"/>
    <n v="205098.66666666666"/>
    <n v="0.15400012351778658"/>
  </r>
  <r>
    <n v="1187"/>
    <s v="cb9f0979-7c81-4c89-b37b-880febd4953b"/>
    <x v="0"/>
    <x v="1"/>
    <x v="1"/>
    <s v="в собственности"/>
    <s v="приобретение автомобиля"/>
    <n v="309594.52439999999"/>
    <n v="751"/>
    <n v="3715260"/>
    <n v="21486.720000000001"/>
    <n v="28.5"/>
    <n v="35.265240640000002"/>
    <n v="6"/>
    <n v="1193827"/>
    <n v="2273568"/>
    <n v="0"/>
    <n v="-1.2411115481956205E-10"/>
    <n v="1"/>
    <n v="0.40074137090909095"/>
    <n v="0.11904761904761904"/>
    <n v="0"/>
    <n v="309605"/>
    <n v="6.9400429579625653E-2"/>
  </r>
  <r>
    <n v="185"/>
    <s v="bc0556e1-ef0d-4ad8-a579-83fffe860d50"/>
    <x v="0"/>
    <x v="1"/>
    <x v="1"/>
    <s v="в ипотеке"/>
    <s v="консолидация кредитов"/>
    <n v="441276"/>
    <n v="747"/>
    <n v="2305669"/>
    <n v="24017.52"/>
    <n v="17.8"/>
    <n v="35.265240640000002"/>
    <n v="14"/>
    <n v="678851"/>
    <n v="2245848"/>
    <n v="0"/>
    <n v="0.74969963017736663"/>
    <n v="0.9946737683089214"/>
    <n v="0.40074137090909095"/>
    <n v="0.30952380952380953"/>
    <n v="0"/>
    <n v="192139.08333333334"/>
    <n v="0.12500070044746231"/>
  </r>
  <r>
    <n v="1934"/>
    <s v="5e818401-25c4-42c4-b8c9-4a769945ba71"/>
    <x v="0"/>
    <x v="1"/>
    <x v="1"/>
    <s v="в ипотеке"/>
    <s v="консолидация кредитов"/>
    <n v="760144"/>
    <n v="735"/>
    <n v="2607199"/>
    <n v="48798.080000000002"/>
    <n v="25.2"/>
    <n v="35.265240640000002"/>
    <n v="9"/>
    <n v="1666984"/>
    <n v="2188428"/>
    <n v="0"/>
    <n v="2.5651047251288666"/>
    <n v="0.97869507323568572"/>
    <n v="0.40074137090909095"/>
    <n v="0.19047619047619047"/>
    <n v="0"/>
    <n v="217266.58333333334"/>
    <n v="0.22460002477754862"/>
  </r>
  <r>
    <n v="658"/>
    <s v="121da01c-1787-44ec-9e7e-97051b47b465"/>
    <x v="0"/>
    <x v="1"/>
    <x v="1"/>
    <s v="в собственности"/>
    <s v="бизнес"/>
    <n v="268620"/>
    <n v="740"/>
    <n v="5316447"/>
    <n v="36329.14"/>
    <n v="27.6"/>
    <n v="35.265240640000002"/>
    <n v="14"/>
    <n v="1385062"/>
    <n v="2187922"/>
    <n v="0"/>
    <n v="-0.23327947739675856"/>
    <n v="0.98535286284953394"/>
    <n v="0.40074137090909095"/>
    <n v="0.30952380952380953"/>
    <n v="0"/>
    <n v="443037.25"/>
    <n v="8.2000192986029952E-2"/>
  </r>
  <r>
    <n v="266"/>
    <s v="f5b57b23-e214-427a-8d8f-79e3120cc3f5"/>
    <x v="0"/>
    <x v="0"/>
    <x v="0"/>
    <s v="в ипотеке"/>
    <s v="ремонт жилья"/>
    <n v="436172"/>
    <n v="744"/>
    <n v="1054747"/>
    <n v="13623.76"/>
    <n v="22.2"/>
    <n v="35.265240640000002"/>
    <n v="19"/>
    <n v="387315"/>
    <n v="2156110"/>
    <n v="0"/>
    <n v="0.72064112444887563"/>
    <n v="0.99067909454061254"/>
    <n v="0.40074137090909095"/>
    <n v="0.42857142857142855"/>
    <n v="0"/>
    <n v="87895.583333333328"/>
    <n v="0.15499936951705007"/>
  </r>
  <r>
    <n v="1910"/>
    <s v="fe551c0b-7e40-4258-b9f3-357ce95dccb6"/>
    <x v="1"/>
    <x v="1"/>
    <x v="3"/>
    <s v="в собственности"/>
    <s v="ремонт жилья"/>
    <n v="178156"/>
    <n v="0"/>
    <n v="1168044"/>
    <n v="12955.91"/>
    <n v="20.399999999999999"/>
    <n v="35.265240640000002"/>
    <n v="19"/>
    <n v="271035"/>
    <n v="2149510"/>
    <n v="0"/>
    <n v="-0.74831644099828798"/>
    <n v="0"/>
    <n v="0.40074137090909095"/>
    <n v="0.42857142857142855"/>
    <n v="0"/>
    <n v="97337"/>
    <n v="0.13310365020495804"/>
  </r>
  <r>
    <n v="1228"/>
    <s v="a9742d60-56a6-4ab0-b3d9-b463eab995eb"/>
    <x v="0"/>
    <x v="1"/>
    <x v="4"/>
    <s v="в ипотеке"/>
    <s v="консолидация кредитов"/>
    <n v="377674"/>
    <n v="737"/>
    <n v="753084"/>
    <n v="14873.39"/>
    <n v="17.100000000000001"/>
    <n v="35.265240640000002"/>
    <n v="16"/>
    <n v="378670"/>
    <n v="2149312"/>
    <n v="0"/>
    <n v="0.38759557819000728"/>
    <n v="0.98135818908122507"/>
    <n v="0.40074137090909095"/>
    <n v="0.35714285714285715"/>
    <n v="0"/>
    <n v="62757"/>
    <n v="0.23699969724492884"/>
  </r>
  <r>
    <n v="1025"/>
    <s v="e849b404-a91e-4ffe-92f1-2a06e99d65a6"/>
    <x v="0"/>
    <x v="1"/>
    <x v="8"/>
    <s v="в ипотеке"/>
    <s v="консолидация кредитов"/>
    <n v="751300"/>
    <n v="716"/>
    <n v="3614978"/>
    <n v="72600.710000000006"/>
    <n v="11.9"/>
    <n v="69"/>
    <n v="29"/>
    <n v="957752"/>
    <n v="2128522"/>
    <n v="0"/>
    <n v="2.5147533488234641"/>
    <n v="0.95339547270306257"/>
    <n v="0.78409090909090906"/>
    <n v="0.66666666666666663"/>
    <n v="0"/>
    <n v="301248.16666666669"/>
    <n v="0.24099967413356319"/>
  </r>
  <r>
    <n v="1628"/>
    <s v="e849b404-a91e-4ffe-92f1-2a06e99d65a6"/>
    <x v="0"/>
    <x v="1"/>
    <x v="8"/>
    <s v="в ипотеке"/>
    <s v="консолидация кредитов"/>
    <n v="751300"/>
    <n v="716"/>
    <n v="3614978"/>
    <n v="72600.710000000006"/>
    <n v="11.9"/>
    <n v="69"/>
    <n v="29"/>
    <n v="957752"/>
    <n v="2128522"/>
    <n v="0"/>
    <n v="2.5147533488234641"/>
    <n v="0.95339547270306257"/>
    <n v="0.78409090909090906"/>
    <n v="0.66666666666666663"/>
    <n v="0"/>
    <n v="301248.16666666669"/>
    <n v="0.24099967413356319"/>
  </r>
  <r>
    <n v="894"/>
    <s v="15f37032-75b5-4dcb-86a0-6a47557cba61"/>
    <x v="0"/>
    <x v="1"/>
    <x v="7"/>
    <s v="в аренде"/>
    <s v="иное"/>
    <n v="504284"/>
    <n v="718"/>
    <n v="989919"/>
    <n v="12209.02"/>
    <n v="11.4"/>
    <n v="9"/>
    <n v="17"/>
    <n v="220400"/>
    <n v="2126674"/>
    <n v="0"/>
    <n v="1.1084218733083928"/>
    <n v="0.95605858854860182"/>
    <n v="0.10227272727272728"/>
    <n v="0.38095238095238093"/>
    <n v="0"/>
    <n v="82493.25"/>
    <n v="0.14800023032187481"/>
  </r>
  <r>
    <n v="739"/>
    <s v="b6c081e1-9fd8-41c2-ae40-166c03119b91"/>
    <x v="0"/>
    <x v="1"/>
    <x v="3"/>
    <s v="в аренде"/>
    <s v="консолидация кредитов"/>
    <n v="107998"/>
    <n v="750"/>
    <n v="634182"/>
    <n v="14210.86"/>
    <n v="18.8"/>
    <n v="35.265240640000002"/>
    <n v="21"/>
    <n v="9177"/>
    <n v="2125178"/>
    <n v="0"/>
    <n v="-1.1477456425851744"/>
    <n v="0.99866844207723038"/>
    <n v="0.40074137090909095"/>
    <n v="0.47619047619047616"/>
    <n v="0"/>
    <n v="52848.5"/>
    <n v="0.26889807657738629"/>
  </r>
  <r>
    <n v="1767"/>
    <s v="49814a80-cbd1-49cb-a490-890133c2bf47"/>
    <x v="0"/>
    <x v="1"/>
    <x v="6"/>
    <s v="в аренде"/>
    <s v="консолидация кредитов"/>
    <n v="309594.52439999999"/>
    <n v="712"/>
    <n v="1490683"/>
    <n v="18384.97"/>
    <n v="24.8"/>
    <n v="35.265240640000002"/>
    <n v="15"/>
    <n v="290852"/>
    <n v="2118028"/>
    <n v="0"/>
    <n v="-1.2411115481956205E-10"/>
    <n v="0.94806924101198398"/>
    <n v="0.40074137090909095"/>
    <n v="0.33333333333333331"/>
    <n v="0"/>
    <n v="124223.58333333333"/>
    <n v="0.14799903131651734"/>
  </r>
  <r>
    <n v="661"/>
    <s v="9449d282-eb22-4e87-90f6-8b1642d47375"/>
    <x v="0"/>
    <x v="1"/>
    <x v="1"/>
    <s v="в ипотеке"/>
    <s v="консолидация кредитов"/>
    <n v="222112"/>
    <n v="741"/>
    <n v="1822328"/>
    <n v="6499.52"/>
    <n v="20"/>
    <n v="37"/>
    <n v="26"/>
    <n v="237595"/>
    <n v="2116224"/>
    <n v="0"/>
    <n v="-0.498062585629646"/>
    <n v="0.98668442077230356"/>
    <n v="0.42045454545454547"/>
    <n v="0.59523809523809523"/>
    <n v="0"/>
    <n v="151860.66666666666"/>
    <n v="4.2799232629910755E-2"/>
  </r>
  <r>
    <n v="331"/>
    <s v="87c44b01-2054-49f0-872d-cd0f4e503385"/>
    <x v="0"/>
    <x v="1"/>
    <x v="3"/>
    <s v="в ипотеке"/>
    <s v="консолидация кредитов"/>
    <n v="447788"/>
    <n v="0"/>
    <n v="1168044"/>
    <n v="6497.05"/>
    <n v="21.2"/>
    <n v="8"/>
    <n v="5"/>
    <n v="806379"/>
    <n v="2074886"/>
    <n v="0"/>
    <n v="0.78677427541716538"/>
    <n v="0"/>
    <n v="9.0909090909090912E-2"/>
    <n v="9.5238095238095233E-2"/>
    <n v="0"/>
    <n v="97337"/>
    <n v="6.6747999219207502E-2"/>
  </r>
  <r>
    <n v="1692"/>
    <s v="7b439716-513e-46a3-bcec-9f8fec82101a"/>
    <x v="0"/>
    <x v="0"/>
    <x v="1"/>
    <s v="в ипотеке"/>
    <s v="консолидация кредитов"/>
    <n v="772552"/>
    <n v="717"/>
    <n v="1620339"/>
    <n v="19038.95"/>
    <n v="24.3"/>
    <n v="35.265240640000002"/>
    <n v="10"/>
    <n v="1096452"/>
    <n v="2057660"/>
    <n v="0"/>
    <n v="2.6357469545722667"/>
    <n v="0.9547270306258322"/>
    <n v="0.40074137090909095"/>
    <n v="0.21428571428571427"/>
    <n v="0"/>
    <n v="135028.25"/>
    <n v="0.14099975375523272"/>
  </r>
  <r>
    <n v="468"/>
    <s v="66db7b31-792a-493f-88fb-b576cd826198"/>
    <x v="0"/>
    <x v="1"/>
    <x v="1"/>
    <s v="в ипотеке"/>
    <s v="консолидация кредитов"/>
    <n v="430012"/>
    <n v="723"/>
    <n v="1392662"/>
    <n v="21470"/>
    <n v="16"/>
    <n v="35.265240640000002"/>
    <n v="21"/>
    <n v="597360"/>
    <n v="2034340"/>
    <n v="1"/>
    <n v="0.68557051408690384"/>
    <n v="0.96271637816245004"/>
    <n v="0.40074137090909095"/>
    <n v="0.47619047619047616"/>
    <n v="0.14285714285714285"/>
    <n v="116055.16666666667"/>
    <n v="0.18499822641818331"/>
  </r>
  <r>
    <n v="798"/>
    <s v="29c9b790-ef61-4a5f-9e78-dd614323f044"/>
    <x v="1"/>
    <x v="1"/>
    <x v="4"/>
    <s v="в собственности"/>
    <s v="консолидация кредитов"/>
    <n v="116710"/>
    <n v="0"/>
    <n v="1168044"/>
    <n v="10125.67"/>
    <n v="13.1"/>
    <n v="68"/>
    <n v="12"/>
    <n v="914812"/>
    <n v="2021470"/>
    <n v="0"/>
    <n v="-1.0981457793589571"/>
    <n v="0"/>
    <n v="0.77272727272727271"/>
    <n v="0.26190476190476192"/>
    <n v="0"/>
    <n v="97337"/>
    <n v="0.10402693734140152"/>
  </r>
  <r>
    <n v="535"/>
    <s v="45dcf323-b32c-4162-85c3-acaa3f2319c4"/>
    <x v="0"/>
    <x v="1"/>
    <x v="2"/>
    <s v="в ипотеке"/>
    <s v="иное"/>
    <n v="224598"/>
    <n v="0"/>
    <n v="1168044"/>
    <n v="16325.94"/>
    <n v="30.5"/>
    <n v="7"/>
    <n v="22"/>
    <n v="107616"/>
    <n v="2009788"/>
    <n v="1"/>
    <n v="-0.4839090893049931"/>
    <n v="0"/>
    <n v="7.9545454545454544E-2"/>
    <n v="0.5"/>
    <n v="0.14285714285714285"/>
    <n v="97337"/>
    <n v="0.16772594183095843"/>
  </r>
  <r>
    <n v="18"/>
    <s v="967e8733-7189-49b7-a3ab-6a1d0e1abdac"/>
    <x v="0"/>
    <x v="0"/>
    <x v="1"/>
    <s v="в ипотеке"/>
    <s v="консолидация кредитов"/>
    <n v="666204"/>
    <n v="723"/>
    <n v="1821967"/>
    <n v="17612.240000000002"/>
    <n v="22"/>
    <n v="34"/>
    <n v="15"/>
    <n v="813694"/>
    <n v="2004618"/>
    <n v="0"/>
    <n v="2.0302779171087959"/>
    <n v="0.96271637816245004"/>
    <n v="0.38636363636363635"/>
    <n v="0.33333333333333331"/>
    <n v="0"/>
    <n v="151830.58333333334"/>
    <n v="0.1159992908762892"/>
  </r>
  <r>
    <n v="307"/>
    <s v="a2a44277-fd9b-45ff-a28c-9a4c3678c41a"/>
    <x v="1"/>
    <x v="0"/>
    <x v="9"/>
    <s v="в собственности"/>
    <s v="консолидация кредитов"/>
    <n v="765006"/>
    <n v="736"/>
    <n v="6606775"/>
    <n v="5780.94"/>
    <n v="24.1"/>
    <n v="43"/>
    <n v="11"/>
    <n v="369170"/>
    <n v="1978966"/>
    <n v="0"/>
    <n v="2.5927854568788513"/>
    <n v="0.98002663115845534"/>
    <n v="0.48863636363636365"/>
    <n v="0.23809523809523808"/>
    <n v="0"/>
    <n v="550564.58333333337"/>
    <n v="1.0500021568768421E-2"/>
  </r>
  <r>
    <n v="1771"/>
    <s v="206499dc-8502-434b-a892-74231226cb29"/>
    <x v="0"/>
    <x v="0"/>
    <x v="1"/>
    <s v="в ипотеке"/>
    <s v="консолидация кредитов"/>
    <n v="755150"/>
    <n v="723"/>
    <n v="1490664"/>
    <n v="24720.33"/>
    <n v="25.8"/>
    <n v="42"/>
    <n v="14"/>
    <n v="949924"/>
    <n v="1964138"/>
    <n v="0"/>
    <n v="2.5366724802996963"/>
    <n v="0.96271637816245004"/>
    <n v="0.47727272727272729"/>
    <n v="0.30952380952380953"/>
    <n v="0"/>
    <n v="124222"/>
    <n v="0.19900122361578465"/>
  </r>
  <r>
    <n v="1442"/>
    <s v="8a72143c-e6b8-4331-81a6-49dcdd78a0f1"/>
    <x v="1"/>
    <x v="1"/>
    <x v="7"/>
    <s v="в собственности"/>
    <s v="консолидация кредитов"/>
    <n v="534556"/>
    <n v="0"/>
    <n v="1168044"/>
    <n v="11249.52"/>
    <n v="17.899999999999999"/>
    <n v="35.265240640000002"/>
    <n v="19"/>
    <n v="451136"/>
    <n v="1949112"/>
    <n v="0"/>
    <n v="1.2807688728015116"/>
    <n v="0"/>
    <n v="0.40074137090909095"/>
    <n v="0.42857142857142855"/>
    <n v="0"/>
    <n v="97337"/>
    <n v="0.11557290650009761"/>
  </r>
  <r>
    <n v="1059"/>
    <s v="b8b310d6-accc-42fa-8f4d-4a8481c4b7cc"/>
    <x v="0"/>
    <x v="0"/>
    <x v="10"/>
    <s v="в ипотеке"/>
    <s v="консолидация кредитов"/>
    <n v="309594.52439999999"/>
    <n v="723"/>
    <n v="1729323"/>
    <n v="22625.39"/>
    <n v="22.2"/>
    <n v="43"/>
    <n v="19"/>
    <n v="197562"/>
    <n v="1906322"/>
    <n v="0"/>
    <n v="-1.2411115481956205E-10"/>
    <n v="0.96271637816245004"/>
    <n v="0.48863636363636365"/>
    <n v="0.42857142857142855"/>
    <n v="0"/>
    <n v="144110.25"/>
    <n v="0.15700056033488249"/>
  </r>
  <r>
    <n v="1082"/>
    <s v="cfdb6b8e-64a7-4ff2-86da-127e6ac480b3"/>
    <x v="1"/>
    <x v="0"/>
    <x v="5"/>
    <s v="в аренде"/>
    <s v="консолидация кредитов"/>
    <n v="683848"/>
    <n v="0"/>
    <n v="1168044"/>
    <n v="31104.9"/>
    <n v="13.2"/>
    <n v="71"/>
    <n v="28"/>
    <n v="791407"/>
    <n v="1905134"/>
    <n v="0"/>
    <n v="2.1307301653598723"/>
    <n v="0"/>
    <n v="0.80681818181818177"/>
    <n v="0.6428571428571429"/>
    <n v="0"/>
    <n v="97337"/>
    <n v="0.31955885223501856"/>
  </r>
  <r>
    <n v="1381"/>
    <s v="d03efca2-adbd-4d48-baef-f78d62d6be80"/>
    <x v="0"/>
    <x v="0"/>
    <x v="2"/>
    <s v="в ипотеке"/>
    <s v="консолидация кредитов"/>
    <n v="309594.52439999999"/>
    <n v="726"/>
    <n v="1465774"/>
    <n v="38843.22"/>
    <n v="22.6"/>
    <n v="5"/>
    <n v="17"/>
    <n v="634847"/>
    <n v="1904386"/>
    <n v="0"/>
    <n v="-1.2411115481956205E-10"/>
    <n v="0.96671105193075901"/>
    <n v="5.6818181818181816E-2"/>
    <n v="0.38095238095238093"/>
    <n v="0"/>
    <n v="122147.83333333333"/>
    <n v="0.31800171104140201"/>
  </r>
  <r>
    <n v="1547"/>
    <s v="3a91fac6-fd28-464a-990f-f0a533d2efe0"/>
    <x v="0"/>
    <x v="1"/>
    <x v="1"/>
    <s v="в ипотеке"/>
    <s v="консолидация кредитов"/>
    <n v="618398"/>
    <n v="714"/>
    <n v="4100941"/>
    <n v="16403.650000000001"/>
    <n v="26.1"/>
    <n v="35.265240640000002"/>
    <n v="30"/>
    <n v="637165"/>
    <n v="1901482"/>
    <n v="0"/>
    <n v="1.7581049302639213"/>
    <n v="0.95073235685752333"/>
    <n v="0.40074137090909095"/>
    <n v="0.69047619047619047"/>
    <n v="0"/>
    <n v="341745.08333333331"/>
    <n v="4.7999666418024556E-2"/>
  </r>
  <r>
    <n v="928"/>
    <s v="5b0dbf1d-2ce6-4440-b473-3bf5d84cc720"/>
    <x v="0"/>
    <x v="1"/>
    <x v="8"/>
    <s v="в аренде"/>
    <s v="путешествие"/>
    <n v="174548"/>
    <n v="0"/>
    <n v="1168044"/>
    <n v="6339.54"/>
    <n v="19.8"/>
    <n v="35.265240640000002"/>
    <n v="13"/>
    <n v="4902"/>
    <n v="1891032"/>
    <n v="0"/>
    <n v="-0.76885779849601432"/>
    <n v="0"/>
    <n v="0.40074137090909095"/>
    <n v="0.2857142857142857"/>
    <n v="0"/>
    <n v="97337"/>
    <n v="6.5129806753855157E-2"/>
  </r>
  <r>
    <n v="1950"/>
    <s v="4592eec7-7939-4448-b040-0182f5b85a86"/>
    <x v="1"/>
    <x v="0"/>
    <x v="1"/>
    <s v="в ипотеке"/>
    <s v="консолидация кредитов"/>
    <n v="788634"/>
    <n v="683"/>
    <n v="1731926"/>
    <n v="25834.49"/>
    <n v="30.9"/>
    <n v="35.265240640000002"/>
    <n v="18"/>
    <n v="881524"/>
    <n v="1883244"/>
    <n v="0"/>
    <n v="2.7273062980529863"/>
    <n v="0.9094540612516645"/>
    <n v="0.40074137090909095"/>
    <n v="0.40476190476190477"/>
    <n v="0"/>
    <n v="144327.16666666666"/>
    <n v="0.17899949535950152"/>
  </r>
  <r>
    <n v="1914"/>
    <s v="146f1b5b-8372-4ead-a912-8a5a166d7593"/>
    <x v="0"/>
    <x v="1"/>
    <x v="1"/>
    <s v="в ипотеке"/>
    <s v="консолидация кредитов"/>
    <n v="698236"/>
    <n v="747"/>
    <n v="3203514"/>
    <n v="24159.83"/>
    <n v="21.6"/>
    <n v="35.265240640000002"/>
    <n v="17"/>
    <n v="446424"/>
    <n v="1872838"/>
    <n v="0"/>
    <n v="2.2126450909910491"/>
    <n v="0.9946737683089214"/>
    <n v="0.40074137090909095"/>
    <n v="0.38095238095238093"/>
    <n v="0"/>
    <n v="266959.5"/>
    <n v="9.0499982207038907E-2"/>
  </r>
  <r>
    <n v="501"/>
    <s v="30f76659-bfdf-42a3-9468-7deab5c7628c"/>
    <x v="0"/>
    <x v="1"/>
    <x v="6"/>
    <s v="в ипотеке"/>
    <s v="консолидация кредитов"/>
    <n v="222574"/>
    <n v="0"/>
    <n v="1168044"/>
    <n v="19798.95"/>
    <n v="25.7"/>
    <n v="35.265240640000002"/>
    <n v="11"/>
    <n v="81396"/>
    <n v="1847802"/>
    <n v="0"/>
    <n v="-0.4954322898524981"/>
    <n v="0"/>
    <n v="0.40074137090909095"/>
    <n v="0.23809523809523808"/>
    <n v="0"/>
    <n v="97337"/>
    <n v="0.20340620730040992"/>
  </r>
  <r>
    <n v="1415"/>
    <s v="0c4e47e3-f426-4e0b-8436-3c91d02fda0c"/>
    <x v="0"/>
    <x v="0"/>
    <x v="1"/>
    <s v="в ипотеке"/>
    <s v="консолидация кредитов"/>
    <n v="583352"/>
    <n v="0"/>
    <n v="1168044"/>
    <n v="15582.47"/>
    <n v="24.5"/>
    <n v="66"/>
    <n v="16"/>
    <n v="641307"/>
    <n v="1847208"/>
    <n v="0"/>
    <n v="1.5585782077402743"/>
    <n v="0"/>
    <n v="0.75"/>
    <n v="0.35714285714285715"/>
    <n v="0"/>
    <n v="97337"/>
    <n v="0.1600878391567441"/>
  </r>
  <r>
    <n v="88"/>
    <s v="e5e051b3-545f-45c7-a975-360b732f7c97"/>
    <x v="0"/>
    <x v="1"/>
    <x v="6"/>
    <s v="в аренде"/>
    <s v="консолидация кредитов"/>
    <n v="309594.52439999999"/>
    <n v="734"/>
    <n v="1355802"/>
    <n v="15365.68"/>
    <n v="44.5"/>
    <n v="31"/>
    <n v="8"/>
    <n v="25441"/>
    <n v="1841796"/>
    <n v="0"/>
    <n v="-1.2411115481956205E-10"/>
    <n v="0.9773635153129161"/>
    <n v="0.35227272727272729"/>
    <n v="0.16666666666666666"/>
    <n v="0"/>
    <n v="112983.5"/>
    <n v="0.13599932733540737"/>
  </r>
  <r>
    <n v="568"/>
    <s v="e222d43d-f599-4d55-a2b4-b2cd9fd30e69"/>
    <x v="0"/>
    <x v="1"/>
    <x v="10"/>
    <s v="в собственности"/>
    <s v="консолидация кредитов"/>
    <n v="447172"/>
    <n v="0"/>
    <n v="1168044"/>
    <n v="21546.38"/>
    <n v="16.5"/>
    <n v="35.265240640000002"/>
    <n v="12"/>
    <n v="673512"/>
    <n v="1830642"/>
    <n v="0"/>
    <n v="0.78326721438096825"/>
    <n v="0"/>
    <n v="0.40074137090909095"/>
    <n v="0.26190476190476192"/>
    <n v="0"/>
    <n v="97337"/>
    <n v="0.22135857895764202"/>
  </r>
  <r>
    <n v="860"/>
    <s v="eb0579cb-0c08-4b7b-b1ec-f7ba5ef1e95b"/>
    <x v="0"/>
    <x v="1"/>
    <x v="1"/>
    <s v="в собственности"/>
    <s v="консолидация кредитов"/>
    <n v="79772"/>
    <n v="703"/>
    <n v="1569381"/>
    <n v="33349.18"/>
    <n v="20.6"/>
    <n v="35.265240640000002"/>
    <n v="19"/>
    <n v="1175549"/>
    <n v="1824614"/>
    <n v="1"/>
    <n v="-1.308444189350924"/>
    <n v="0.93608521970705727"/>
    <n v="0.40074137090909095"/>
    <n v="0.42857142857142855"/>
    <n v="0.14285714285714285"/>
    <n v="130781.75"/>
    <n v="0.25499872879816948"/>
  </r>
  <r>
    <n v="500"/>
    <s v="bf18ff24-a3f4-43a6-9681-2cc2c4aa383c"/>
    <x v="0"/>
    <x v="1"/>
    <x v="1"/>
    <s v="в ипотеке"/>
    <s v="консолидация кредитов"/>
    <n v="462792"/>
    <n v="749"/>
    <n v="2207743"/>
    <n v="19869.63"/>
    <n v="24.3"/>
    <n v="35.265240640000002"/>
    <n v="11"/>
    <n v="710334"/>
    <n v="1815682"/>
    <n v="0"/>
    <n v="0.87219626208453971"/>
    <n v="0.99733688415446076"/>
    <n v="0.40074137090909095"/>
    <n v="0.23809523809523808"/>
    <n v="0"/>
    <n v="183978.58333333334"/>
    <n v="0.10799969018132999"/>
  </r>
  <r>
    <n v="1922"/>
    <s v="d93d5503-1a71-4160-a04d-9f75f01d863e"/>
    <x v="0"/>
    <x v="1"/>
    <x v="1"/>
    <s v="в собственности"/>
    <s v="консолидация кредитов"/>
    <n v="453508"/>
    <n v="0"/>
    <n v="1168044"/>
    <n v="35435.760000000002"/>
    <n v="33.5"/>
    <n v="35.265240640000002"/>
    <n v="16"/>
    <n v="477869"/>
    <n v="1808202"/>
    <n v="0"/>
    <n v="0.81933984218185352"/>
    <n v="0"/>
    <n v="0.40074137090909095"/>
    <n v="0.35714285714285715"/>
    <n v="0"/>
    <n v="97337"/>
    <n v="0.36405231309779429"/>
  </r>
  <r>
    <n v="1711"/>
    <s v="73cfea7d-a454-4e3a-84cc-ff274688a6da"/>
    <x v="0"/>
    <x v="1"/>
    <x v="1"/>
    <s v="в ипотеке"/>
    <s v="консолидация кредитов"/>
    <n v="629860"/>
    <n v="0"/>
    <n v="1168044"/>
    <n v="35438.99"/>
    <n v="17"/>
    <n v="35.265240640000002"/>
    <n v="13"/>
    <n v="984884"/>
    <n v="1798720"/>
    <n v="0"/>
    <n v="1.8233613159731619"/>
    <n v="0"/>
    <n v="0.40074137090909095"/>
    <n v="0.2857142857142857"/>
    <n v="0"/>
    <n v="97337"/>
    <n v="0.36408549677923091"/>
  </r>
  <r>
    <n v="1298"/>
    <s v="adb75e4c-be7f-4032-8ced-da782f476bb2"/>
    <x v="0"/>
    <x v="1"/>
    <x v="2"/>
    <s v="в ипотеке"/>
    <s v="ремонт жилья"/>
    <n v="109318"/>
    <n v="736"/>
    <n v="1888220"/>
    <n v="32556.12"/>
    <n v="17.3"/>
    <n v="35.265240640000002"/>
    <n v="12"/>
    <n v="1133122"/>
    <n v="1789942"/>
    <n v="0"/>
    <n v="-1.1402305117933234"/>
    <n v="0.98002663115845534"/>
    <n v="0.40074137090909095"/>
    <n v="0.26190476190476192"/>
    <n v="0"/>
    <n v="157351.66666666666"/>
    <n v="0.20690038237069833"/>
  </r>
  <r>
    <n v="1525"/>
    <s v="d698584d-c6aa-4a57-8eed-0d8db2d2f633"/>
    <x v="1"/>
    <x v="1"/>
    <x v="10"/>
    <s v="в ипотеке"/>
    <s v="консолидация кредитов"/>
    <n v="756602"/>
    <n v="0"/>
    <n v="1168044"/>
    <n v="48618.34"/>
    <n v="30.2"/>
    <n v="35.265240640000002"/>
    <n v="13"/>
    <n v="1265723"/>
    <n v="1787280"/>
    <n v="0"/>
    <n v="2.5449391241707326"/>
    <n v="0"/>
    <n v="0.40074137090909095"/>
    <n v="0.2857142857142857"/>
    <n v="0"/>
    <n v="97337"/>
    <n v="0.49948467694710125"/>
  </r>
  <r>
    <n v="1263"/>
    <s v="27e215bd-7daf-40ce-ace8-5b5568e62eed"/>
    <x v="0"/>
    <x v="1"/>
    <x v="7"/>
    <s v="в ипотеке"/>
    <s v="консолидация кредитов"/>
    <n v="786940"/>
    <n v="0"/>
    <n v="1168044"/>
    <n v="36821.43"/>
    <n v="33"/>
    <n v="35.265240640000002"/>
    <n v="19"/>
    <n v="1061967"/>
    <n v="1779514"/>
    <n v="0"/>
    <n v="2.717661880203444"/>
    <n v="0"/>
    <n v="0.40074137090909095"/>
    <n v="0.42857142857142855"/>
    <n v="0"/>
    <n v="97337"/>
    <n v="0.37828811243412064"/>
  </r>
  <r>
    <n v="1367"/>
    <s v="4f136098-a7fb-4473-aa86-4f7e140bde0f"/>
    <x v="0"/>
    <x v="1"/>
    <x v="1"/>
    <s v="в ипотеке"/>
    <s v="консолидация кредитов"/>
    <n v="217470"/>
    <n v="747"/>
    <n v="1877219"/>
    <n v="12201.99"/>
    <n v="30"/>
    <n v="12"/>
    <n v="22"/>
    <n v="407968"/>
    <n v="1769240"/>
    <n v="0"/>
    <n v="-0.5244907955809891"/>
    <n v="0.9946737683089214"/>
    <n v="0.13636363636363635"/>
    <n v="0.5"/>
    <n v="0"/>
    <n v="156434.91666666666"/>
    <n v="7.8000425096911977E-2"/>
  </r>
  <r>
    <n v="1730"/>
    <s v="124273e4-98b8-41b3-a877-da1a539fd702"/>
    <x v="1"/>
    <x v="0"/>
    <x v="1"/>
    <s v="в ипотеке"/>
    <s v="консолидация кредитов"/>
    <n v="300674"/>
    <n v="737"/>
    <n v="1813854"/>
    <n v="32845.68"/>
    <n v="28.2"/>
    <n v="35.265240640000002"/>
    <n v="16"/>
    <n v="608095"/>
    <n v="1747174"/>
    <n v="0"/>
    <n v="-5.078705133464078E-2"/>
    <n v="0.98135818908122507"/>
    <n v="0.40074137090909095"/>
    <n v="0.35714285714285715"/>
    <n v="0"/>
    <n v="151154.5"/>
    <n v="0.21729872415310164"/>
  </r>
  <r>
    <n v="427"/>
    <s v="03f8cd85-1ce1-4754-a955-f32e17eaee60"/>
    <x v="0"/>
    <x v="0"/>
    <x v="1"/>
    <s v="в ипотеке"/>
    <s v="консолидация кредитов"/>
    <n v="309594.52439999999"/>
    <n v="615"/>
    <n v="1282462"/>
    <n v="40611.360000000001"/>
    <n v="22.9"/>
    <n v="35.265240640000002"/>
    <n v="21"/>
    <n v="1238287"/>
    <n v="1740046"/>
    <n v="0"/>
    <n v="-1.2411115481956205E-10"/>
    <n v="0.81890812250332889"/>
    <n v="0.40074137090909095"/>
    <n v="0.47619047619047616"/>
    <n v="0"/>
    <n v="106871.83333333333"/>
    <n v="0.38000059261015146"/>
  </r>
  <r>
    <n v="69"/>
    <s v="6ae17645-6b2a-4088-bb0c-1ca8424fedd7"/>
    <x v="0"/>
    <x v="1"/>
    <x v="9"/>
    <s v="в ипотеке"/>
    <s v="консолидация кредитов"/>
    <n v="289388"/>
    <n v="0"/>
    <n v="1168044"/>
    <n v="9758.4"/>
    <n v="16"/>
    <n v="35.265240640000002"/>
    <n v="12"/>
    <n v="439033"/>
    <n v="1735030"/>
    <n v="0"/>
    <n v="-0.11504141960496778"/>
    <n v="0"/>
    <n v="0.40074137090909095"/>
    <n v="0.26190476190476192"/>
    <n v="0"/>
    <n v="97337"/>
    <n v="0.10025375756392738"/>
  </r>
  <r>
    <n v="452"/>
    <s v="ea4d01b3-bfe1-4759-b165-10a3043c7257"/>
    <x v="0"/>
    <x v="0"/>
    <x v="6"/>
    <s v="в ипотеке"/>
    <s v="консолидация кредитов"/>
    <n v="762696"/>
    <n v="656"/>
    <n v="6906766"/>
    <n v="86334.48"/>
    <n v="31.2"/>
    <n v="35.265240640000002"/>
    <n v="13"/>
    <n v="1376474"/>
    <n v="1728650"/>
    <n v="0"/>
    <n v="2.5796339779931117"/>
    <n v="0.87350199733688416"/>
    <n v="0.40074137090909095"/>
    <n v="0.2857142857142857"/>
    <n v="0"/>
    <n v="575563.83333333337"/>
    <n v="0.14999983494445879"/>
  </r>
  <r>
    <n v="1722"/>
    <s v="c6f9d8c6-d3c1-4ee0-8638-12a29a11b9f6"/>
    <x v="0"/>
    <x v="1"/>
    <x v="7"/>
    <s v="в аренде"/>
    <s v="консолидация кредитов"/>
    <n v="113784"/>
    <n v="723"/>
    <n v="786125"/>
    <n v="13429.77"/>
    <n v="9"/>
    <n v="35.265240640000002"/>
    <n v="32"/>
    <n v="188499"/>
    <n v="1705198"/>
    <n v="0"/>
    <n v="-1.1148043192808939"/>
    <n v="0.96271637816245004"/>
    <n v="0.40074137090909095"/>
    <n v="0.73809523809523814"/>
    <n v="0"/>
    <n v="65510.416666666664"/>
    <n v="0.20500205438066466"/>
  </r>
  <r>
    <n v="515"/>
    <s v="c48261ff-f75b-4e0d-acc8-d0b379f82043"/>
    <x v="0"/>
    <x v="1"/>
    <x v="3"/>
    <s v="в ипотеке"/>
    <s v="консолидация кредитов"/>
    <n v="309594.52439999999"/>
    <n v="747"/>
    <n v="4995328"/>
    <n v="30471.439999999999"/>
    <n v="14.3"/>
    <n v="35.265240640000002"/>
    <n v="11"/>
    <n v="1046672"/>
    <n v="1702162"/>
    <n v="0"/>
    <n v="-1.2411115481956205E-10"/>
    <n v="0.9946737683089214"/>
    <n v="0.40074137090909095"/>
    <n v="0.23809523809523808"/>
    <n v="0"/>
    <n v="416277.33333333331"/>
    <n v="7.3199853943524823E-2"/>
  </r>
  <r>
    <n v="453"/>
    <s v="b96bd37d-f920-4e89-8707-53349a8a3e6c"/>
    <x v="0"/>
    <x v="0"/>
    <x v="1"/>
    <s v="в собственности"/>
    <s v="консолидация кредитов"/>
    <n v="267872"/>
    <n v="0"/>
    <n v="1168044"/>
    <n v="19439.849999999999"/>
    <n v="20.5"/>
    <n v="35.265240640000002"/>
    <n v="10"/>
    <n v="673512"/>
    <n v="1687994"/>
    <n v="0"/>
    <n v="-0.23753805151214086"/>
    <n v="0"/>
    <n v="0.40074137090909095"/>
    <n v="0.21428571428571427"/>
    <n v="0"/>
    <n v="97337"/>
    <n v="0.19971696271715789"/>
  </r>
  <r>
    <n v="1182"/>
    <s v="d9f81f39-8908-4939-8724-2902b1aa2e35"/>
    <x v="0"/>
    <x v="1"/>
    <x v="1"/>
    <s v="в ипотеке"/>
    <s v="консолидация кредитов"/>
    <n v="272646"/>
    <n v="744"/>
    <n v="1506928"/>
    <n v="26120.06"/>
    <n v="21.3"/>
    <n v="40"/>
    <n v="10"/>
    <n v="965903"/>
    <n v="1686894"/>
    <n v="0"/>
    <n v="-0.21035832848161268"/>
    <n v="0.99067909454061254"/>
    <n v="0.45454545454545453"/>
    <n v="0.21428571428571427"/>
    <n v="0"/>
    <n v="125577.33333333333"/>
    <n v="0.20799979826507969"/>
  </r>
  <r>
    <n v="1378"/>
    <s v="4ea67148-38ca-4688-9356-db14e56d6e10"/>
    <x v="0"/>
    <x v="1"/>
    <x v="1"/>
    <s v="в ипотеке"/>
    <s v="консолидация кредитов"/>
    <n v="505912"/>
    <n v="747"/>
    <n v="1238952"/>
    <n v="13835.04"/>
    <n v="21.9"/>
    <n v="35.265240640000002"/>
    <n v="26"/>
    <n v="674785"/>
    <n v="1676642"/>
    <n v="0"/>
    <n v="1.1176905346183426"/>
    <n v="0.9946737683089214"/>
    <n v="0.40074137090909095"/>
    <n v="0.59523809523809523"/>
    <n v="0"/>
    <n v="103246"/>
    <n v="0.13400073610599927"/>
  </r>
  <r>
    <n v="12"/>
    <s v="aa0a6a22-a95e-48e0-ba4f-b83456d424e4"/>
    <x v="0"/>
    <x v="1"/>
    <x v="1"/>
    <s v="в ипотеке"/>
    <s v="ремонт жилья"/>
    <n v="541970"/>
    <n v="0"/>
    <n v="1168044"/>
    <n v="23568.55"/>
    <n v="23.2"/>
    <n v="35.265240640000002"/>
    <n v="23"/>
    <n v="60705"/>
    <n v="1634468"/>
    <n v="0"/>
    <n v="1.3229788574157422"/>
    <n v="0"/>
    <n v="0.40074137090909095"/>
    <n v="0.52380952380952384"/>
    <n v="0"/>
    <n v="97337"/>
    <n v="0.24213351551825102"/>
  </r>
  <r>
    <n v="720"/>
    <s v="53049afb-6bac-44f9-91b4-ba3f7e263920"/>
    <x v="0"/>
    <x v="1"/>
    <x v="1"/>
    <s v="в ипотеке"/>
    <s v="консолидация кредитов"/>
    <n v="434016"/>
    <n v="0"/>
    <n v="1168044"/>
    <n v="36280.5"/>
    <n v="26.1"/>
    <n v="21"/>
    <n v="10"/>
    <n v="1194188"/>
    <n v="1632532"/>
    <n v="0"/>
    <n v="0.70836641082218554"/>
    <n v="0"/>
    <n v="0.23863636363636365"/>
    <n v="0.21428571428571427"/>
    <n v="0"/>
    <n v="97337"/>
    <n v="0.37273082178411088"/>
  </r>
  <r>
    <n v="431"/>
    <s v="907ae5a2-9fe1-4093-9d47-94af6af76f0e"/>
    <x v="0"/>
    <x v="0"/>
    <x v="7"/>
    <s v="в ипотеке"/>
    <s v="консолидация кредитов"/>
    <n v="309594.52439999999"/>
    <n v="710"/>
    <n v="1733788"/>
    <n v="39443.43"/>
    <n v="35.6"/>
    <n v="69"/>
    <n v="23"/>
    <n v="761254"/>
    <n v="1620344"/>
    <n v="0"/>
    <n v="-1.2411115481956205E-10"/>
    <n v="0.94540612516644473"/>
    <n v="0.78409090909090906"/>
    <n v="0.52380952380952384"/>
    <n v="0"/>
    <n v="144482.33333333334"/>
    <n v="0.27299829044842849"/>
  </r>
  <r>
    <n v="137"/>
    <s v="dba85a94-371c-4d9f-a0b4-d56def6659fa"/>
    <x v="0"/>
    <x v="1"/>
    <x v="9"/>
    <s v="в ипотеке"/>
    <s v="консолидация кредитов"/>
    <n v="462088"/>
    <n v="0"/>
    <n v="1168044"/>
    <n v="17759.3"/>
    <n v="14.8"/>
    <n v="35.265240640000002"/>
    <n v="13"/>
    <n v="627418"/>
    <n v="1603712"/>
    <n v="0"/>
    <n v="0.86818819232888578"/>
    <n v="0"/>
    <n v="0.40074137090909095"/>
    <n v="0.2857142857142857"/>
    <n v="0"/>
    <n v="97337"/>
    <n v="0.18245168846379073"/>
  </r>
  <r>
    <n v="751"/>
    <s v="021cfe48-3ce5-4602-ad2b-c21f1473d195"/>
    <x v="0"/>
    <x v="0"/>
    <x v="3"/>
    <s v="в ипотеке"/>
    <s v="консолидация кредитов"/>
    <n v="626362"/>
    <n v="0"/>
    <n v="1168044"/>
    <n v="28106.13"/>
    <n v="22"/>
    <n v="35.265240640000002"/>
    <n v="13"/>
    <n v="526034"/>
    <n v="1602854"/>
    <n v="0"/>
    <n v="1.8034462193747565"/>
    <n v="0"/>
    <n v="0.40074137090909095"/>
    <n v="0.2857142857142857"/>
    <n v="0"/>
    <n v="97337"/>
    <n v="0.28875073199297285"/>
  </r>
  <r>
    <n v="1952"/>
    <s v="f98274b4-c2a3-4542-a04d-104b0225e231"/>
    <x v="0"/>
    <x v="1"/>
    <x v="10"/>
    <s v="в ипотеке"/>
    <s v="ремонт жилья"/>
    <n v="309594.52439999999"/>
    <n v="750"/>
    <n v="2705220"/>
    <n v="13751.63"/>
    <n v="18.899999999999999"/>
    <n v="54"/>
    <n v="8"/>
    <n v="721829"/>
    <n v="1592008"/>
    <n v="0"/>
    <n v="-1.2411115481956205E-10"/>
    <n v="0.99866844207723038"/>
    <n v="0.61363636363636365"/>
    <n v="0.16666666666666666"/>
    <n v="0"/>
    <n v="225435"/>
    <n v="6.1000421407501053E-2"/>
  </r>
  <r>
    <n v="1848"/>
    <s v="cb33032d-3fad-4c2b-be9a-7d71515e09ac"/>
    <x v="0"/>
    <x v="1"/>
    <x v="1"/>
    <s v="в ипотеке"/>
    <s v="консолидация кредитов"/>
    <n v="440572"/>
    <n v="0"/>
    <n v="1168044"/>
    <n v="26634.58"/>
    <n v="17.3"/>
    <n v="35.265240640000002"/>
    <n v="10"/>
    <n v="1229167"/>
    <n v="1581382"/>
    <n v="0"/>
    <n v="0.7456915604217127"/>
    <n v="0"/>
    <n v="0.40074137090909095"/>
    <n v="0.21428571428571427"/>
    <n v="0"/>
    <n v="97337"/>
    <n v="0.27363263712668362"/>
  </r>
  <r>
    <n v="76"/>
    <s v="6e8df64b-1404-4c95-8c79-954a601ba585"/>
    <x v="1"/>
    <x v="1"/>
    <x v="2"/>
    <s v="в собственности"/>
    <s v="иное"/>
    <n v="133034"/>
    <n v="0"/>
    <n v="1168044"/>
    <n v="30520.46"/>
    <n v="13.8"/>
    <n v="35.265240640000002"/>
    <n v="23"/>
    <n v="113278"/>
    <n v="1561406"/>
    <n v="0"/>
    <n v="-1.0052086618997318"/>
    <n v="0"/>
    <n v="0.40074137090909095"/>
    <n v="0.52380952380952384"/>
    <n v="0"/>
    <n v="97337"/>
    <n v="0.31355455787624437"/>
  </r>
  <r>
    <n v="330"/>
    <s v="f4e50dd6-fd48-4d7d-8f4c-c4da73af8194"/>
    <x v="0"/>
    <x v="1"/>
    <x v="1"/>
    <s v="в собственности"/>
    <s v="консолидация кредитов"/>
    <n v="309594.52439999999"/>
    <n v="743"/>
    <n v="773300"/>
    <n v="16174.89"/>
    <n v="14.1"/>
    <n v="35.265240640000002"/>
    <n v="19"/>
    <n v="450908"/>
    <n v="1549284"/>
    <n v="0"/>
    <n v="-1.2411115481956205E-10"/>
    <n v="0.98934753661784292"/>
    <n v="0.40074137090909095"/>
    <n v="0.42857142857142855"/>
    <n v="0"/>
    <n v="64441.666666666664"/>
    <n v="0.25100049140049141"/>
  </r>
  <r>
    <n v="377"/>
    <s v="a7a06859-14a2-4e5b-ab74-92fe625a229c"/>
    <x v="0"/>
    <x v="0"/>
    <x v="8"/>
    <s v="в ипотеке"/>
    <s v="консолидация кредитов"/>
    <n v="469678"/>
    <n v="667"/>
    <n v="2250246"/>
    <n v="51380.56"/>
    <n v="14.6"/>
    <n v="35.265240640000002"/>
    <n v="43"/>
    <n v="979526"/>
    <n v="1543102"/>
    <n v="0"/>
    <n v="0.91140019438202968"/>
    <n v="0.88814913448735022"/>
    <n v="0.40074137090909095"/>
    <n v="1"/>
    <n v="0"/>
    <n v="187520.5"/>
    <n v="0.27399969603323371"/>
  </r>
  <r>
    <n v="1038"/>
    <s v="d27046bf-979b-40ed-b0c6-4e43b4c24d6e"/>
    <x v="0"/>
    <x v="1"/>
    <x v="4"/>
    <s v="в ипотеке"/>
    <s v="ремонт жилья"/>
    <n v="351516"/>
    <n v="0"/>
    <n v="1168044"/>
    <n v="38737.39"/>
    <n v="16"/>
    <n v="35.265240640000002"/>
    <n v="26"/>
    <n v="562419"/>
    <n v="1528736"/>
    <n v="0"/>
    <n v="0.23867073633149113"/>
    <n v="0"/>
    <n v="0.40074137090909095"/>
    <n v="0.59523809523809523"/>
    <n v="0"/>
    <n v="97337"/>
    <n v="0.39797189146984191"/>
  </r>
  <r>
    <n v="1557"/>
    <s v="f3d82ff4-05d0-4513-9254-a267db8be887"/>
    <x v="1"/>
    <x v="0"/>
    <x v="1"/>
    <s v="в ипотеке"/>
    <s v="консолидация кредитов"/>
    <n v="262790"/>
    <n v="728"/>
    <n v="756504"/>
    <n v="10339.040000000001"/>
    <n v="16"/>
    <n v="21"/>
    <n v="14"/>
    <n v="718694"/>
    <n v="1524138"/>
    <n v="0"/>
    <n v="-0.26647130506076766"/>
    <n v="0.96937416777629826"/>
    <n v="0.23863636363636365"/>
    <n v="0.30952380952380953"/>
    <n v="0"/>
    <n v="63042"/>
    <n v="0.16400241109101871"/>
  </r>
  <r>
    <n v="244"/>
    <s v="016cec7a-d077-4efa-8ce1-01cb0c3f14ce"/>
    <x v="0"/>
    <x v="1"/>
    <x v="10"/>
    <s v="в собственности"/>
    <s v="консолидация кредитов"/>
    <n v="429264"/>
    <n v="735"/>
    <n v="1816571"/>
    <n v="34060.730000000003"/>
    <n v="11.1"/>
    <n v="37"/>
    <n v="20"/>
    <n v="387353"/>
    <n v="1520398"/>
    <n v="0"/>
    <n v="0.68131193997152151"/>
    <n v="0.97869507323568572"/>
    <n v="0.42045454545454547"/>
    <n v="0.45238095238095238"/>
    <n v="0"/>
    <n v="151380.91666666666"/>
    <n v="0.22500015688899583"/>
  </r>
  <r>
    <n v="253"/>
    <s v="ffe02306-8102-4c69-a514-72ef531ce7e1"/>
    <x v="0"/>
    <x v="0"/>
    <x v="3"/>
    <s v="в ипотеке"/>
    <s v="консолидация кредитов"/>
    <n v="449768"/>
    <n v="0"/>
    <n v="1168044"/>
    <n v="31269.06"/>
    <n v="22.2"/>
    <n v="35.265240640000002"/>
    <n v="10"/>
    <n v="403028"/>
    <n v="1515118"/>
    <n v="0"/>
    <n v="0.79804697160494209"/>
    <n v="0"/>
    <n v="0.40074137090909095"/>
    <n v="0.21428571428571427"/>
    <n v="0"/>
    <n v="97337"/>
    <n v="0.32124536404450521"/>
  </r>
  <r>
    <n v="567"/>
    <s v="06bf7420-6e3a-46c5-ae3d-0886083db6e6"/>
    <x v="1"/>
    <x v="1"/>
    <x v="10"/>
    <s v="в собственности"/>
    <s v="консолидация кредитов"/>
    <n v="225082"/>
    <n v="0"/>
    <n v="1168044"/>
    <n v="26566.560000000001"/>
    <n v="32.4"/>
    <n v="25"/>
    <n v="18"/>
    <n v="130568"/>
    <n v="1511884"/>
    <n v="0"/>
    <n v="-0.481153541347981"/>
    <n v="0"/>
    <n v="0.28409090909090912"/>
    <n v="0.40476190476190477"/>
    <n v="0"/>
    <n v="97337"/>
    <n v="0.27293382783525277"/>
  </r>
  <r>
    <n v="1204"/>
    <s v="a1d70c6b-1a4d-45cf-a8fb-13eb137ce881"/>
    <x v="0"/>
    <x v="1"/>
    <x v="1"/>
    <s v="в ипотеке"/>
    <s v="иное"/>
    <n v="309594.52439999999"/>
    <n v="742"/>
    <n v="1400186"/>
    <n v="25203.119999999999"/>
    <n v="32.6"/>
    <n v="35.265240640000002"/>
    <n v="24"/>
    <n v="1021231"/>
    <n v="1504426"/>
    <n v="0"/>
    <n v="-1.2411115481956205E-10"/>
    <n v="0.98801597869507318"/>
    <n v="0.40074137090909095"/>
    <n v="0.54761904761904767"/>
    <n v="0"/>
    <n v="116682.16666666667"/>
    <n v="0.21599804597389202"/>
  </r>
  <r>
    <n v="749"/>
    <s v="3535c73e-af3a-458a-90d6-0ba0d7a92f27"/>
    <x v="1"/>
    <x v="1"/>
    <x v="1"/>
    <s v="в ипотеке"/>
    <s v="консолидация кредитов"/>
    <n v="400400"/>
    <n v="719"/>
    <n v="1152654"/>
    <n v="28047.99"/>
    <n v="12"/>
    <n v="35.265240640000002"/>
    <n v="36"/>
    <n v="569962"/>
    <n v="1499916"/>
    <n v="0"/>
    <n v="0.51698107998971055"/>
    <n v="0.95739014647137155"/>
    <n v="0.40074137090909095"/>
    <n v="0.83333333333333337"/>
    <n v="0"/>
    <n v="96054.5"/>
    <n v="0.2920007912174859"/>
  </r>
  <r>
    <n v="1713"/>
    <s v="c4930dd2-fa40-487d-bbcc-51b3deb135f4"/>
    <x v="0"/>
    <x v="1"/>
    <x v="9"/>
    <s v="в ипотеке"/>
    <s v="консолидация кредитов"/>
    <n v="309594.52439999999"/>
    <n v="748"/>
    <n v="2235255"/>
    <n v="41910.959999999999"/>
    <n v="15"/>
    <n v="35.265240640000002"/>
    <n v="13"/>
    <n v="840123"/>
    <n v="1487420"/>
    <n v="0"/>
    <n v="-1.2411115481956205E-10"/>
    <n v="0.99600532623169102"/>
    <n v="0.40074137090909095"/>
    <n v="0.2857142857142857"/>
    <n v="0"/>
    <n v="186271.25"/>
    <n v="0.22499961749330613"/>
  </r>
  <r>
    <n v="1482"/>
    <s v="fd2a90b1-b171-4416-a473-4272aeb1b7e8"/>
    <x v="0"/>
    <x v="1"/>
    <x v="6"/>
    <s v="в аренде"/>
    <s v="консолидация кредитов"/>
    <n v="609092"/>
    <n v="750"/>
    <n v="1690848"/>
    <n v="17049.46"/>
    <n v="23.6"/>
    <n v="35.265240640000002"/>
    <n v="8"/>
    <n v="109877"/>
    <n v="1479500"/>
    <n v="0"/>
    <n v="1.7051232581813711"/>
    <n v="0.99866844207723038"/>
    <n v="0.40074137090909095"/>
    <n v="0.16666666666666666"/>
    <n v="0"/>
    <n v="140904"/>
    <n v="0.12100053937432577"/>
  </r>
  <r>
    <n v="1110"/>
    <s v="13ce2659-2f0c-4ef0-b607-4b591052a666"/>
    <x v="0"/>
    <x v="1"/>
    <x v="8"/>
    <s v="в ипотеке"/>
    <s v="консолидация кредитов"/>
    <n v="222750"/>
    <n v="744"/>
    <n v="1442822"/>
    <n v="21161.25"/>
    <n v="29"/>
    <n v="31"/>
    <n v="12"/>
    <n v="528390"/>
    <n v="1477828"/>
    <n v="0"/>
    <n v="-0.49443027241358461"/>
    <n v="0.99067909454061254"/>
    <n v="0.35227272727272729"/>
    <n v="0.26190476190476192"/>
    <n v="0"/>
    <n v="120235.16666666667"/>
    <n v="0.17599884115989359"/>
  </r>
  <r>
    <n v="1162"/>
    <s v="3e434acd-09fd-490f-b4c3-aba614ee5e22"/>
    <x v="0"/>
    <x v="0"/>
    <x v="5"/>
    <s v="в аренде"/>
    <s v="консолидация кредитов"/>
    <n v="625372"/>
    <n v="0"/>
    <n v="1168044"/>
    <n v="43587.9"/>
    <n v="9.6"/>
    <n v="35.265240640000002"/>
    <n v="22"/>
    <n v="818045"/>
    <n v="1473098"/>
    <n v="0"/>
    <n v="1.7978098712808681"/>
    <n v="0"/>
    <n v="0.40074137090909095"/>
    <n v="0.5"/>
    <n v="0"/>
    <n v="97337"/>
    <n v="0.44780402108139761"/>
  </r>
  <r>
    <n v="163"/>
    <s v="0af8fb87-4963-408f-824d-63c51cfb7f92"/>
    <x v="0"/>
    <x v="0"/>
    <x v="1"/>
    <s v="в ипотеке"/>
    <s v="консолидация кредитов"/>
    <n v="645018"/>
    <n v="737"/>
    <n v="2692471"/>
    <n v="40386.97"/>
    <n v="24"/>
    <n v="35.265240640000002"/>
    <n v="21"/>
    <n v="640376"/>
    <n v="1468302"/>
    <n v="0"/>
    <n v="1.9096600678995854"/>
    <n v="0.98135818908122507"/>
    <n v="0.40074137090909095"/>
    <n v="0.47619047619047616"/>
    <n v="0"/>
    <n v="224372.58333333334"/>
    <n v="0.17999957659711097"/>
  </r>
  <r>
    <n v="1064"/>
    <s v="9a92cfc9-0786-4873-adeb-67991ee049dc"/>
    <x v="0"/>
    <x v="1"/>
    <x v="1"/>
    <s v="в ипотеке"/>
    <s v="консолидация кредитов"/>
    <n v="540430"/>
    <n v="740"/>
    <n v="1493552"/>
    <n v="16130.43"/>
    <n v="20.5"/>
    <n v="35.265240640000002"/>
    <n v="11"/>
    <n v="314222"/>
    <n v="1467092"/>
    <n v="0"/>
    <n v="1.3142112048252492"/>
    <n v="0.98535286284953394"/>
    <n v="0.40074137090909095"/>
    <n v="0.23809523809523808"/>
    <n v="0"/>
    <n v="124462.66666666667"/>
    <n v="0.12960054956238551"/>
  </r>
  <r>
    <n v="258"/>
    <s v="e460bc99-b5fc-4b3b-979e-1e7c5be6c81d"/>
    <x v="0"/>
    <x v="0"/>
    <x v="1"/>
    <s v="в ипотеке"/>
    <s v="консолидация кредитов"/>
    <n v="537196"/>
    <n v="654"/>
    <n v="2551643"/>
    <n v="55072.83"/>
    <n v="27"/>
    <n v="35.265240640000002"/>
    <n v="16"/>
    <n v="734597"/>
    <n v="1466542"/>
    <n v="0"/>
    <n v="1.295799134385214"/>
    <n v="0.87083888149134492"/>
    <n v="0.40074137090909095"/>
    <n v="0.35714285714285715"/>
    <n v="0"/>
    <n v="212636.91666666666"/>
    <n v="0.2589993819668347"/>
  </r>
  <r>
    <n v="347"/>
    <s v="4eab7a13-91ce-450a-8d34-e85e2c11570a"/>
    <x v="0"/>
    <x v="0"/>
    <x v="1"/>
    <s v="в ипотеке"/>
    <s v="консолидация кредитов"/>
    <n v="746372"/>
    <n v="715"/>
    <n v="2302116"/>
    <n v="40670.639999999999"/>
    <n v="24.4"/>
    <n v="35.265240640000002"/>
    <n v="14"/>
    <n v="620996"/>
    <n v="1461482"/>
    <n v="0"/>
    <n v="2.4866968605338866"/>
    <n v="0.95206391478029295"/>
    <n v="0.40074137090909095"/>
    <n v="0.30952380952380953"/>
    <n v="0"/>
    <n v="191843"/>
    <n v="0.21199960384272556"/>
  </r>
  <r>
    <n v="420"/>
    <s v="d3291318-0960-44db-beb2-cae8cf8029d4"/>
    <x v="0"/>
    <x v="1"/>
    <x v="1"/>
    <s v="в ипотеке"/>
    <s v="консолидация кредитов"/>
    <n v="704946"/>
    <n v="717"/>
    <n v="1352914"/>
    <n v="27960.21"/>
    <n v="30"/>
    <n v="35.265240640000002"/>
    <n v="16"/>
    <n v="792623"/>
    <n v="1456752"/>
    <n v="0"/>
    <n v="2.2508470058496259"/>
    <n v="0.9547270306258322"/>
    <n v="0.40074137090909095"/>
    <n v="0.35714285714285715"/>
    <n v="0"/>
    <n v="112742.83333333333"/>
    <n v="0.24799988764991715"/>
  </r>
  <r>
    <n v="1396"/>
    <s v="7c8e2129-fb3b-480c-b0eb-532a151812c5"/>
    <x v="0"/>
    <x v="0"/>
    <x v="6"/>
    <s v="в ипотеке"/>
    <s v="бизнес"/>
    <n v="544940"/>
    <n v="708"/>
    <n v="1780870"/>
    <n v="16398.900000000001"/>
    <n v="17.399999999999999"/>
    <n v="35.265240640000002"/>
    <n v="10"/>
    <n v="429229"/>
    <n v="1453254"/>
    <n v="0"/>
    <n v="1.339887901697407"/>
    <n v="0.94274300932090549"/>
    <n v="0.40074137090909095"/>
    <n v="0.21428571428571427"/>
    <n v="0"/>
    <n v="148405.83333333334"/>
    <n v="0.11050037341299478"/>
  </r>
  <r>
    <n v="1022"/>
    <s v="9443557f-17dc-4de9-9eb5-621c3046dd24"/>
    <x v="1"/>
    <x v="0"/>
    <x v="8"/>
    <s v="в ипотеке"/>
    <s v="консолидация кредитов"/>
    <n v="582912"/>
    <n v="685"/>
    <n v="1411472"/>
    <n v="10162.530000000001"/>
    <n v="14.7"/>
    <n v="48"/>
    <n v="12"/>
    <n v="373255"/>
    <n v="1445422"/>
    <n v="0"/>
    <n v="1.5560731641429908"/>
    <n v="0.91211717709720375"/>
    <n v="0.54545454545454541"/>
    <n v="0.26190476190476192"/>
    <n v="0"/>
    <n v="117622.66666666667"/>
    <n v="8.6399418479431403E-2"/>
  </r>
  <r>
    <n v="1238"/>
    <s v="47ffb722-c5ef-428c-a9e9-697e9b89b36c"/>
    <x v="0"/>
    <x v="0"/>
    <x v="9"/>
    <s v="в аренде"/>
    <s v="консолидация кредитов"/>
    <n v="554906"/>
    <n v="596"/>
    <n v="3833820"/>
    <n v="30510.959999999999"/>
    <n v="45.3"/>
    <n v="35.265240640000002"/>
    <n v="29"/>
    <n v="568936"/>
    <n v="1438360"/>
    <n v="0"/>
    <n v="1.3966271391758829"/>
    <n v="0.79360852197070575"/>
    <n v="0.40074137090909095"/>
    <n v="0.66666666666666663"/>
    <n v="0"/>
    <n v="319485"/>
    <n v="9.5500446030330061E-2"/>
  </r>
  <r>
    <n v="1194"/>
    <s v="dbe8e6bb-392c-4873-bfd8-1c1f4b41c8d2"/>
    <x v="0"/>
    <x v="1"/>
    <x v="1"/>
    <s v="в ипотеке"/>
    <s v="консолидация кредитов"/>
    <n v="605836"/>
    <n v="746"/>
    <n v="1950863"/>
    <n v="39505.18"/>
    <n v="14"/>
    <n v="35.265240640000002"/>
    <n v="10"/>
    <n v="972154"/>
    <n v="1437612"/>
    <n v="0"/>
    <n v="1.6865859355614716"/>
    <n v="0.99334221038615178"/>
    <n v="0.40074137090909095"/>
    <n v="0.21428571428571427"/>
    <n v="0"/>
    <n v="162571.91666666666"/>
    <n v="0.24300125636705397"/>
  </r>
  <r>
    <n v="1521"/>
    <s v="9fcf07e7-abc3-4ef6-b1d5-26a6561d25d6"/>
    <x v="0"/>
    <x v="1"/>
    <x v="6"/>
    <s v="в аренде"/>
    <s v="консолидация кредитов"/>
    <n v="309594.52439999999"/>
    <n v="751"/>
    <n v="700758"/>
    <n v="14482.37"/>
    <n v="25"/>
    <n v="35.265240640000002"/>
    <n v="13"/>
    <n v="259730"/>
    <n v="1432090"/>
    <n v="0"/>
    <n v="-1.2411115481956205E-10"/>
    <n v="1"/>
    <n v="0.40074137090909095"/>
    <n v="0.2857142857142857"/>
    <n v="0"/>
    <n v="58396.5"/>
    <n v="0.24800065072393038"/>
  </r>
  <r>
    <n v="767"/>
    <s v="6e114107-2576-4a5b-91af-a7669333eca3"/>
    <x v="0"/>
    <x v="0"/>
    <x v="1"/>
    <s v="в ипотеке"/>
    <s v="приобретение автомобиля"/>
    <n v="54824"/>
    <n v="747"/>
    <n v="830813"/>
    <n v="5130.38"/>
    <n v="24.2"/>
    <n v="35.265240640000002"/>
    <n v="13"/>
    <n v="76665"/>
    <n v="1431650"/>
    <n v="0"/>
    <n v="-1.45048016131691"/>
    <n v="0.9946737683089214"/>
    <n v="0.40074137090909095"/>
    <n v="0.2857142857142857"/>
    <n v="0"/>
    <n v="69234.416666666672"/>
    <n v="7.4101584833169434E-2"/>
  </r>
  <r>
    <n v="541"/>
    <s v="88e65c1a-6017-4b90-b665-cab74ecc5111"/>
    <x v="1"/>
    <x v="0"/>
    <x v="1"/>
    <s v="в ипотеке"/>
    <s v="иное"/>
    <n v="288354"/>
    <n v="618"/>
    <n v="2298696"/>
    <n v="33331.129999999997"/>
    <n v="15.5"/>
    <n v="35.265240640000002"/>
    <n v="18"/>
    <n v="657913"/>
    <n v="1429230"/>
    <n v="0"/>
    <n v="-0.12092827205858447"/>
    <n v="0.82290279627163787"/>
    <n v="0.40074137090909095"/>
    <n v="0.40476190476190477"/>
    <n v="0"/>
    <n v="191558"/>
    <n v="0.1740001983733386"/>
  </r>
  <r>
    <n v="324"/>
    <s v="cc8b7adc-f294-45d6-9348-240f1899f6cf"/>
    <x v="0"/>
    <x v="1"/>
    <x v="10"/>
    <s v="в ипотеке"/>
    <s v="иное"/>
    <n v="154748"/>
    <n v="748"/>
    <n v="1603657"/>
    <n v="8539.5499999999993"/>
    <n v="29.2"/>
    <n v="35.265240640000002"/>
    <n v="11"/>
    <n v="9842"/>
    <n v="1425820"/>
    <n v="0"/>
    <n v="-0.88158476037378097"/>
    <n v="0.99600532623169102"/>
    <n v="0.40074137090909095"/>
    <n v="0.23809523809523808"/>
    <n v="0"/>
    <n v="133638.08333333334"/>
    <n v="6.3900572254540711E-2"/>
  </r>
  <r>
    <n v="1553"/>
    <s v="5f182706-5f96-4d9c-a103-3796e3a0a612"/>
    <x v="0"/>
    <x v="0"/>
    <x v="1"/>
    <s v="в ипотеке"/>
    <s v="консолидация кредитов"/>
    <n v="643500"/>
    <n v="739"/>
    <n v="1852500"/>
    <n v="20377.5"/>
    <n v="22.7"/>
    <n v="35.265240640000002"/>
    <n v="16"/>
    <n v="356193"/>
    <n v="1422190"/>
    <n v="0"/>
    <n v="1.9010176674889567"/>
    <n v="0.98402130492676432"/>
    <n v="0.40074137090909095"/>
    <n v="0.35714285714285715"/>
    <n v="0"/>
    <n v="154375"/>
    <n v="0.13200000000000001"/>
  </r>
  <r>
    <n v="1712"/>
    <s v="ac24a40c-5ab4-4d57-a3dc-de7c86de4672"/>
    <x v="0"/>
    <x v="0"/>
    <x v="1"/>
    <s v="в ипотеке"/>
    <s v="консолидация кредитов"/>
    <n v="281644"/>
    <n v="0"/>
    <n v="1168044"/>
    <n v="17788.18"/>
    <n v="34.1"/>
    <n v="34"/>
    <n v="21"/>
    <n v="671593"/>
    <n v="1419044"/>
    <n v="0"/>
    <n v="-0.15913018691716094"/>
    <n v="0"/>
    <n v="0.38636363636363635"/>
    <n v="0.47619047619047616"/>
    <n v="0"/>
    <n v="97337"/>
    <n v="0.18274838961545969"/>
  </r>
  <r>
    <n v="1185"/>
    <s v="450fa09c-d15f-4103-a767-78ec95c89072"/>
    <x v="0"/>
    <x v="1"/>
    <x v="0"/>
    <s v="в ипотеке"/>
    <s v="консолидация кредитов"/>
    <n v="612304"/>
    <n v="747"/>
    <n v="1794170"/>
    <n v="14248.67"/>
    <n v="29.9"/>
    <n v="24"/>
    <n v="9"/>
    <n v="510720"/>
    <n v="1411344"/>
    <n v="0"/>
    <n v="1.7234100764415421"/>
    <n v="0.9946737683089214"/>
    <n v="0.27272727272727271"/>
    <n v="0.19047619047619047"/>
    <n v="0"/>
    <n v="149514.16666666666"/>
    <n v="9.5299798792756546E-2"/>
  </r>
  <r>
    <n v="1984"/>
    <s v="9f35f3f5-b9bc-40a1-b82f-d77570315445"/>
    <x v="0"/>
    <x v="1"/>
    <x v="5"/>
    <s v="в ипотеке"/>
    <s v="иное"/>
    <n v="765314"/>
    <n v="740"/>
    <n v="4060091"/>
    <n v="22161.22"/>
    <n v="20.9"/>
    <n v="35.265240640000002"/>
    <n v="7"/>
    <n v="587879"/>
    <n v="1409320"/>
    <n v="0"/>
    <n v="2.59453898739695"/>
    <n v="0.98535286284953394"/>
    <n v="0.40074137090909095"/>
    <n v="0.14285714285714285"/>
    <n v="0"/>
    <n v="338340.91666666669"/>
    <n v="6.5499674760984422E-2"/>
  </r>
  <r>
    <n v="1070"/>
    <s v="79f991de-7a20-4f7a-8663-60f8758a590b"/>
    <x v="1"/>
    <x v="1"/>
    <x v="1"/>
    <s v="в ипотеке"/>
    <s v="консолидация кредитов"/>
    <n v="217734"/>
    <n v="731"/>
    <n v="1222289"/>
    <n v="25158.66"/>
    <n v="33.4"/>
    <n v="5"/>
    <n v="13"/>
    <n v="533691"/>
    <n v="1407626"/>
    <n v="0"/>
    <n v="-0.52298776942261882"/>
    <n v="0.97336884154460723"/>
    <n v="5.6818181818181816E-2"/>
    <n v="0.2857142857142857"/>
    <n v="0"/>
    <n v="101857.41666666667"/>
    <n v="0.24699880306539615"/>
  </r>
  <r>
    <n v="1270"/>
    <s v="70ced9d2-7718-4201-a94b-1a1067142ffb"/>
    <x v="1"/>
    <x v="0"/>
    <x v="1"/>
    <s v="в аренде"/>
    <s v="иное"/>
    <n v="325248"/>
    <n v="0"/>
    <n v="1168044"/>
    <n v="14561.98"/>
    <n v="26.9"/>
    <n v="53"/>
    <n v="23"/>
    <n v="452219"/>
    <n v="1407604"/>
    <n v="0"/>
    <n v="8.9119633573654045E-2"/>
    <n v="0"/>
    <n v="0.60227272727272729"/>
    <n v="0.52380952380952384"/>
    <n v="0"/>
    <n v="97337"/>
    <n v="0.14960374780402108"/>
  </r>
  <r>
    <n v="1144"/>
    <s v="61a450f6-180d-48ae-9ccc-1f8e8a873afc"/>
    <x v="0"/>
    <x v="0"/>
    <x v="4"/>
    <s v="в ипотеке"/>
    <s v="консолидация кредитов"/>
    <n v="262922"/>
    <n v="714"/>
    <n v="2895087"/>
    <n v="44632.52"/>
    <n v="23.9"/>
    <n v="19"/>
    <n v="27"/>
    <n v="521835"/>
    <n v="1405184"/>
    <n v="0"/>
    <n v="-0.26571979198158252"/>
    <n v="0.95073235685752333"/>
    <n v="0.21590909090909091"/>
    <n v="0.61904761904761907"/>
    <n v="0"/>
    <n v="241257.25"/>
    <n v="0.18499970467208757"/>
  </r>
  <r>
    <n v="1377"/>
    <s v="8a68583c-6dde-4d14-bb90-e79e853f8bd5"/>
    <x v="0"/>
    <x v="0"/>
    <x v="4"/>
    <s v="в аренде"/>
    <s v="консолидация кредитов"/>
    <n v="309594.52439999999"/>
    <n v="676"/>
    <n v="2042766"/>
    <n v="32513.94"/>
    <n v="24"/>
    <n v="31"/>
    <n v="20"/>
    <n v="856330"/>
    <n v="1404436"/>
    <n v="0"/>
    <n v="-1.2411115481956205E-10"/>
    <n v="0.90013315579227693"/>
    <n v="0.35227272727272729"/>
    <n v="0.45238095238095238"/>
    <n v="0"/>
    <n v="170230.5"/>
    <n v="0.19099949773982922"/>
  </r>
  <r>
    <n v="484"/>
    <s v="46918079-5f39-4ca0-b881-fe0e13db717d"/>
    <x v="0"/>
    <x v="0"/>
    <x v="2"/>
    <s v="в ипотеке"/>
    <s v="иное"/>
    <n v="455906"/>
    <n v="727"/>
    <n v="3562348"/>
    <n v="49576.13"/>
    <n v="19.399999999999999"/>
    <n v="35.265240640000002"/>
    <n v="14"/>
    <n v="974415"/>
    <n v="1399838"/>
    <n v="1"/>
    <n v="0.83299232978704973"/>
    <n v="0.96804260985352863"/>
    <n v="0.40074137090909095"/>
    <n v="0.30952380952380953"/>
    <n v="0.14285714285714285"/>
    <n v="296862.33333333331"/>
    <n v="0.16700040535062829"/>
  </r>
  <r>
    <n v="1816"/>
    <s v="417671d7-7f78-4710-8ecf-8c69136c5a4c"/>
    <x v="0"/>
    <x v="0"/>
    <x v="1"/>
    <s v="в собственности"/>
    <s v="консолидация кредитов"/>
    <n v="563530"/>
    <n v="738"/>
    <n v="2316613"/>
    <n v="26641.23"/>
    <n v="22"/>
    <n v="35.265240640000002"/>
    <n v="9"/>
    <n v="514634"/>
    <n v="1398826"/>
    <n v="0"/>
    <n v="1.4457259936826437"/>
    <n v="0.9826897470039947"/>
    <n v="0.40074137090909095"/>
    <n v="0.19047619047619047"/>
    <n v="0"/>
    <n v="193051.08333333334"/>
    <n v="0.13800093498568816"/>
  </r>
  <r>
    <n v="91"/>
    <s v="64f770d8-dec2-42e7-8955-6149ce7efd5f"/>
    <x v="0"/>
    <x v="1"/>
    <x v="1"/>
    <s v="в аренде"/>
    <s v="консолидация кредитов"/>
    <n v="479358"/>
    <n v="0"/>
    <n v="1168044"/>
    <n v="22659.59"/>
    <n v="22.4"/>
    <n v="41"/>
    <n v="13"/>
    <n v="807462"/>
    <n v="1391302"/>
    <n v="0"/>
    <n v="0.96651115352227113"/>
    <n v="0"/>
    <n v="0.46590909090909088"/>
    <n v="0.2857142857142857"/>
    <n v="0"/>
    <n v="97337"/>
    <n v="0.2327952371657232"/>
  </r>
  <r>
    <n v="1812"/>
    <s v="4224da98-3662-4e91-9cff-1c7d2af1bbb4"/>
    <x v="0"/>
    <x v="0"/>
    <x v="9"/>
    <s v="в аренде"/>
    <s v="консолидация кредитов"/>
    <n v="249194"/>
    <n v="738"/>
    <n v="1056818"/>
    <n v="23249.73"/>
    <n v="15.8"/>
    <n v="35.265240640000002"/>
    <n v="15"/>
    <n v="587556"/>
    <n v="1391258"/>
    <n v="0"/>
    <n v="-0.34387715221683407"/>
    <n v="0.9826897470039947"/>
    <n v="0.40074137090909095"/>
    <n v="0.33333333333333331"/>
    <n v="0"/>
    <n v="88068.166666666672"/>
    <n v="0.26399697961238355"/>
  </r>
  <r>
    <n v="312"/>
    <s v="642ec47d-8e65-4bbe-908b-a440ad279979"/>
    <x v="0"/>
    <x v="1"/>
    <x v="9"/>
    <s v="в ипотеке"/>
    <s v="иное"/>
    <n v="753368"/>
    <n v="0"/>
    <n v="1168044"/>
    <n v="75878.02"/>
    <n v="43.3"/>
    <n v="35.265240640000002"/>
    <n v="19"/>
    <n v="834784"/>
    <n v="1378872"/>
    <n v="0"/>
    <n v="2.5265270537306974"/>
    <n v="0"/>
    <n v="0.40074137090909095"/>
    <n v="0.42857142857142855"/>
    <n v="0"/>
    <n v="97337"/>
    <n v="0.7795393324224088"/>
  </r>
  <r>
    <n v="1050"/>
    <s v="967cf3f5-6e9c-4819-8a89-4b6e3ec6770f"/>
    <x v="0"/>
    <x v="1"/>
    <x v="1"/>
    <s v="в ипотеке"/>
    <s v="ремонт жилья"/>
    <n v="667062"/>
    <n v="725"/>
    <n v="1843513"/>
    <n v="31800.68"/>
    <n v="18.5"/>
    <n v="35.265240640000002"/>
    <n v="17"/>
    <n v="148200"/>
    <n v="1372734"/>
    <n v="0"/>
    <n v="2.0351627521234987"/>
    <n v="0.96537949400798939"/>
    <n v="0.40074137090909095"/>
    <n v="0.38095238095238093"/>
    <n v="0"/>
    <n v="153626.08333333334"/>
    <n v="0.20700052562688734"/>
  </r>
  <r>
    <n v="1443"/>
    <s v="28720c21-9466-4e16-8b15-047adae95389"/>
    <x v="0"/>
    <x v="1"/>
    <x v="5"/>
    <s v="в собственности"/>
    <s v="консолидация кредитов"/>
    <n v="729542"/>
    <n v="734"/>
    <n v="2044438"/>
    <n v="57414.77"/>
    <n v="10"/>
    <n v="35.265240640000002"/>
    <n v="12"/>
    <n v="811243"/>
    <n v="1369302"/>
    <n v="0"/>
    <n v="2.390878942937785"/>
    <n v="0.9773635153129161"/>
    <n v="0.40074137090909095"/>
    <n v="0.26190476190476192"/>
    <n v="0"/>
    <n v="170369.83333333334"/>
    <n v="0.33700079924164972"/>
  </r>
  <r>
    <n v="277"/>
    <s v="7d58405b-a575-43df-882d-3053fef20637"/>
    <x v="1"/>
    <x v="1"/>
    <x v="3"/>
    <s v="в собственности"/>
    <s v="ремонт жилья"/>
    <n v="334356"/>
    <n v="749"/>
    <n v="1636318"/>
    <n v="25635.75"/>
    <n v="11.7"/>
    <n v="35.265240640000002"/>
    <n v="15"/>
    <n v="271928"/>
    <n v="1363098"/>
    <n v="0"/>
    <n v="0.1409740360374267"/>
    <n v="0.99733688415446076"/>
    <n v="0.40074137090909095"/>
    <n v="0.33333333333333331"/>
    <n v="0"/>
    <n v="136359.83333333334"/>
    <n v="0.18800074313183621"/>
  </r>
  <r>
    <n v="1518"/>
    <s v="5e1c9374-3032-4e45-94a3-db149205ce0f"/>
    <x v="1"/>
    <x v="1"/>
    <x v="1"/>
    <s v="в аренде"/>
    <s v="консолидация кредитов"/>
    <n v="431948"/>
    <n v="0"/>
    <n v="1168044"/>
    <n v="25109.26"/>
    <n v="16.899999999999999"/>
    <n v="8"/>
    <n v="15"/>
    <n v="554230"/>
    <n v="1356740"/>
    <n v="0"/>
    <n v="0.69659270591495215"/>
    <n v="0"/>
    <n v="9.0909090909090912E-2"/>
    <n v="0.33333333333333331"/>
    <n v="0"/>
    <n v="97337"/>
    <n v="0.25796213156353698"/>
  </r>
  <r>
    <n v="81"/>
    <s v="2bafd352-5fbb-4435-8316-fa2e7bc6950f"/>
    <x v="0"/>
    <x v="1"/>
    <x v="2"/>
    <s v="в аренде"/>
    <s v="иное"/>
    <n v="309594.52439999999"/>
    <n v="748"/>
    <n v="1875680"/>
    <n v="9393.98"/>
    <n v="13"/>
    <n v="35.265240640000002"/>
    <n v="14"/>
    <n v="232674"/>
    <n v="1353858"/>
    <n v="0"/>
    <n v="-1.2411115481956205E-10"/>
    <n v="0.99600532623169102"/>
    <n v="0.40074137090909095"/>
    <n v="0.30952380952380953"/>
    <n v="0"/>
    <n v="156306.66666666666"/>
    <n v="6.0099675850891411E-2"/>
  </r>
  <r>
    <n v="779"/>
    <s v="67e93ee0-bb2f-4a16-9d06-6600d084baae"/>
    <x v="1"/>
    <x v="1"/>
    <x v="1"/>
    <s v="в ипотеке"/>
    <s v="консолидация кредитов"/>
    <n v="788326"/>
    <n v="0"/>
    <n v="1168044"/>
    <n v="36388.61"/>
    <n v="22"/>
    <n v="42"/>
    <n v="28"/>
    <n v="565820"/>
    <n v="1353638"/>
    <n v="0"/>
    <n v="2.7255527675348876"/>
    <n v="0"/>
    <n v="0.47727272727272729"/>
    <n v="0.6428571428571429"/>
    <n v="0"/>
    <n v="97337"/>
    <n v="0.37384149912160841"/>
  </r>
  <r>
    <n v="1146"/>
    <s v="b7c9cf87-28d8-4733-9676-4f168c938b9e"/>
    <x v="0"/>
    <x v="0"/>
    <x v="5"/>
    <s v="в ипотеке"/>
    <s v="консолидация кредитов"/>
    <n v="556160"/>
    <n v="708"/>
    <n v="3266176"/>
    <n v="51034"/>
    <n v="29.5"/>
    <n v="35.265240640000002"/>
    <n v="8"/>
    <n v="1122254"/>
    <n v="1353594"/>
    <n v="0"/>
    <n v="1.4037665134281416"/>
    <n v="0.94274300932090549"/>
    <n v="0.40074137090909095"/>
    <n v="0.16666666666666666"/>
    <n v="0"/>
    <n v="272181.33333333331"/>
    <n v="0.1875"/>
  </r>
  <r>
    <n v="1283"/>
    <s v="c5512d92-3712-40a6-b1f5-f196403e503d"/>
    <x v="0"/>
    <x v="0"/>
    <x v="1"/>
    <s v="в аренде"/>
    <s v="консолидация кредитов"/>
    <n v="536492"/>
    <n v="720"/>
    <n v="1061834"/>
    <n v="14069.12"/>
    <n v="19.399999999999999"/>
    <n v="35.265240640000002"/>
    <n v="7"/>
    <n v="629603"/>
    <n v="1347544"/>
    <n v="0"/>
    <n v="1.2917910646295601"/>
    <n v="0.95872170439414117"/>
    <n v="0.40074137090909095"/>
    <n v="0.14285714285714285"/>
    <n v="0"/>
    <n v="88486.166666666672"/>
    <n v="0.15899796013312814"/>
  </r>
  <r>
    <n v="170"/>
    <s v="47fdd7c4-e629-4826-a847-d2438cf2f445"/>
    <x v="0"/>
    <x v="1"/>
    <x v="1"/>
    <s v="в ипотеке"/>
    <s v="иное"/>
    <n v="64966"/>
    <n v="723"/>
    <n v="1224968"/>
    <n v="23172.21"/>
    <n v="44"/>
    <n v="48"/>
    <n v="16"/>
    <n v="858154"/>
    <n v="1344574"/>
    <n v="0"/>
    <n v="-1.3927389063995206"/>
    <n v="0.96271637816245004"/>
    <n v="0.54545454545454541"/>
    <n v="0.35714285714285715"/>
    <n v="0"/>
    <n v="102080.66666666667"/>
    <n v="0.22699900732100756"/>
  </r>
  <r>
    <n v="931"/>
    <s v="32d06b3a-5a7d-4e40-aa83-c0c51d37cc51"/>
    <x v="1"/>
    <x v="0"/>
    <x v="8"/>
    <s v="в ипотеке"/>
    <s v="консолидация кредитов"/>
    <n v="769780"/>
    <n v="702"/>
    <n v="1519544"/>
    <n v="26718.75"/>
    <n v="14.2"/>
    <n v="35.265240640000002"/>
    <n v="16"/>
    <n v="399152"/>
    <n v="1343518"/>
    <n v="0"/>
    <n v="2.6199651799093795"/>
    <n v="0.93475366178428765"/>
    <n v="0.40074137090909095"/>
    <n v="0.35714285714285715"/>
    <n v="0"/>
    <n v="126628.66666666667"/>
    <n v="0.21100080024007201"/>
  </r>
  <r>
    <n v="496"/>
    <s v="b99a249c-a1e8-4322-b109-6ad4c085abd8"/>
    <x v="1"/>
    <x v="0"/>
    <x v="10"/>
    <s v="в аренде"/>
    <s v="консолидация кредитов"/>
    <n v="484968"/>
    <n v="733"/>
    <n v="1523040"/>
    <n v="30587.72"/>
    <n v="16.8"/>
    <n v="35.265240640000002"/>
    <n v="13"/>
    <n v="491359"/>
    <n v="1338656"/>
    <n v="0"/>
    <n v="0.99845045938763832"/>
    <n v="0.97603195739014648"/>
    <n v="0.40074137090909095"/>
    <n v="0.2857142857142857"/>
    <n v="0"/>
    <n v="126920"/>
    <n v="0.24100000000000002"/>
  </r>
  <r>
    <n v="139"/>
    <s v="1d77b9af-c36c-4683-81e2-54bfb01f00d6"/>
    <x v="1"/>
    <x v="1"/>
    <x v="4"/>
    <s v="в аренде"/>
    <s v="консолидация кредитов"/>
    <n v="402534"/>
    <n v="741"/>
    <n v="3090160"/>
    <n v="23639.8"/>
    <n v="19.600000000000001"/>
    <n v="6"/>
    <n v="15"/>
    <n v="691467"/>
    <n v="1332188"/>
    <n v="0"/>
    <n v="0.52913054143653648"/>
    <n v="0.98668442077230356"/>
    <n v="6.8181818181818177E-2"/>
    <n v="0.33333333333333331"/>
    <n v="0"/>
    <n v="257513.33333333334"/>
    <n v="9.1800295130349235E-2"/>
  </r>
  <r>
    <n v="1121"/>
    <s v="7bdca1a0-abbb-4f80-9d36-a6079de3b59d"/>
    <x v="0"/>
    <x v="1"/>
    <x v="1"/>
    <s v="в ипотеке"/>
    <s v="консолидация кредитов"/>
    <n v="269324"/>
    <n v="0"/>
    <n v="1168044"/>
    <n v="45745.73"/>
    <n v="25.8"/>
    <n v="30"/>
    <n v="13"/>
    <n v="563958"/>
    <n v="1329944"/>
    <n v="0"/>
    <n v="-0.22927140764110465"/>
    <n v="0"/>
    <n v="0.34090909090909088"/>
    <n v="0.2857142857142857"/>
    <n v="0"/>
    <n v="97337"/>
    <n v="0.46997267226234629"/>
  </r>
  <r>
    <n v="1604"/>
    <s v="b8602659-ced8-47b6-bb1e-34036163c025"/>
    <x v="0"/>
    <x v="1"/>
    <x v="1"/>
    <s v="в ипотеке"/>
    <s v="иное"/>
    <n v="336006"/>
    <n v="739"/>
    <n v="2321496"/>
    <n v="9111.83"/>
    <n v="24.1"/>
    <n v="35.265240640000002"/>
    <n v="6"/>
    <n v="502170"/>
    <n v="1321518"/>
    <n v="0"/>
    <n v="0.15036794952724059"/>
    <n v="0.98402130492676432"/>
    <n v="0.40074137090909095"/>
    <n v="0.11904761904761904"/>
    <n v="0"/>
    <n v="193458"/>
    <n v="4.7099783932429778E-2"/>
  </r>
  <r>
    <n v="336"/>
    <s v="6885de95-8a49-4ddb-a8da-b4d3bbb88190"/>
    <x v="0"/>
    <x v="1"/>
    <x v="3"/>
    <s v="в ипотеке"/>
    <s v="консолидация кредитов"/>
    <n v="309594.52439999999"/>
    <n v="733"/>
    <n v="1803936"/>
    <n v="10988.84"/>
    <n v="24.5"/>
    <n v="35.265240640000002"/>
    <n v="13"/>
    <n v="418133"/>
    <n v="1315666"/>
    <n v="0"/>
    <n v="-1.2411115481956205E-10"/>
    <n v="0.97603195739014648"/>
    <n v="0.40074137090909095"/>
    <n v="0.2857142857142857"/>
    <n v="0"/>
    <n v="150328"/>
    <n v="7.3099089989888774E-2"/>
  </r>
  <r>
    <n v="1148"/>
    <s v="442eacdb-5cef-4093-ab03-1d1c561eef1b"/>
    <x v="0"/>
    <x v="0"/>
    <x v="1"/>
    <s v="в аренде"/>
    <s v="консолидация кредитов"/>
    <n v="476498"/>
    <n v="737"/>
    <n v="1215867"/>
    <n v="16718.099999999999"/>
    <n v="21.6"/>
    <n v="35.265240640000002"/>
    <n v="18"/>
    <n v="239875"/>
    <n v="1310166"/>
    <n v="0"/>
    <n v="0.950228370139927"/>
    <n v="0.98135818908122507"/>
    <n v="0.40074137090909095"/>
    <n v="0.40476190476190477"/>
    <n v="0"/>
    <n v="101322.25"/>
    <n v="0.16499929679808728"/>
  </r>
  <r>
    <n v="487"/>
    <s v="df91f048-5e68-4921-877c-32f03638953f"/>
    <x v="0"/>
    <x v="1"/>
    <x v="0"/>
    <s v="в аренде"/>
    <s v="консолидация кредитов"/>
    <n v="309594.52439999999"/>
    <n v="743"/>
    <n v="2278632"/>
    <n v="32850.239999999998"/>
    <n v="14.5"/>
    <n v="38"/>
    <n v="12"/>
    <n v="444315"/>
    <n v="1309066"/>
    <n v="0"/>
    <n v="-1.2411115481956205E-10"/>
    <n v="0.98934753661784292"/>
    <n v="0.43181818181818182"/>
    <n v="0.26190476190476192"/>
    <n v="0"/>
    <n v="189886"/>
    <n v="0.17299979987992795"/>
  </r>
  <r>
    <n v="422"/>
    <s v="471802fa-e65d-4247-92d1-9a838d2b2080"/>
    <x v="0"/>
    <x v="1"/>
    <x v="7"/>
    <s v="в ипотеке"/>
    <s v="консолидация кредитов"/>
    <n v="630234"/>
    <n v="0"/>
    <n v="1168044"/>
    <n v="32910.85"/>
    <n v="15.6"/>
    <n v="35.265240640000002"/>
    <n v="13"/>
    <n v="1060846"/>
    <n v="1305370"/>
    <n v="0"/>
    <n v="1.8254906030308531"/>
    <n v="0"/>
    <n v="0.40074137090909095"/>
    <n v="0.2857142857142857"/>
    <n v="0"/>
    <n v="97337"/>
    <n v="0.33811243412063241"/>
  </r>
  <r>
    <n v="967"/>
    <s v="b2892b2c-c302-41a1-8a6a-1a52338fd2b1"/>
    <x v="0"/>
    <x v="1"/>
    <x v="5"/>
    <s v="в аренде"/>
    <s v="консолидация кредитов"/>
    <n v="449636"/>
    <n v="721"/>
    <n v="2524093"/>
    <n v="20339.88"/>
    <n v="16.399999999999999"/>
    <n v="35.265240640000002"/>
    <n v="17"/>
    <n v="523697"/>
    <n v="1295668"/>
    <n v="0"/>
    <n v="0.79729545852575701"/>
    <n v="0.96005326231691079"/>
    <n v="0.40074137090909095"/>
    <n v="0.38095238095238093"/>
    <n v="0"/>
    <n v="210341.08333333334"/>
    <n v="9.6699511468079827E-2"/>
  </r>
  <r>
    <n v="1388"/>
    <s v="192bc557-cd9b-4c14-a9e6-59ba96fc5f06"/>
    <x v="0"/>
    <x v="1"/>
    <x v="5"/>
    <s v="в собственности"/>
    <s v="консолидация кредитов"/>
    <n v="111078"/>
    <n v="745"/>
    <n v="1841879"/>
    <n v="9454.9699999999993"/>
    <n v="24.4"/>
    <n v="35.265240640000002"/>
    <n v="16"/>
    <n v="526870"/>
    <n v="1289772"/>
    <n v="1"/>
    <n v="-1.1302103374041885"/>
    <n v="0.99201065246338216"/>
    <n v="0.40074137090909095"/>
    <n v="0.35714285714285715"/>
    <n v="0.14285714285714285"/>
    <n v="153489.91666666666"/>
    <n v="6.1599942232904548E-2"/>
  </r>
  <r>
    <n v="985"/>
    <s v="1278e0fd-cc5b-4e65-8282-f9ace5e87bf4"/>
    <x v="0"/>
    <x v="0"/>
    <x v="1"/>
    <s v="в собственности"/>
    <s v="консолидация кредитов"/>
    <n v="479490"/>
    <n v="680"/>
    <n v="2032924"/>
    <n v="29477.360000000001"/>
    <n v="12.8"/>
    <n v="35.265240640000002"/>
    <n v="16"/>
    <n v="674956"/>
    <n v="1289640"/>
    <n v="0"/>
    <n v="0.96726266660145621"/>
    <n v="0.90545938748335553"/>
    <n v="0.40074137090909095"/>
    <n v="0.35714285714285715"/>
    <n v="0"/>
    <n v="169410.33333333334"/>
    <n v="0.17399977569254924"/>
  </r>
  <r>
    <n v="1105"/>
    <s v="6fe407e0-0b9b-4356-8fd7-0c52f828a559"/>
    <x v="0"/>
    <x v="1"/>
    <x v="9"/>
    <s v="в аренде"/>
    <s v="консолидация кредитов"/>
    <n v="467126"/>
    <n v="737"/>
    <n v="3487640"/>
    <n v="24064.639999999999"/>
    <n v="22.1"/>
    <n v="35.265240640000002"/>
    <n v="11"/>
    <n v="890302"/>
    <n v="1285394"/>
    <n v="0"/>
    <n v="0.89687094151778413"/>
    <n v="0.98135818908122507"/>
    <n v="0.40074137090909095"/>
    <n v="0.23809523809523808"/>
    <n v="0"/>
    <n v="290636.66666666669"/>
    <n v="8.2799738505120929E-2"/>
  </r>
  <r>
    <n v="1843"/>
    <s v="2f7072c8-2f35-4601-9bfb-15b4a3c3b821"/>
    <x v="0"/>
    <x v="1"/>
    <x v="9"/>
    <s v="в ипотеке"/>
    <s v="консолидация кредитов"/>
    <n v="179036"/>
    <n v="0"/>
    <n v="1168044"/>
    <n v="29207.18"/>
    <n v="21.5"/>
    <n v="35.265240640000002"/>
    <n v="16"/>
    <n v="587689"/>
    <n v="1283942"/>
    <n v="0"/>
    <n v="-0.74330635380372057"/>
    <n v="0"/>
    <n v="0.40074137090909095"/>
    <n v="0.35714285714285715"/>
    <n v="0"/>
    <n v="97337"/>
    <n v="0.30006246340035136"/>
  </r>
  <r>
    <n v="748"/>
    <s v="e6664f24-0b69-45aa-9f50-95941f12cd9f"/>
    <x v="0"/>
    <x v="1"/>
    <x v="1"/>
    <s v="в ипотеке"/>
    <s v="консолидация кредитов"/>
    <n v="175956"/>
    <n v="749"/>
    <n v="664867"/>
    <n v="13962.15"/>
    <n v="42.4"/>
    <n v="35.265240640000002"/>
    <n v="9"/>
    <n v="168511"/>
    <n v="1283700"/>
    <n v="0"/>
    <n v="-0.76084165898470646"/>
    <n v="0.99733688415446076"/>
    <n v="0.40074137090909095"/>
    <n v="0.19047619047619047"/>
    <n v="0"/>
    <n v="55405.583333333336"/>
    <n v="0.25199897122281595"/>
  </r>
  <r>
    <n v="1907"/>
    <s v="cb6a4ea4-83ec-4185-a9dd-0fc472450fb2"/>
    <x v="0"/>
    <x v="1"/>
    <x v="1"/>
    <s v="в ипотеке"/>
    <s v="консолидация кредитов"/>
    <n v="429880"/>
    <n v="748"/>
    <n v="1949115"/>
    <n v="22252.42"/>
    <n v="22.2"/>
    <n v="35.265240640000002"/>
    <n v="22"/>
    <n v="302575"/>
    <n v="1283348"/>
    <n v="0"/>
    <n v="0.68481900100771864"/>
    <n v="0.99600532623169102"/>
    <n v="0.40074137090909095"/>
    <n v="0.5"/>
    <n v="0"/>
    <n v="162426.25"/>
    <n v="0.13700014622020762"/>
  </r>
  <r>
    <n v="1019"/>
    <s v="4468f98f-a921-4524-bc8e-eded86ec4b10"/>
    <x v="0"/>
    <x v="1"/>
    <x v="5"/>
    <s v="в ипотеке"/>
    <s v="ремонт жилья"/>
    <n v="759308"/>
    <n v="680"/>
    <n v="2950909"/>
    <n v="30738.77"/>
    <n v="28.3"/>
    <n v="35.265240640000002"/>
    <n v="14"/>
    <n v="692075"/>
    <n v="1282138"/>
    <n v="0"/>
    <n v="2.5603451422940275"/>
    <n v="0.90545938748335553"/>
    <n v="0.40074137090909095"/>
    <n v="0.30952380952380953"/>
    <n v="0"/>
    <n v="245909.08333333334"/>
    <n v="0.12500054728898791"/>
  </r>
  <r>
    <n v="1032"/>
    <s v="40a57661-77a5-4732-8166-f2d081e8822b"/>
    <x v="0"/>
    <x v="1"/>
    <x v="10"/>
    <s v="в собственности"/>
    <s v="консолидация кредитов"/>
    <n v="223784"/>
    <n v="0"/>
    <n v="1168044"/>
    <n v="18060.07"/>
    <n v="31"/>
    <n v="14"/>
    <n v="14"/>
    <n v="399000"/>
    <n v="1279784"/>
    <n v="0"/>
    <n v="-0.48854341995996792"/>
    <n v="0"/>
    <n v="0.15909090909090909"/>
    <n v="0.30952380952380953"/>
    <n v="0"/>
    <n v="97337"/>
    <n v="0.18554167479992192"/>
  </r>
  <r>
    <n v="875"/>
    <s v="d891a41d-f475-49a5-b475-d95b072a451f"/>
    <x v="0"/>
    <x v="1"/>
    <x v="6"/>
    <s v="в ипотеке"/>
    <s v="консолидация кредитов"/>
    <n v="309594.52439999999"/>
    <n v="726"/>
    <n v="1199964"/>
    <n v="34099.11"/>
    <n v="19"/>
    <n v="35.265240640000002"/>
    <n v="31"/>
    <n v="704406"/>
    <n v="1276418"/>
    <n v="0"/>
    <n v="-1.2411115481956205E-10"/>
    <n v="0.96671105193075901"/>
    <n v="0.40074137090909095"/>
    <n v="0.7142857142857143"/>
    <n v="0"/>
    <n v="99997"/>
    <n v="0.34100133003990118"/>
  </r>
  <r>
    <n v="951"/>
    <s v="fd46e5bd-361b-4cb1-a1de-4f570524a605"/>
    <x v="0"/>
    <x v="0"/>
    <x v="1"/>
    <s v="в ипотеке"/>
    <s v="консолидация кредитов"/>
    <n v="523292"/>
    <n v="0"/>
    <n v="1168044"/>
    <n v="31635.95"/>
    <n v="27.4"/>
    <n v="82"/>
    <n v="15"/>
    <n v="634334"/>
    <n v="1268564"/>
    <n v="0"/>
    <n v="1.216639756711049"/>
    <n v="0"/>
    <n v="0.93181818181818177"/>
    <n v="0.33333333333333331"/>
    <n v="0"/>
    <n v="97337"/>
    <n v="0.32501463985945733"/>
  </r>
  <r>
    <n v="856"/>
    <s v="bde31ca6-3e9e-4b8e-8f34-c94530d0ca37"/>
    <x v="0"/>
    <x v="1"/>
    <x v="5"/>
    <s v="в аренде"/>
    <s v="консолидация кредитов"/>
    <n v="309594.52439999999"/>
    <n v="745"/>
    <n v="1774676"/>
    <n v="22863.84"/>
    <n v="16.7"/>
    <n v="35.265240640000002"/>
    <n v="16"/>
    <n v="483949"/>
    <n v="1262074"/>
    <n v="0"/>
    <n v="-1.2411115481956205E-10"/>
    <n v="0.99201065246338216"/>
    <n v="0.40074137090909095"/>
    <n v="0.35714285714285715"/>
    <n v="0"/>
    <n v="147889.66666666666"/>
    <n v="0.15460065950066379"/>
  </r>
  <r>
    <n v="105"/>
    <s v="4bdc5535-cbfe-4f08-9852-0d2a690a4644"/>
    <x v="0"/>
    <x v="1"/>
    <x v="1"/>
    <s v="в ипотеке"/>
    <s v="консолидация кредитов"/>
    <n v="448976"/>
    <n v="742"/>
    <n v="4071396"/>
    <n v="10348.16"/>
    <n v="19.7"/>
    <n v="35.265240640000002"/>
    <n v="7"/>
    <n v="486001"/>
    <n v="1253340"/>
    <n v="0"/>
    <n v="0.79353789312983136"/>
    <n v="0.98801597869507318"/>
    <n v="0.40074137090909095"/>
    <n v="0.14285714285714285"/>
    <n v="0"/>
    <n v="339283"/>
    <n v="3.0500084000672004E-2"/>
  </r>
  <r>
    <n v="482"/>
    <s v="a6f2c994-d1ca-4230-98de-8e7c0f77daf1"/>
    <x v="0"/>
    <x v="1"/>
    <x v="1"/>
    <s v="в ипотеке"/>
    <s v="консолидация кредитов"/>
    <n v="259138"/>
    <n v="751"/>
    <n v="2517804"/>
    <n v="14687.19"/>
    <n v="18.8"/>
    <n v="37"/>
    <n v="11"/>
    <n v="138491"/>
    <n v="1252878"/>
    <n v="0"/>
    <n v="-0.28726316691822235"/>
    <n v="1"/>
    <n v="0.42045454545454547"/>
    <n v="0.23809523809523808"/>
    <n v="0"/>
    <n v="209817"/>
    <n v="7.0000000000000007E-2"/>
  </r>
  <r>
    <n v="443"/>
    <s v="bd34e363-b56a-4c33-8c77-0a49d20728ac"/>
    <x v="0"/>
    <x v="1"/>
    <x v="9"/>
    <s v="в аренде"/>
    <s v="консолидация кредитов"/>
    <n v="390896"/>
    <n v="735"/>
    <n v="804460"/>
    <n v="11932.95"/>
    <n v="26.3"/>
    <n v="35.265240640000002"/>
    <n v="14"/>
    <n v="335027"/>
    <n v="1251360"/>
    <n v="1"/>
    <n v="0.46287213828838258"/>
    <n v="0.97869507323568572"/>
    <n v="0.40074137090909095"/>
    <n v="0.30952380952380953"/>
    <n v="0.14285714285714285"/>
    <n v="67038.333333333328"/>
    <n v="0.1780018894662258"/>
  </r>
  <r>
    <n v="797"/>
    <s v="11d42688-d6c7-4f1d-b32d-547d432050b8"/>
    <x v="1"/>
    <x v="1"/>
    <x v="3"/>
    <s v="в ипотеке"/>
    <s v="ремонт жилья"/>
    <n v="399014"/>
    <n v="722"/>
    <n v="2909945"/>
    <n v="51409.06"/>
    <n v="12.8"/>
    <n v="42"/>
    <n v="12"/>
    <n v="938923"/>
    <n v="1248192"/>
    <n v="0"/>
    <n v="0.50909019265826694"/>
    <n v="0.96138482023968042"/>
    <n v="0.47727272727272729"/>
    <n v="0.26190476190476192"/>
    <n v="0"/>
    <n v="242495.41666666666"/>
    <n v="0.21200013058666056"/>
  </r>
  <r>
    <n v="1394"/>
    <s v="54886261-722c-4032-b622-994f4a980926"/>
    <x v="0"/>
    <x v="0"/>
    <x v="1"/>
    <s v="в ипотеке"/>
    <s v="консолидация кредитов"/>
    <n v="309594.52439999999"/>
    <n v="713"/>
    <n v="2239416"/>
    <n v="44228.2"/>
    <n v="17.3"/>
    <n v="35.265240640000002"/>
    <n v="17"/>
    <n v="632263"/>
    <n v="1247180"/>
    <n v="0"/>
    <n v="-1.2411115481956205E-10"/>
    <n v="0.94940079893475371"/>
    <n v="0.40074137090909095"/>
    <n v="0.38095238095238093"/>
    <n v="0"/>
    <n v="186618"/>
    <n v="0.23699857462838525"/>
  </r>
  <r>
    <n v="440"/>
    <s v="f8fe1ce7-dd1b-45e4-86d8-1446b353b817"/>
    <x v="0"/>
    <x v="1"/>
    <x v="5"/>
    <s v="в ипотеке"/>
    <s v="консолидация кредитов"/>
    <n v="767624"/>
    <n v="733"/>
    <n v="2083825"/>
    <n v="22574.85"/>
    <n v="12.6"/>
    <n v="35.265240640000002"/>
    <n v="12"/>
    <n v="434910"/>
    <n v="1243396"/>
    <n v="0"/>
    <n v="2.6076904662826892"/>
    <n v="0.97603195739014648"/>
    <n v="0.40074137090909095"/>
    <n v="0.26190476190476192"/>
    <n v="0"/>
    <n v="173652.08333333334"/>
    <n v="0.13000045589240938"/>
  </r>
  <r>
    <n v="334"/>
    <s v="5f88aa1b-7526-47b4-99cf-51671f27817c"/>
    <x v="1"/>
    <x v="1"/>
    <x v="1"/>
    <s v="в аренде"/>
    <s v="консолидация кредитов"/>
    <n v="340362"/>
    <n v="0"/>
    <n v="1168044"/>
    <n v="22936.799999999999"/>
    <n v="23.3"/>
    <n v="35"/>
    <n v="19"/>
    <n v="427025"/>
    <n v="1242340"/>
    <n v="0"/>
    <n v="0.17516788114034926"/>
    <n v="0"/>
    <n v="0.39772727272727271"/>
    <n v="0.42857142857142855"/>
    <n v="0"/>
    <n v="97337"/>
    <n v="0.23564317782549288"/>
  </r>
  <r>
    <n v="1303"/>
    <s v="9da1da45-484e-42cd-b450-b81764db5e56"/>
    <x v="0"/>
    <x v="0"/>
    <x v="1"/>
    <s v="в собственности"/>
    <s v="консолидация кредитов"/>
    <n v="756932"/>
    <n v="677"/>
    <n v="1561382"/>
    <n v="29015.85"/>
    <n v="21"/>
    <n v="35.265240640000002"/>
    <n v="10"/>
    <n v="760608"/>
    <n v="1242164"/>
    <n v="0"/>
    <n v="2.5468179068686951"/>
    <n v="0.90146471371504655"/>
    <n v="0.40074137090909095"/>
    <n v="0.21428571428571427"/>
    <n v="0"/>
    <n v="130115.16666666667"/>
    <n v="0.22300128988293702"/>
  </r>
  <r>
    <n v="1379"/>
    <s v="2a78a14e-2781-44c0-ba03-7f629d975429"/>
    <x v="0"/>
    <x v="1"/>
    <x v="2"/>
    <s v="в ипотеке"/>
    <s v="консолидация кредитов"/>
    <n v="309594.52439999999"/>
    <n v="742"/>
    <n v="896990"/>
    <n v="14277.17"/>
    <n v="19.899999999999999"/>
    <n v="35.265240640000002"/>
    <n v="18"/>
    <n v="456057"/>
    <n v="1239568"/>
    <n v="0"/>
    <n v="-1.2411115481956205E-10"/>
    <n v="0.98801597869507318"/>
    <n v="0.40074137090909095"/>
    <n v="0.40476190476190477"/>
    <n v="0"/>
    <n v="74749.166666666672"/>
    <n v="0.19100105909764878"/>
  </r>
  <r>
    <n v="1503"/>
    <s v="621b894b-261a-41dc-88a3-ea6d863a3a61"/>
    <x v="0"/>
    <x v="1"/>
    <x v="1"/>
    <s v="в аренде"/>
    <s v="консолидация кредитов"/>
    <n v="483010"/>
    <n v="749"/>
    <n v="1536112"/>
    <n v="27394.01"/>
    <n v="16"/>
    <n v="35.265240640000002"/>
    <n v="12"/>
    <n v="232579"/>
    <n v="1235366"/>
    <n v="0"/>
    <n v="0.98730301537972587"/>
    <n v="0.99733688415446076"/>
    <n v="0.40074137090909095"/>
    <n v="0.26190476190476192"/>
    <n v="0"/>
    <n v="128009.33333333333"/>
    <n v="0.21400009895111816"/>
  </r>
  <r>
    <n v="1944"/>
    <s v="a2f50f00-44a7-4b19-8d90-99d7590f8537"/>
    <x v="1"/>
    <x v="0"/>
    <x v="9"/>
    <s v="в аренде"/>
    <s v="консолидация кредитов"/>
    <n v="671946"/>
    <n v="0"/>
    <n v="1168044"/>
    <n v="38760.379999999997"/>
    <n v="17.3"/>
    <n v="35.265240640000002"/>
    <n v="13"/>
    <n v="880593"/>
    <n v="1234442"/>
    <n v="0"/>
    <n v="2.0629687360533482"/>
    <n v="0"/>
    <n v="0.40074137090909095"/>
    <n v="0.2857142857142857"/>
    <n v="0"/>
    <n v="97337"/>
    <n v="0.39820808120242041"/>
  </r>
  <r>
    <n v="1643"/>
    <s v="01bd144a-479e-4317-adff-8138388bf998"/>
    <x v="0"/>
    <x v="0"/>
    <x v="10"/>
    <s v="в аренде"/>
    <s v="консолидация кредитов"/>
    <n v="510488"/>
    <n v="685"/>
    <n v="1102171"/>
    <n v="14971.05"/>
    <n v="26"/>
    <n v="15"/>
    <n v="9"/>
    <n v="428906"/>
    <n v="1232308"/>
    <n v="0"/>
    <n v="1.1437429880300931"/>
    <n v="0.91211717709720375"/>
    <n v="0.17045454545454544"/>
    <n v="0.19047619047619047"/>
    <n v="0"/>
    <n v="91847.583333333328"/>
    <n v="0.16299884500680928"/>
  </r>
  <r>
    <n v="1471"/>
    <s v="0fdd6b51-cf89-4a42-9064-c88c90581acc"/>
    <x v="0"/>
    <x v="1"/>
    <x v="1"/>
    <s v="в аренде"/>
    <s v="консолидация кредитов"/>
    <n v="194722"/>
    <n v="718"/>
    <n v="1643481"/>
    <n v="18215.3"/>
    <n v="19.899999999999999"/>
    <n v="35.265240640000002"/>
    <n v="6"/>
    <n v="775637"/>
    <n v="1228612"/>
    <n v="0"/>
    <n v="-0.65400154956055656"/>
    <n v="0.95605858854860182"/>
    <n v="0.40074137090909095"/>
    <n v="0.11904761904761904"/>
    <n v="0"/>
    <n v="136956.75"/>
    <n v="0.13300038150730065"/>
  </r>
  <r>
    <n v="1087"/>
    <s v="047408bc-a739-445c-bf15-78e78e5dd412"/>
    <x v="0"/>
    <x v="1"/>
    <x v="8"/>
    <s v="в ипотеке"/>
    <s v="консолидация кредитов"/>
    <n v="439692"/>
    <n v="744"/>
    <n v="2278404"/>
    <n v="26201.57"/>
    <n v="30.5"/>
    <n v="20"/>
    <n v="15"/>
    <n v="565307"/>
    <n v="1228084"/>
    <n v="0"/>
    <n v="0.74068147322714528"/>
    <n v="0.99067909454061254"/>
    <n v="0.22727272727272727"/>
    <n v="0.33333333333333331"/>
    <n v="0"/>
    <n v="189867"/>
    <n v="0.13799959971980386"/>
  </r>
  <r>
    <n v="1629"/>
    <s v="292f4ac4-71bf-44e2-b8b0-5b594a9456e4"/>
    <x v="0"/>
    <x v="0"/>
    <x v="3"/>
    <s v="в ипотеке"/>
    <s v="консолидация кредитов"/>
    <n v="309594.52439999999"/>
    <n v="733"/>
    <n v="1503280"/>
    <n v="31694.28"/>
    <n v="15.5"/>
    <n v="74"/>
    <n v="11"/>
    <n v="497344"/>
    <n v="1225268"/>
    <n v="0"/>
    <n v="-1.2411115481956205E-10"/>
    <n v="0.97603195739014648"/>
    <n v="0.84090909090909094"/>
    <n v="0.23809523809523808"/>
    <n v="0"/>
    <n v="125273.33333333333"/>
    <n v="0.2530010111223458"/>
  </r>
  <r>
    <n v="665"/>
    <s v="a33d1bf8-f73d-4858-bc29-c45a5c5b02a9"/>
    <x v="0"/>
    <x v="1"/>
    <x v="6"/>
    <s v="в аренде"/>
    <s v="консолидация кредитов"/>
    <n v="484484"/>
    <n v="0"/>
    <n v="1168044"/>
    <n v="39551.54"/>
    <n v="11.9"/>
    <n v="77"/>
    <n v="28"/>
    <n v="559056"/>
    <n v="1219086"/>
    <n v="0"/>
    <n v="0.99569491143062627"/>
    <n v="0"/>
    <n v="0.875"/>
    <n v="0.6428571428571429"/>
    <n v="0"/>
    <n v="97337"/>
    <n v="0.40633613117314077"/>
  </r>
  <r>
    <n v="583"/>
    <s v="fcb2fe66-fe21-4afc-8c91-d67273563d26"/>
    <x v="0"/>
    <x v="0"/>
    <x v="0"/>
    <s v="в аренде"/>
    <s v="консолидация кредитов"/>
    <n v="397430"/>
    <n v="0"/>
    <n v="1168044"/>
    <n v="17517.62"/>
    <n v="11.4"/>
    <n v="35.265240640000002"/>
    <n v="9"/>
    <n v="351177"/>
    <n v="1213828"/>
    <n v="0"/>
    <n v="0.50007203570804559"/>
    <n v="0"/>
    <n v="0.40074137090909095"/>
    <n v="0.19047619047619047"/>
    <n v="0"/>
    <n v="97337"/>
    <n v="0.17996876829982431"/>
  </r>
  <r>
    <n v="457"/>
    <s v="d7887c0c-decc-4fb2-adb2-f6f65c6d4f15"/>
    <x v="0"/>
    <x v="0"/>
    <x v="6"/>
    <s v="в ипотеке"/>
    <s v="консолидация кредитов"/>
    <n v="309594.52439999999"/>
    <n v="707"/>
    <n v="1208324"/>
    <n v="18527.66"/>
    <n v="12.8"/>
    <n v="45"/>
    <n v="17"/>
    <n v="631788"/>
    <n v="1213190"/>
    <n v="0"/>
    <n v="-1.2411115481956205E-10"/>
    <n v="0.94141145139813587"/>
    <n v="0.51136363636363635"/>
    <n v="0.38095238095238093"/>
    <n v="0"/>
    <n v="100693.66666666667"/>
    <n v="0.1840002515881502"/>
  </r>
  <r>
    <n v="1796"/>
    <s v="b46d7e04-32da-405c-9396-4225cfeb94fc"/>
    <x v="0"/>
    <x v="1"/>
    <x v="4"/>
    <s v="в ипотеке"/>
    <s v="консолидация кредитов"/>
    <n v="270204"/>
    <n v="749"/>
    <n v="1633506"/>
    <n v="31308.959999999999"/>
    <n v="19.5"/>
    <n v="14"/>
    <n v="15"/>
    <n v="605777"/>
    <n v="1209362"/>
    <n v="0"/>
    <n v="-0.22426132044653724"/>
    <n v="0.99733688415446076"/>
    <n v="0.15909090909090909"/>
    <n v="0.33333333333333331"/>
    <n v="0"/>
    <n v="136125.5"/>
    <n v="0.2300006978854072"/>
  </r>
  <r>
    <n v="1345"/>
    <s v="1ad45ded-1e86-4f41-ba2c-3fbb11a7228d"/>
    <x v="0"/>
    <x v="1"/>
    <x v="1"/>
    <s v="в аренде"/>
    <s v="консолидация кредитов"/>
    <n v="673464"/>
    <n v="739"/>
    <n v="2617326"/>
    <n v="25737.02"/>
    <n v="21.1"/>
    <n v="35.265240640000002"/>
    <n v="6"/>
    <n v="889162"/>
    <n v="1208394"/>
    <n v="0"/>
    <n v="2.0716111364639769"/>
    <n v="0.98402130492676432"/>
    <n v="0.40074137090909095"/>
    <n v="0.11904761904761904"/>
    <n v="0"/>
    <n v="218110.5"/>
    <n v="0.11799991288819199"/>
  </r>
  <r>
    <n v="1157"/>
    <s v="656de0ac-9b9f-4c47-9b9f-bb460de2204b"/>
    <x v="0"/>
    <x v="1"/>
    <x v="6"/>
    <s v="в собственности"/>
    <s v="консолидация кредитов"/>
    <n v="86262"/>
    <n v="738"/>
    <n v="863208"/>
    <n v="19997.88"/>
    <n v="20.399999999999999"/>
    <n v="46"/>
    <n v="21"/>
    <n v="269021"/>
    <n v="1207338"/>
    <n v="1"/>
    <n v="-1.2714947962909895"/>
    <n v="0.9826897470039947"/>
    <n v="0.52272727272727271"/>
    <n v="0.47619047619047616"/>
    <n v="0.14285714285714285"/>
    <n v="71934"/>
    <n v="0.2780031695721078"/>
  </r>
  <r>
    <n v="1535"/>
    <s v="fca4d57e-e22e-48e2-9d1a-42b750452c25"/>
    <x v="0"/>
    <x v="0"/>
    <x v="1"/>
    <s v="в ипотеке"/>
    <s v="консолидация кредитов"/>
    <n v="309594.52439999999"/>
    <n v="727"/>
    <n v="1467256"/>
    <n v="21153.08"/>
    <n v="38.5"/>
    <n v="35.265240640000002"/>
    <n v="16"/>
    <n v="635968"/>
    <n v="1207206"/>
    <n v="0"/>
    <n v="-1.2411115481956205E-10"/>
    <n v="0.96804260985352863"/>
    <n v="0.40074137090909095"/>
    <n v="0.35714285714285715"/>
    <n v="0"/>
    <n v="122271.33333333333"/>
    <n v="0.17300113954211127"/>
  </r>
  <r>
    <n v="805"/>
    <s v="21ae217c-b415-4102-b033-9e99c04cb2e5"/>
    <x v="0"/>
    <x v="0"/>
    <x v="1"/>
    <s v="в ипотеке"/>
    <s v="консолидация кредитов"/>
    <n v="309594.52439999999"/>
    <n v="739"/>
    <n v="1461689"/>
    <n v="21072.71"/>
    <n v="34"/>
    <n v="35.265240640000002"/>
    <n v="11"/>
    <n v="612731"/>
    <n v="1204544"/>
    <n v="0"/>
    <n v="-1.2411115481956205E-10"/>
    <n v="0.98402130492676432"/>
    <n v="0.40074137090909095"/>
    <n v="0.23809523809523808"/>
    <n v="0"/>
    <n v="121807.41666666667"/>
    <n v="0.17300022097723933"/>
  </r>
  <r>
    <n v="367"/>
    <s v="5d39e9c4-d45d-4f24-a767-8e96ee964643"/>
    <x v="0"/>
    <x v="1"/>
    <x v="1"/>
    <s v="в аренде"/>
    <s v="консолидация кредитов"/>
    <n v="268004"/>
    <n v="750"/>
    <n v="867996"/>
    <n v="21410.53"/>
    <n v="23"/>
    <n v="75"/>
    <n v="15"/>
    <n v="309776"/>
    <n v="1203664"/>
    <n v="0"/>
    <n v="-0.23678653843295575"/>
    <n v="0.99866844207723038"/>
    <n v="0.85227272727272729"/>
    <n v="0.33333333333333331"/>
    <n v="0"/>
    <n v="72333"/>
    <n v="0.29599947465195692"/>
  </r>
  <r>
    <n v="1587"/>
    <s v="d85626a4-48c9-4746-b073-3348864324f5"/>
    <x v="0"/>
    <x v="1"/>
    <x v="9"/>
    <s v="в ипотеке"/>
    <s v="консолидация кредитов"/>
    <n v="337766"/>
    <n v="746"/>
    <n v="1050111"/>
    <n v="16276.73"/>
    <n v="19.2"/>
    <n v="35.265240640000002"/>
    <n v="10"/>
    <n v="334704"/>
    <n v="1203598"/>
    <n v="0"/>
    <n v="0.16038812391637541"/>
    <n v="0.99334221038615178"/>
    <n v="0.40074137090909095"/>
    <n v="0.21428571428571427"/>
    <n v="0"/>
    <n v="87509.25"/>
    <n v="0.18600010855995222"/>
  </r>
  <r>
    <n v="750"/>
    <s v="ef0bd291-121a-4eeb-974e-ac80930ccf00"/>
    <x v="1"/>
    <x v="0"/>
    <x v="1"/>
    <s v="в аренде"/>
    <s v="консолидация кредитов"/>
    <n v="628584"/>
    <n v="692"/>
    <n v="1217102"/>
    <n v="19879.509999999998"/>
    <n v="28.8"/>
    <n v="34"/>
    <n v="24"/>
    <n v="451934"/>
    <n v="1202960"/>
    <n v="0"/>
    <n v="1.8160966895410391"/>
    <n v="0.92143808255659121"/>
    <n v="0.38636363636363635"/>
    <n v="0.54761904761904767"/>
    <n v="0"/>
    <n v="101425.16666666667"/>
    <n v="0.19600174841549842"/>
  </r>
  <r>
    <n v="1497"/>
    <s v="c8a92289-6e3a-418e-acf6-c0ebcd93983c"/>
    <x v="1"/>
    <x v="1"/>
    <x v="4"/>
    <s v="в ипотеке"/>
    <s v="консолидация кредитов"/>
    <n v="531850"/>
    <n v="749"/>
    <n v="1626799"/>
    <n v="6547.97"/>
    <n v="15.8"/>
    <n v="70"/>
    <n v="12"/>
    <n v="380114"/>
    <n v="1202542"/>
    <n v="0"/>
    <n v="1.265362854678217"/>
    <n v="0.99733688415446076"/>
    <n v="0.79545454545454541"/>
    <n v="0.26190476190476192"/>
    <n v="0"/>
    <n v="135566.58333333334"/>
    <n v="4.830076733511638E-2"/>
  </r>
  <r>
    <n v="1241"/>
    <s v="26877bff-3569-4024-a7e2-af24ae637977"/>
    <x v="0"/>
    <x v="1"/>
    <x v="0"/>
    <s v="в ипотеке"/>
    <s v="иное"/>
    <n v="309594.52439999999"/>
    <n v="747"/>
    <n v="2157906"/>
    <n v="11149.2"/>
    <n v="36"/>
    <n v="74"/>
    <n v="18"/>
    <n v="257526"/>
    <n v="1192730"/>
    <n v="0"/>
    <n v="-1.2411115481956205E-10"/>
    <n v="0.9946737683089214"/>
    <n v="0.84090909090909094"/>
    <n v="0.40476190476190477"/>
    <n v="0"/>
    <n v="179825.5"/>
    <n v="6.2000105657985104E-2"/>
  </r>
  <r>
    <n v="660"/>
    <s v="41e70412-d206-4b83-8fe8-fc402a235a04"/>
    <x v="0"/>
    <x v="1"/>
    <x v="10"/>
    <s v="в ипотеке"/>
    <s v="консолидация кредитов"/>
    <n v="215622"/>
    <n v="743"/>
    <n v="1899430"/>
    <n v="34189.74"/>
    <n v="19.399999999999999"/>
    <n v="20"/>
    <n v="13"/>
    <n v="324235"/>
    <n v="1191806"/>
    <n v="0"/>
    <n v="-0.53501197868958061"/>
    <n v="0.98934753661784292"/>
    <n v="0.22727272727272727"/>
    <n v="0.2857142857142857"/>
    <n v="0"/>
    <n v="158285.83333333334"/>
    <n v="0.21599999999999997"/>
  </r>
  <r>
    <n v="935"/>
    <s v="058f0963-9ad6-49b9-84c2-a50d2b283837"/>
    <x v="1"/>
    <x v="0"/>
    <x v="1"/>
    <s v="в ипотеке"/>
    <s v="консолидация кредитов"/>
    <n v="522456"/>
    <n v="705"/>
    <n v="1302469"/>
    <n v="35492.19"/>
    <n v="35"/>
    <n v="35.265240640000002"/>
    <n v="15"/>
    <n v="589095"/>
    <n v="1188330"/>
    <n v="0"/>
    <n v="1.2118801738762099"/>
    <n v="0.93874833555259651"/>
    <n v="0.40074137090909095"/>
    <n v="0.33333333333333331"/>
    <n v="0"/>
    <n v="108539.08333333333"/>
    <n v="0.326999168502283"/>
  </r>
  <r>
    <n v="1246"/>
    <s v="31ab777c-c885-45fb-a0d4-471a6a144d69"/>
    <x v="0"/>
    <x v="0"/>
    <x v="4"/>
    <s v="в ипотеке"/>
    <s v="консолидация кредитов"/>
    <n v="501138"/>
    <n v="713"/>
    <n v="1518632"/>
    <n v="14679.97"/>
    <n v="13.5"/>
    <n v="35.265240640000002"/>
    <n v="8"/>
    <n v="584155"/>
    <n v="1184568"/>
    <n v="0"/>
    <n v="1.0905108115878144"/>
    <n v="0.94940079893475371"/>
    <n v="0.40074137090909095"/>
    <n v="0.16666666666666666"/>
    <n v="0"/>
    <n v="126552.66666666667"/>
    <n v="0.11599889900910819"/>
  </r>
  <r>
    <n v="1877"/>
    <s v="ac1a7711-2b3b-4f33-b288-0f8fccbb0a19"/>
    <x v="0"/>
    <x v="1"/>
    <x v="7"/>
    <s v="в аренде"/>
    <s v="консолидация кредитов"/>
    <n v="549450"/>
    <n v="728"/>
    <n v="2372625"/>
    <n v="26098.97"/>
    <n v="21.7"/>
    <n v="46"/>
    <n v="10"/>
    <n v="574218"/>
    <n v="1183050"/>
    <n v="0"/>
    <n v="1.365564598569565"/>
    <n v="0.96937416777629826"/>
    <n v="0.52272727272727271"/>
    <n v="0.21428571428571427"/>
    <n v="0"/>
    <n v="197718.75"/>
    <n v="0.13200048048048049"/>
  </r>
  <r>
    <n v="1610"/>
    <s v="3c0cf898-1a00-4d16-a4ed-7f09fa5e71ea"/>
    <x v="0"/>
    <x v="0"/>
    <x v="2"/>
    <s v="в ипотеке"/>
    <s v="консолидация кредитов"/>
    <n v="208582"/>
    <n v="691"/>
    <n v="1262797"/>
    <n v="26150.65"/>
    <n v="20"/>
    <n v="35.265240640000002"/>
    <n v="8"/>
    <n v="982566"/>
    <n v="1182654"/>
    <n v="0"/>
    <n v="-0.57509267624611993"/>
    <n v="0.92010652463382159"/>
    <n v="0.40074137090909095"/>
    <n v="0.16666666666666666"/>
    <n v="0"/>
    <n v="105233.08333333333"/>
    <n v="0.24850217414200385"/>
  </r>
  <r>
    <n v="878"/>
    <s v="b868e021-151d-4d2a-a19c-95ea92295641"/>
    <x v="0"/>
    <x v="0"/>
    <x v="4"/>
    <s v="в ипотеке"/>
    <s v="консолидация кредитов"/>
    <n v="315920"/>
    <n v="0"/>
    <n v="1168044"/>
    <n v="70936.88"/>
    <n v="24"/>
    <n v="13"/>
    <n v="17"/>
    <n v="361627"/>
    <n v="1172864"/>
    <n v="0"/>
    <n v="3.6012709311239538E-2"/>
    <n v="0"/>
    <n v="0.14772727272727273"/>
    <n v="0.38095238095238093"/>
    <n v="0"/>
    <n v="97337"/>
    <n v="0.72877610774936563"/>
  </r>
  <r>
    <n v="693"/>
    <s v="0de9ae4f-0669-45d4-97ad-5a71425ac218"/>
    <x v="0"/>
    <x v="0"/>
    <x v="1"/>
    <s v="в ипотеке"/>
    <s v="консолидация кредитов"/>
    <n v="707872"/>
    <n v="713"/>
    <n v="2330749"/>
    <n v="40593.879999999997"/>
    <n v="25.5"/>
    <n v="35.265240640000002"/>
    <n v="10"/>
    <n v="876090"/>
    <n v="1172754"/>
    <n v="0"/>
    <n v="2.2675055457715625"/>
    <n v="0.94940079893475371"/>
    <n v="0.40074137090909095"/>
    <n v="0.21428571428571427"/>
    <n v="0"/>
    <n v="194229.08333333334"/>
    <n v="0.20900000815188591"/>
  </r>
  <r>
    <n v="128"/>
    <s v="0c687ecc-cabf-48dd-83cd-b6fa50e11fcb"/>
    <x v="0"/>
    <x v="1"/>
    <x v="9"/>
    <s v="в ипотеке"/>
    <s v="консолидация кредитов"/>
    <n v="278058"/>
    <n v="0"/>
    <n v="1168044"/>
    <n v="18706.64"/>
    <n v="15.9"/>
    <n v="35.265240640000002"/>
    <n v="10"/>
    <n v="207423"/>
    <n v="1171566"/>
    <n v="0"/>
    <n v="-0.17954629223502314"/>
    <n v="0"/>
    <n v="0.40074137090909095"/>
    <n v="0.21428571428571427"/>
    <n v="0"/>
    <n v="97337"/>
    <n v="0.1921842670310365"/>
  </r>
  <r>
    <n v="1177"/>
    <s v="4a2db08b-579c-4d44-b3fa-e8e7d258d7b4"/>
    <x v="0"/>
    <x v="1"/>
    <x v="0"/>
    <s v="в ипотеке"/>
    <s v="ремонт жилья"/>
    <n v="26400"/>
    <n v="659"/>
    <n v="1330532"/>
    <n v="24392.959999999999"/>
    <n v="15.7"/>
    <n v="35.265240640000002"/>
    <n v="16"/>
    <n v="602699"/>
    <n v="1166968"/>
    <n v="0"/>
    <n v="-1.6123059777014372"/>
    <n v="0.87749667110519303"/>
    <n v="0.40074137090909095"/>
    <n v="0.35714285714285715"/>
    <n v="0"/>
    <n v="110877.66666666667"/>
    <n v="0.21999885759981719"/>
  </r>
  <r>
    <n v="1074"/>
    <s v="1406f826-a4af-4f0e-b4b2-f2dda2fa1623"/>
    <x v="0"/>
    <x v="0"/>
    <x v="1"/>
    <s v="в ипотеке"/>
    <s v="консолидация кредитов"/>
    <n v="533126"/>
    <n v="744"/>
    <n v="3069488"/>
    <n v="27369.69"/>
    <n v="16.7"/>
    <n v="35.265240640000002"/>
    <n v="11"/>
    <n v="631161"/>
    <n v="1163734"/>
    <n v="0"/>
    <n v="1.2726274811103397"/>
    <n v="0.99067909454061254"/>
    <n v="0.40074137090909095"/>
    <n v="0.23809523809523808"/>
    <n v="0"/>
    <n v="255790.66666666666"/>
    <n v="0.10700034663761514"/>
  </r>
  <r>
    <n v="1479"/>
    <s v="d5c36d65-43eb-4fe6-9d73-ccf70a6f7147"/>
    <x v="0"/>
    <x v="1"/>
    <x v="5"/>
    <s v="в аренде"/>
    <s v="приобретение жилья"/>
    <n v="773696"/>
    <n v="0"/>
    <n v="1168044"/>
    <n v="8120.03"/>
    <n v="14.4"/>
    <n v="35.265240640000002"/>
    <n v="16"/>
    <n v="361570"/>
    <n v="1162942"/>
    <n v="0"/>
    <n v="2.6422600679252044"/>
    <n v="0"/>
    <n v="0.40074137090909095"/>
    <n v="0.35714285714285715"/>
    <n v="0"/>
    <n v="97337"/>
    <n v="8.3421823150497759E-2"/>
  </r>
  <r>
    <n v="557"/>
    <s v="f28fdba7-d8f7-4dfa-ad9b-d0dc72626e0d"/>
    <x v="0"/>
    <x v="1"/>
    <x v="9"/>
    <s v="в ипотеке"/>
    <s v="консолидация кредитов"/>
    <n v="774246"/>
    <n v="736"/>
    <n v="2838543"/>
    <n v="40685.839999999997"/>
    <n v="20.100000000000001"/>
    <n v="35.265240640000002"/>
    <n v="15"/>
    <n v="752590"/>
    <n v="1158784"/>
    <n v="0"/>
    <n v="2.645391372421809"/>
    <n v="0.98002663115845534"/>
    <n v="0.40074137090909095"/>
    <n v="0.33333333333333331"/>
    <n v="0"/>
    <n v="236545.25"/>
    <n v="0.17200024096869412"/>
  </r>
  <r>
    <n v="461"/>
    <s v="7b1a2716-7c87-4cb3-9524-214c04ab6312"/>
    <x v="0"/>
    <x v="1"/>
    <x v="7"/>
    <s v="в аренде"/>
    <s v="приобретение жилья"/>
    <n v="556996"/>
    <n v="733"/>
    <n v="4521715"/>
    <n v="44086.65"/>
    <n v="27"/>
    <n v="40"/>
    <n v="18"/>
    <n v="106001"/>
    <n v="1157904"/>
    <n v="0"/>
    <n v="1.4085260962629806"/>
    <n v="0.97603195739014648"/>
    <n v="0.45454545454545453"/>
    <n v="0.40476190476190477"/>
    <n v="0"/>
    <n v="376809.58333333331"/>
    <n v="0.11699981091245247"/>
  </r>
  <r>
    <n v="1397"/>
    <s v="b1c7f131-45fa-4a53-ace7-1f538715e130"/>
    <x v="0"/>
    <x v="1"/>
    <x v="9"/>
    <s v="в ипотеке"/>
    <s v="приобретение автомобиля"/>
    <n v="309594.52439999999"/>
    <n v="747"/>
    <n v="2071817"/>
    <n v="19164.349999999999"/>
    <n v="25.9"/>
    <n v="36"/>
    <n v="12"/>
    <n v="503538"/>
    <n v="1154560"/>
    <n v="0"/>
    <n v="-1.2411115481956205E-10"/>
    <n v="0.9946737683089214"/>
    <n v="0.40909090909090912"/>
    <n v="0.26190476190476192"/>
    <n v="0"/>
    <n v="172651.41666666666"/>
    <n v="0.1110002476087415"/>
  </r>
  <r>
    <n v="1218"/>
    <s v="666cc3ad-65fe-4708-9fd4-75910d6b5ccc"/>
    <x v="0"/>
    <x v="0"/>
    <x v="9"/>
    <s v="в ипотеке"/>
    <s v="консолидация кредитов"/>
    <n v="638660"/>
    <n v="656"/>
    <n v="1226032"/>
    <n v="26053.37"/>
    <n v="20.2"/>
    <n v="49"/>
    <n v="10"/>
    <n v="547143"/>
    <n v="1151876"/>
    <n v="0"/>
    <n v="1.8734621879188358"/>
    <n v="0.87350199733688416"/>
    <n v="0.55681818181818177"/>
    <n v="0.21428571428571427"/>
    <n v="0"/>
    <n v="102169.33333333333"/>
    <n v="0.25500185965782296"/>
  </r>
  <r>
    <n v="1096"/>
    <s v="5a3155c1-ef6e-4e7f-a149-73fe87028dfa"/>
    <x v="0"/>
    <x v="1"/>
    <x v="1"/>
    <s v="в ипотеке"/>
    <s v="консолидация кредитов"/>
    <n v="110440"/>
    <n v="750"/>
    <n v="1068142"/>
    <n v="8144.73"/>
    <n v="18.5"/>
    <n v="35.265240640000002"/>
    <n v="14"/>
    <n v="98154"/>
    <n v="1148026"/>
    <n v="0"/>
    <n v="-1.1338426506202499"/>
    <n v="0.99866844207723038"/>
    <n v="0.40074137090909095"/>
    <n v="0.30952380952380953"/>
    <n v="0"/>
    <n v="89011.833333333328"/>
    <n v="9.1501654274431674E-2"/>
  </r>
  <r>
    <n v="408"/>
    <s v="eb62bb6a-89db-4c1e-81ee-219ca7dff471"/>
    <x v="0"/>
    <x v="1"/>
    <x v="0"/>
    <s v="в аренде"/>
    <s v="консолидация кредитов"/>
    <n v="756844"/>
    <n v="0"/>
    <n v="1168044"/>
    <n v="25198.94"/>
    <n v="26.9"/>
    <n v="35.265240640000002"/>
    <n v="10"/>
    <n v="876147"/>
    <n v="1147586"/>
    <n v="0"/>
    <n v="2.5463168981492386"/>
    <n v="0"/>
    <n v="0.40074137090909095"/>
    <n v="0.21428571428571427"/>
    <n v="0"/>
    <n v="97337"/>
    <n v="0.25888346671871948"/>
  </r>
  <r>
    <n v="902"/>
    <s v="e3ad961a-dcaa-4f64-9bc8-3b272bc74ef7"/>
    <x v="1"/>
    <x v="0"/>
    <x v="0"/>
    <s v="в ипотеке"/>
    <s v="консолидация кредитов"/>
    <n v="672804"/>
    <n v="720"/>
    <n v="2699976"/>
    <n v="33299.78"/>
    <n v="16.100000000000001"/>
    <n v="35.265240640000002"/>
    <n v="11"/>
    <n v="456836"/>
    <n v="1147432"/>
    <n v="0"/>
    <n v="2.0678535710680515"/>
    <n v="0.95872170439414117"/>
    <n v="0.40074137090909095"/>
    <n v="0.23809523809523808"/>
    <n v="0"/>
    <n v="224998"/>
    <n v="0.14800033778078026"/>
  </r>
  <r>
    <n v="493"/>
    <s v="1d1be6af-4f27-4ff9-b1b1-093cf6c292a0"/>
    <x v="0"/>
    <x v="0"/>
    <x v="0"/>
    <s v="в ипотеке"/>
    <s v="консолидация кредитов"/>
    <n v="764918"/>
    <n v="0"/>
    <n v="1168044"/>
    <n v="17232.43"/>
    <n v="16.5"/>
    <n v="35.265240640000002"/>
    <n v="7"/>
    <n v="333735"/>
    <n v="1146706"/>
    <n v="0"/>
    <n v="2.5922844481593947"/>
    <n v="0"/>
    <n v="0.40074137090909095"/>
    <n v="0.14285714285714285"/>
    <n v="0"/>
    <n v="97337"/>
    <n v="0.1770388444270935"/>
  </r>
  <r>
    <n v="910"/>
    <s v="355dd59f-4903-4bed-a1ad-cc31129457f9"/>
    <x v="1"/>
    <x v="1"/>
    <x v="1"/>
    <s v="в аренде"/>
    <s v="консолидация кредитов"/>
    <n v="325776"/>
    <n v="739"/>
    <n v="1312976"/>
    <n v="23852.41"/>
    <n v="15.6"/>
    <n v="20"/>
    <n v="18"/>
    <n v="319143"/>
    <n v="1144088"/>
    <n v="0"/>
    <n v="9.2125685890394493E-2"/>
    <n v="0.98402130492676432"/>
    <n v="0.22727272727272727"/>
    <n v="0.40476190476190477"/>
    <n v="0"/>
    <n v="109414.66666666667"/>
    <n v="0.21800011576753878"/>
  </r>
  <r>
    <n v="795"/>
    <s v="c3e3bd3e-2841-41a2-8ed8-ace9f6f13a4a"/>
    <x v="1"/>
    <x v="0"/>
    <x v="1"/>
    <s v="в аренде"/>
    <s v="консолидация кредитов"/>
    <n v="450120"/>
    <n v="673"/>
    <n v="981578"/>
    <n v="19467.78"/>
    <n v="16.5"/>
    <n v="35.265240640000002"/>
    <n v="15"/>
    <n v="515394"/>
    <n v="1143230"/>
    <n v="0"/>
    <n v="0.80005100648276906"/>
    <n v="0.89613848202396806"/>
    <n v="0.40074137090909095"/>
    <n v="0.33333333333333331"/>
    <n v="0"/>
    <n v="81798.166666666672"/>
    <n v="0.23799775463590256"/>
  </r>
  <r>
    <n v="1968"/>
    <s v="4341e5fc-e0e4-4919-89b9-d6afd56e5424"/>
    <x v="0"/>
    <x v="0"/>
    <x v="2"/>
    <s v="в ипотеке"/>
    <s v="консолидация кредитов"/>
    <n v="402094"/>
    <n v="745"/>
    <n v="1504819"/>
    <n v="14170.39"/>
    <n v="22.8"/>
    <n v="51"/>
    <n v="14"/>
    <n v="292087"/>
    <n v="1142614"/>
    <n v="0"/>
    <n v="0.52662549783925283"/>
    <n v="0.99201065246338216"/>
    <n v="0.57954545454545459"/>
    <n v="0.30952380952380953"/>
    <n v="0"/>
    <n v="125401.58333333333"/>
    <n v="0.11300008838272244"/>
  </r>
  <r>
    <n v="1284"/>
    <s v="465a6349-38d8-477c-a51f-46f78153fbfa"/>
    <x v="0"/>
    <x v="1"/>
    <x v="1"/>
    <s v="в аренде"/>
    <s v="консолидация кредитов"/>
    <n v="309594.52439999999"/>
    <n v="745"/>
    <n v="2873370"/>
    <n v="24184.15"/>
    <n v="25.5"/>
    <n v="35.265240640000002"/>
    <n v="9"/>
    <n v="844702"/>
    <n v="1142592"/>
    <n v="0"/>
    <n v="-1.2411115481956205E-10"/>
    <n v="0.99201065246338216"/>
    <n v="0.40074137090909095"/>
    <n v="0.19047619047619047"/>
    <n v="0"/>
    <n v="239447.5"/>
    <n v="0.10099980162666139"/>
  </r>
  <r>
    <n v="1982"/>
    <s v="47fa3c11-2e10-48b0-b59b-cda6f7f3c161"/>
    <x v="0"/>
    <x v="1"/>
    <x v="0"/>
    <s v="в аренде"/>
    <s v="консолидация кредитов"/>
    <n v="474166"/>
    <n v="747"/>
    <n v="2885226"/>
    <n v="35824.69"/>
    <n v="20.100000000000001"/>
    <n v="35.265240640000002"/>
    <n v="8"/>
    <n v="753882"/>
    <n v="1142548"/>
    <n v="0"/>
    <n v="0.93695163907432344"/>
    <n v="0.9946737683089214"/>
    <n v="0.40074137090909095"/>
    <n v="0.16666666666666666"/>
    <n v="0"/>
    <n v="240435.5"/>
    <n v="0.1489991702556403"/>
  </r>
  <r>
    <n v="1068"/>
    <s v="ebf4c9ca-b7fd-4d73-b2b1-4186ee386a1f"/>
    <x v="0"/>
    <x v="0"/>
    <x v="1"/>
    <s v="в аренде"/>
    <s v="консолидация кредитов"/>
    <n v="309594.52439999999"/>
    <n v="703"/>
    <n v="1000540"/>
    <n v="15758.6"/>
    <n v="12.3"/>
    <n v="35.265240640000002"/>
    <n v="9"/>
    <n v="556244"/>
    <n v="1141976"/>
    <n v="0"/>
    <n v="-1.2411115481956205E-10"/>
    <n v="0.93608521970705727"/>
    <n v="0.40074137090909095"/>
    <n v="0.19047619047619047"/>
    <n v="0"/>
    <n v="83378.333333333328"/>
    <n v="0.18900113938473226"/>
  </r>
  <r>
    <n v="228"/>
    <s v="bdc8384b-c937-4c0b-b2a5-8e3d755c8d7b"/>
    <x v="0"/>
    <x v="1"/>
    <x v="1"/>
    <s v="в ипотеке"/>
    <s v="консолидация кредитов"/>
    <n v="763840"/>
    <n v="742"/>
    <n v="1639776"/>
    <n v="23640.18"/>
    <n v="21.4"/>
    <n v="35.265240640000002"/>
    <n v="9"/>
    <n v="606461"/>
    <n v="1141800"/>
    <n v="0"/>
    <n v="2.5861470913460494"/>
    <n v="0.98801597869507318"/>
    <n v="0.40074137090909095"/>
    <n v="0.19047619047619047"/>
    <n v="0"/>
    <n v="136648"/>
    <n v="0.17300055617352614"/>
  </r>
  <r>
    <n v="1850"/>
    <s v="46b21afc-7bde-4d1c-93f9-7de14ec52b12"/>
    <x v="0"/>
    <x v="1"/>
    <x v="1"/>
    <s v="в ипотеке"/>
    <s v="консолидация кредитов"/>
    <n v="309594.52439999999"/>
    <n v="736"/>
    <n v="2649094"/>
    <n v="51657.39"/>
    <n v="28"/>
    <n v="34"/>
    <n v="22"/>
    <n v="699067"/>
    <n v="1140062"/>
    <n v="0"/>
    <n v="-1.2411115481956205E-10"/>
    <n v="0.98002663115845534"/>
    <n v="0.38636363636363635"/>
    <n v="0.5"/>
    <n v="0"/>
    <n v="220757.83333333334"/>
    <n v="0.23400025820148321"/>
  </r>
  <r>
    <n v="1759"/>
    <s v="dec07619-7502-4afa-8066-bd69a8109611"/>
    <x v="0"/>
    <x v="1"/>
    <x v="1"/>
    <s v="в ипотеке"/>
    <s v="консолидация кредитов"/>
    <n v="614394"/>
    <n v="724"/>
    <n v="1705554"/>
    <n v="14639.31"/>
    <n v="16.600000000000001"/>
    <n v="7"/>
    <n v="14"/>
    <n v="489820"/>
    <n v="1136586"/>
    <n v="0"/>
    <n v="1.7353090335286396"/>
    <n v="0.96404793608521966"/>
    <n v="7.9545454545454544E-2"/>
    <n v="0.30952380952380953"/>
    <n v="0"/>
    <n v="142129.5"/>
    <n v="0.10299979947864447"/>
  </r>
  <r>
    <n v="1897"/>
    <s v="d351c139-4aa5-4ff6-a0da-7fbf467fd80c"/>
    <x v="0"/>
    <x v="0"/>
    <x v="10"/>
    <s v="в ипотеке"/>
    <s v="консолидация кредитов"/>
    <n v="448404"/>
    <n v="717"/>
    <n v="968145"/>
    <n v="17265.3"/>
    <n v="24.7"/>
    <n v="7"/>
    <n v="12"/>
    <n v="583661"/>
    <n v="1132010"/>
    <n v="0"/>
    <n v="0.79028133645336263"/>
    <n v="0.9547270306258322"/>
    <n v="7.9545454545454544E-2"/>
    <n v="0.26190476190476192"/>
    <n v="0"/>
    <n v="80678.75"/>
    <n v="0.21400058875478362"/>
  </r>
  <r>
    <n v="361"/>
    <s v="884afe37-a98f-4454-ac38-512e49de8002"/>
    <x v="0"/>
    <x v="1"/>
    <x v="1"/>
    <s v="в ипотеке"/>
    <s v="консолидация кредитов"/>
    <n v="780406"/>
    <n v="715"/>
    <n v="3369897"/>
    <n v="35945.53"/>
    <n v="9.1999999999999993"/>
    <n v="35.265240640000002"/>
    <n v="6"/>
    <n v="457710"/>
    <n v="1130008"/>
    <n v="0"/>
    <n v="2.6804619827837808"/>
    <n v="0.95206391478029295"/>
    <n v="0.40074137090909095"/>
    <n v="0.11904761904761904"/>
    <n v="0"/>
    <n v="280824.75"/>
    <n v="0.12799986468429153"/>
  </r>
  <r>
    <n v="1710"/>
    <s v="b4f7b5d3-e138-46cd-b77b-2b28b70e2890"/>
    <x v="0"/>
    <x v="0"/>
    <x v="1"/>
    <s v="в ипотеке"/>
    <s v="иное"/>
    <n v="197714"/>
    <n v="746"/>
    <n v="1081480"/>
    <n v="7209.93"/>
    <n v="20.5"/>
    <n v="35.265240640000002"/>
    <n v="14"/>
    <n v="101479"/>
    <n v="1129722"/>
    <n v="0"/>
    <n v="-0.63696725309902735"/>
    <n v="0.99334221038615178"/>
    <n v="0.40074137090909095"/>
    <n v="0.30952380952380953"/>
    <n v="0"/>
    <n v="90123.333333333328"/>
    <n v="8.0000702740688698E-2"/>
  </r>
  <r>
    <n v="1302"/>
    <s v="95b42ab3-3ba6-45ed-8aa9-a019ad0dc1c4"/>
    <x v="0"/>
    <x v="1"/>
    <x v="9"/>
    <s v="в ипотеке"/>
    <s v="консолидация кредитов"/>
    <n v="519024"/>
    <n v="0"/>
    <n v="1168044"/>
    <n v="38328.129999999997"/>
    <n v="24.5"/>
    <n v="35.265240640000002"/>
    <n v="15"/>
    <n v="871872"/>
    <n v="1126708"/>
    <n v="0"/>
    <n v="1.1923408338173971"/>
    <n v="0"/>
    <n v="0.40074137090909095"/>
    <n v="0.33333333333333331"/>
    <n v="0"/>
    <n v="97337"/>
    <n v="0.39376732383369117"/>
  </r>
  <r>
    <n v="964"/>
    <s v="e035819f-64aa-45a1-b86b-335bb4979f3f"/>
    <x v="0"/>
    <x v="1"/>
    <x v="1"/>
    <s v="в аренде"/>
    <s v="консолидация кредитов"/>
    <n v="64988"/>
    <n v="0"/>
    <n v="1168044"/>
    <n v="7577.96"/>
    <n v="23.1"/>
    <n v="35.265240640000002"/>
    <n v="9"/>
    <n v="5833"/>
    <n v="1126620"/>
    <n v="0"/>
    <n v="-1.3926136542196565"/>
    <n v="0"/>
    <n v="0.40074137090909095"/>
    <n v="0.19047619047619047"/>
    <n v="0"/>
    <n v="97337"/>
    <n v="7.7852820612922119E-2"/>
  </r>
  <r>
    <n v="1963"/>
    <s v="b8c577ae-aafe-47f0-abc7-b9f0785b20cc"/>
    <x v="0"/>
    <x v="0"/>
    <x v="8"/>
    <s v="в ипотеке"/>
    <s v="консолидация кредитов"/>
    <n v="516538"/>
    <n v="721"/>
    <n v="2323472"/>
    <n v="36594.57"/>
    <n v="17.3"/>
    <n v="35.265240640000002"/>
    <n v="14"/>
    <n v="774782"/>
    <n v="1125630"/>
    <n v="0"/>
    <n v="1.1781873374927441"/>
    <n v="0.96005326231691079"/>
    <n v="0.40074137090909095"/>
    <n v="0.30952380952380953"/>
    <n v="0"/>
    <n v="193622.66666666666"/>
    <n v="0.1889994112259584"/>
  </r>
  <r>
    <n v="1437"/>
    <s v="f79fecc8-b33e-43ec-b850-521380e615e7"/>
    <x v="0"/>
    <x v="1"/>
    <x v="1"/>
    <s v="в аренде"/>
    <s v="консолидация кредитов"/>
    <n v="676170"/>
    <n v="744"/>
    <n v="1557240"/>
    <n v="18297.57"/>
    <n v="24.7"/>
    <n v="35.265240640000002"/>
    <n v="5"/>
    <n v="712994"/>
    <n v="1120196"/>
    <n v="0"/>
    <n v="2.0870171545872718"/>
    <n v="0.99067909454061254"/>
    <n v="0.40074137090909095"/>
    <n v="9.5238095238095233E-2"/>
    <n v="0"/>
    <n v="129770"/>
    <n v="0.14099999999999999"/>
  </r>
  <r>
    <n v="92"/>
    <s v="4da78dcb-83c2-4338-9a5b-72bd01053f5c"/>
    <x v="0"/>
    <x v="1"/>
    <x v="1"/>
    <s v="в аренде"/>
    <s v="консолидация кредитов"/>
    <n v="336908"/>
    <n v="0"/>
    <n v="1168044"/>
    <n v="6652.47"/>
    <n v="29.1"/>
    <n v="35.265240640000002"/>
    <n v="8"/>
    <n v="277419"/>
    <n v="1119250"/>
    <n v="0"/>
    <n v="0.15550328890167217"/>
    <n v="0"/>
    <n v="0.40074137090909095"/>
    <n v="0.16666666666666666"/>
    <n v="0"/>
    <n v="97337"/>
    <n v="6.8344719890689049E-2"/>
  </r>
  <r>
    <n v="299"/>
    <s v="847a26f1-a423-49df-ae24-9b604609ad92"/>
    <x v="0"/>
    <x v="0"/>
    <x v="2"/>
    <s v="в ипотеке"/>
    <s v="консолидация кредитов"/>
    <n v="588544"/>
    <n v="687"/>
    <n v="1491158"/>
    <n v="15284.36"/>
    <n v="16.3"/>
    <n v="71"/>
    <n v="17"/>
    <n v="428963"/>
    <n v="1118722"/>
    <n v="0"/>
    <n v="1.588137722188222"/>
    <n v="0.91478029294274299"/>
    <n v="0.80681818181818177"/>
    <n v="0.38095238095238093"/>
    <n v="0"/>
    <n v="124263.16666666667"/>
    <n v="0.1229999235493489"/>
  </r>
  <r>
    <n v="454"/>
    <s v="e15c3081-4cec-4988-ae46-073d7ef52a61"/>
    <x v="1"/>
    <x v="0"/>
    <x v="1"/>
    <s v="в ипотеке"/>
    <s v="консолидация кредитов"/>
    <n v="781022"/>
    <n v="653"/>
    <n v="2004253"/>
    <n v="35993.22"/>
    <n v="26.4"/>
    <n v="48"/>
    <n v="17"/>
    <n v="622554"/>
    <n v="1115862"/>
    <n v="0"/>
    <n v="2.6839690438199781"/>
    <n v="0.86950732356857519"/>
    <n v="0.54545454545454541"/>
    <n v="0.38095238095238093"/>
    <n v="0"/>
    <n v="167021.08333333334"/>
    <n v="0.21550105700228464"/>
  </r>
  <r>
    <n v="1446"/>
    <s v="6c75b88b-30d4-4109-83c6-f5134fe42195"/>
    <x v="0"/>
    <x v="1"/>
    <x v="1"/>
    <s v="в собственности"/>
    <s v="консолидация кредитов"/>
    <n v="782936"/>
    <n v="715"/>
    <n v="1719405"/>
    <n v="29373.24"/>
    <n v="10.7"/>
    <n v="35.265240640000002"/>
    <n v="12"/>
    <n v="561830"/>
    <n v="1115840"/>
    <n v="0"/>
    <n v="2.6948659834681621"/>
    <n v="0.95206391478029295"/>
    <n v="0.40074137090909095"/>
    <n v="0.26190476190476192"/>
    <n v="0"/>
    <n v="143283.75"/>
    <n v="0.20500049726504227"/>
  </r>
  <r>
    <n v="580"/>
    <s v="adb067a4-39d8-418c-a672-837f84201faa"/>
    <x v="0"/>
    <x v="0"/>
    <x v="1"/>
    <s v="в ипотеке"/>
    <s v="консолидация кредитов"/>
    <n v="230362"/>
    <n v="731"/>
    <n v="1013479"/>
    <n v="24306.7"/>
    <n v="22"/>
    <n v="35.265240640000002"/>
    <n v="16"/>
    <n v="542735"/>
    <n v="1114234"/>
    <n v="0"/>
    <n v="-0.45109301818057657"/>
    <n v="0.97336884154460723"/>
    <n v="0.40074137090909095"/>
    <n v="0.35714285714285715"/>
    <n v="0"/>
    <n v="84456.583333333328"/>
    <n v="0.28780112858776552"/>
  </r>
  <r>
    <n v="1799"/>
    <s v="bb94fa1f-3774-4f49-925d-d9adb7dfa19a"/>
    <x v="0"/>
    <x v="1"/>
    <x v="1"/>
    <s v="в ипотеке"/>
    <s v="консолидация кредитов"/>
    <n v="220176"/>
    <n v="747"/>
    <n v="1357683"/>
    <n v="10420.36"/>
    <n v="23.7"/>
    <n v="35.265240640000002"/>
    <n v="14"/>
    <n v="444448"/>
    <n v="1111484"/>
    <n v="1"/>
    <n v="-0.50908477745769432"/>
    <n v="0.9946737683089214"/>
    <n v="0.40074137090909095"/>
    <n v="0.30952380952380953"/>
    <n v="0.14285714285714285"/>
    <n v="113140.25"/>
    <n v="9.2101263697048574E-2"/>
  </r>
  <r>
    <n v="1222"/>
    <s v="0ec0d182-cf8f-40db-9462-d4b374ea36df"/>
    <x v="0"/>
    <x v="1"/>
    <x v="5"/>
    <s v="в аренде"/>
    <s v="консолидация кредитов"/>
    <n v="563750"/>
    <n v="0"/>
    <n v="1168044"/>
    <n v="20351.47"/>
    <n v="14.1"/>
    <n v="35.265240640000002"/>
    <n v="8"/>
    <n v="284867"/>
    <n v="1110560"/>
    <n v="0"/>
    <n v="1.4469785154812853"/>
    <n v="0"/>
    <n v="0.40074137090909095"/>
    <n v="0.16666666666666666"/>
    <n v="0"/>
    <n v="97337"/>
    <n v="0.20908256880733947"/>
  </r>
  <r>
    <n v="1523"/>
    <s v="f0dbbaf0-b2d7-48d5-8248-073986908b40"/>
    <x v="0"/>
    <x v="1"/>
    <x v="1"/>
    <s v="в ипотеке"/>
    <s v="консолидация кредитов"/>
    <n v="286968"/>
    <n v="719"/>
    <n v="1408185"/>
    <n v="20066.66"/>
    <n v="17.899999999999999"/>
    <n v="6"/>
    <n v="17"/>
    <n v="457900"/>
    <n v="1109218"/>
    <n v="0"/>
    <n v="-0.12881915939002814"/>
    <n v="0.95739014647137155"/>
    <n v="6.8181818181818177E-2"/>
    <n v="0.38095238095238093"/>
    <n v="0"/>
    <n v="117348.75"/>
    <n v="0.17100020238818053"/>
  </r>
  <r>
    <n v="927"/>
    <s v="c8568b7f-d4d2-4b1a-aa95-a1a4d4e8a3c5"/>
    <x v="0"/>
    <x v="0"/>
    <x v="10"/>
    <s v="в ипотеке"/>
    <s v="ремонт жилья"/>
    <n v="550770"/>
    <n v="715"/>
    <n v="4090719"/>
    <n v="40566.14"/>
    <n v="25.8"/>
    <n v="43"/>
    <n v="14"/>
    <n v="605226"/>
    <n v="1101848"/>
    <n v="0"/>
    <n v="1.3730797293614161"/>
    <n v="0.95206391478029295"/>
    <n v="0.48863636363636365"/>
    <n v="0.30952380952380953"/>
    <n v="0"/>
    <n v="340893.25"/>
    <n v="0.11899954017863364"/>
  </r>
  <r>
    <n v="1787"/>
    <s v="7d33560e-5b32-4864-a54b-a5bf715bd882"/>
    <x v="0"/>
    <x v="1"/>
    <x v="1"/>
    <s v="в собственности"/>
    <s v="иное"/>
    <n v="206382"/>
    <n v="665"/>
    <n v="1336802"/>
    <n v="22168.82"/>
    <n v="15.9"/>
    <n v="35.265240640000002"/>
    <n v="16"/>
    <n v="846222"/>
    <n v="1092344"/>
    <n v="0"/>
    <n v="-0.58761789423253841"/>
    <n v="0.88548601864181087"/>
    <n v="0.40074137090909095"/>
    <n v="0.35714285714285715"/>
    <n v="0"/>
    <n v="111400.16666666667"/>
    <n v="0.19900167713692826"/>
  </r>
  <r>
    <n v="512"/>
    <s v="0bfa5f34-ee9c-4366-b656-08f4540b198f"/>
    <x v="0"/>
    <x v="0"/>
    <x v="6"/>
    <s v="в ипотеке"/>
    <s v="консолидация кредитов"/>
    <n v="483098"/>
    <n v="698"/>
    <n v="1467978"/>
    <n v="33396.300000000003"/>
    <n v="16.3"/>
    <n v="35.265240640000002"/>
    <n v="43"/>
    <n v="719283"/>
    <n v="1091552"/>
    <n v="0"/>
    <n v="0.98780402409918255"/>
    <n v="0.92942743009320905"/>
    <n v="0.40074137090909095"/>
    <n v="1"/>
    <n v="0"/>
    <n v="122331.5"/>
    <n v="0.27299836918536929"/>
  </r>
  <r>
    <n v="326"/>
    <s v="445a6146-6b1f-47c1-8550-cf396f30d24b"/>
    <x v="0"/>
    <x v="0"/>
    <x v="3"/>
    <s v="в ипотеке"/>
    <s v="консолидация кредитов"/>
    <n v="764390"/>
    <n v="705"/>
    <n v="1603220"/>
    <n v="34869.75"/>
    <n v="30.6"/>
    <n v="50"/>
    <n v="15"/>
    <n v="425448"/>
    <n v="1089902"/>
    <n v="0"/>
    <n v="2.589278395842654"/>
    <n v="0.93874833555259651"/>
    <n v="0.56818181818181823"/>
    <n v="0.33333333333333331"/>
    <n v="0"/>
    <n v="133601.66666666666"/>
    <n v="0.26099786679307896"/>
  </r>
  <r>
    <n v="323"/>
    <s v="b183e74e-c2f5-44ca-82bb-edfb87dca58c"/>
    <x v="0"/>
    <x v="0"/>
    <x v="1"/>
    <s v="в ипотеке"/>
    <s v="консолидация кредитов"/>
    <n v="753610"/>
    <n v="676"/>
    <n v="2212835"/>
    <n v="35221.06"/>
    <n v="17.2"/>
    <n v="35.265240640000002"/>
    <n v="17"/>
    <n v="579158"/>
    <n v="1086866"/>
    <n v="0"/>
    <n v="2.5279048277092033"/>
    <n v="0.90013315579227693"/>
    <n v="0.40074137090909095"/>
    <n v="0.38095238095238093"/>
    <n v="0"/>
    <n v="184402.91666666666"/>
    <n v="0.19100055810758595"/>
  </r>
  <r>
    <n v="1913"/>
    <s v="cb87b478-27fd-42bc-9324-57e044dbbe17"/>
    <x v="0"/>
    <x v="0"/>
    <x v="1"/>
    <s v="в ипотеке"/>
    <s v="консолидация кредитов"/>
    <n v="661716"/>
    <n v="717"/>
    <n v="1619199"/>
    <n v="35757.24"/>
    <n v="19.7"/>
    <n v="5"/>
    <n v="15"/>
    <n v="568784"/>
    <n v="1081410"/>
    <n v="0"/>
    <n v="2.0047264724165021"/>
    <n v="0.9547270306258322"/>
    <n v="5.6818181818181816E-2"/>
    <n v="0.33333333333333331"/>
    <n v="0"/>
    <n v="134933.25"/>
    <n v="0.26499947196113632"/>
  </r>
  <r>
    <n v="23"/>
    <s v="5b53e176-8fc7-48bf-9d78-ceb5aa284f36"/>
    <x v="1"/>
    <x v="1"/>
    <x v="3"/>
    <s v="в аренде"/>
    <s v="консолидация кредитов"/>
    <n v="153252"/>
    <n v="714"/>
    <n v="1890690"/>
    <n v="21900.35"/>
    <n v="15.7"/>
    <n v="35.265240640000002"/>
    <n v="12"/>
    <n v="891594"/>
    <n v="1081014"/>
    <n v="0"/>
    <n v="-0.89010190860454552"/>
    <n v="0.95073235685752333"/>
    <n v="0.40074137090909095"/>
    <n v="0.26190476190476192"/>
    <n v="0"/>
    <n v="157557.5"/>
    <n v="0.13899909556828458"/>
  </r>
  <r>
    <n v="51"/>
    <s v="86d02184-ce07-4f47-9f68-45743fa29ced"/>
    <x v="0"/>
    <x v="0"/>
    <x v="1"/>
    <s v="в собственности"/>
    <s v="консолидация кредитов"/>
    <n v="518012"/>
    <n v="719"/>
    <n v="1193010"/>
    <n v="22667.38"/>
    <n v="20.9"/>
    <n v="35.265240640000002"/>
    <n v="11"/>
    <n v="452770"/>
    <n v="1080926"/>
    <n v="0"/>
    <n v="1.1865792335436445"/>
    <n v="0.95739014647137155"/>
    <n v="0.40074137090909095"/>
    <n v="0.23809523809523808"/>
    <n v="0"/>
    <n v="99417.5"/>
    <n v="0.22800191113234591"/>
  </r>
  <r>
    <n v="122"/>
    <s v="5bdd1ffb-85eb-4072-941e-226eaecebb1f"/>
    <x v="0"/>
    <x v="1"/>
    <x v="1"/>
    <s v="в ипотеке"/>
    <s v="ремонт жилья"/>
    <n v="176462"/>
    <n v="0"/>
    <n v="1168044"/>
    <n v="14223.59"/>
    <n v="26.5"/>
    <n v="35.265240640000002"/>
    <n v="7"/>
    <n v="171703"/>
    <n v="1080552"/>
    <n v="0"/>
    <n v="-0.75796085884783027"/>
    <n v="0"/>
    <n v="0.40074137090909095"/>
    <n v="0.14285714285714285"/>
    <n v="0"/>
    <n v="97337"/>
    <n v="0.14612726917821589"/>
  </r>
  <r>
    <n v="1132"/>
    <s v="39140d88-8ee1-4431-b252-339bd7d65259"/>
    <x v="0"/>
    <x v="1"/>
    <x v="2"/>
    <s v="в ипотеке"/>
    <s v="консолидация кредитов"/>
    <n v="471152"/>
    <n v="0"/>
    <n v="1168044"/>
    <n v="18969.22"/>
    <n v="18"/>
    <n v="35.265240640000002"/>
    <n v="8"/>
    <n v="712462"/>
    <n v="1076966"/>
    <n v="0"/>
    <n v="0.91979209043293009"/>
    <n v="0"/>
    <n v="0.40074137090909095"/>
    <n v="0.16666666666666666"/>
    <n v="0"/>
    <n v="97337"/>
    <n v="0.19488190513371073"/>
  </r>
  <r>
    <n v="1001"/>
    <s v="46c28ad4-17c7-4e10-9d9f-f36bfa3dc44f"/>
    <x v="0"/>
    <x v="0"/>
    <x v="1"/>
    <s v="в ипотеке"/>
    <s v="консолидация кредитов"/>
    <n v="776776"/>
    <n v="702"/>
    <n v="2491736"/>
    <n v="42774.89"/>
    <n v="29.9"/>
    <n v="33"/>
    <n v="14"/>
    <n v="941963"/>
    <n v="1076702"/>
    <n v="0"/>
    <n v="2.6597953731061903"/>
    <n v="0.93475366178428765"/>
    <n v="0.375"/>
    <n v="0.30952380952380953"/>
    <n v="0"/>
    <n v="207644.66666666666"/>
    <n v="0.20600042701152932"/>
  </r>
  <r>
    <n v="1929"/>
    <s v="4c9d4eae-19ea-43cd-bc45-6c35c0cbc8ee"/>
    <x v="0"/>
    <x v="1"/>
    <x v="7"/>
    <s v="в ипотеке"/>
    <s v="консолидация кредитов"/>
    <n v="219208"/>
    <n v="745"/>
    <n v="1448275"/>
    <n v="17499.95"/>
    <n v="13.8"/>
    <n v="35.265240640000002"/>
    <n v="10"/>
    <n v="391457"/>
    <n v="1076614"/>
    <n v="0"/>
    <n v="-0.51459587337171842"/>
    <n v="0.99201065246338216"/>
    <n v="0.40074137090909095"/>
    <n v="0.21428571428571427"/>
    <n v="0"/>
    <n v="120689.58333333333"/>
    <n v="0.1449996720236143"/>
  </r>
  <r>
    <n v="765"/>
    <s v="7fd1cdc8-2eff-400d-a705-1602bdbbc87d"/>
    <x v="0"/>
    <x v="1"/>
    <x v="3"/>
    <s v="в ипотеке"/>
    <s v="консолидация кредитов"/>
    <n v="247786"/>
    <n v="748"/>
    <n v="1361787"/>
    <n v="13288.79"/>
    <n v="14.3"/>
    <n v="35.265240640000002"/>
    <n v="13"/>
    <n v="211831"/>
    <n v="1075800"/>
    <n v="0"/>
    <n v="-0.35189329172814193"/>
    <n v="0.99600532623169102"/>
    <n v="0.40074137090909095"/>
    <n v="0.2857142857142857"/>
    <n v="0"/>
    <n v="113482.25"/>
    <n v="0.11710016324138797"/>
  </r>
  <r>
    <n v="409"/>
    <s v="f51f824d-fb8a-4ab6-b211-4db6d706b00c"/>
    <x v="0"/>
    <x v="1"/>
    <x v="1"/>
    <s v="в аренде"/>
    <s v="консолидация кредитов"/>
    <n v="264396"/>
    <n v="737"/>
    <n v="1712565"/>
    <n v="19980.02"/>
    <n v="21.9"/>
    <n v="49"/>
    <n v="13"/>
    <n v="380665"/>
    <n v="1075052"/>
    <n v="0"/>
    <n v="-0.25732789593068212"/>
    <n v="0.98135818908122507"/>
    <n v="0.55681818181818177"/>
    <n v="0.2857142857142857"/>
    <n v="0"/>
    <n v="142713.75"/>
    <n v="0.14000066566816444"/>
  </r>
  <r>
    <n v="115"/>
    <s v="d7ba72fa-b67b-46e7-8f1b-aa68520b89c8"/>
    <x v="0"/>
    <x v="1"/>
    <x v="9"/>
    <s v="в аренде"/>
    <s v="консолидация кредитов"/>
    <n v="309594.52439999999"/>
    <n v="750"/>
    <n v="2435667"/>
    <n v="31257.66"/>
    <n v="12.3"/>
    <n v="35.265240640000002"/>
    <n v="10"/>
    <n v="72276"/>
    <n v="1073028"/>
    <n v="0"/>
    <n v="-1.2411115481956205E-10"/>
    <n v="0.99866844207723038"/>
    <n v="0.40074137090909095"/>
    <n v="0.21428571428571427"/>
    <n v="0"/>
    <n v="202972.25"/>
    <n v="0.15399967236900611"/>
  </r>
  <r>
    <n v="398"/>
    <s v="e8ddad09-0042-42d4-93aa-b45dd89fbddd"/>
    <x v="0"/>
    <x v="1"/>
    <x v="1"/>
    <s v="в ипотеке"/>
    <s v="консолидация кредитов"/>
    <n v="526196"/>
    <n v="0"/>
    <n v="1168044"/>
    <n v="24808.49"/>
    <n v="20.100000000000001"/>
    <n v="12"/>
    <n v="12"/>
    <n v="443840"/>
    <n v="1072918"/>
    <n v="0"/>
    <n v="1.2331730444531213"/>
    <n v="0"/>
    <n v="0.13636363636363635"/>
    <n v="0.26190476190476192"/>
    <n v="0"/>
    <n v="97337"/>
    <n v="0.25487214522740581"/>
  </r>
  <r>
    <n v="1835"/>
    <s v="15458da9-e186-4945-b56f-4a8702020344"/>
    <x v="0"/>
    <x v="0"/>
    <x v="1"/>
    <s v="в ипотеке"/>
    <s v="консолидация кредитов"/>
    <n v="348766"/>
    <n v="712"/>
    <n v="1351546"/>
    <n v="38406.410000000003"/>
    <n v="15.4"/>
    <n v="50"/>
    <n v="16"/>
    <n v="583661"/>
    <n v="1071004"/>
    <n v="0"/>
    <n v="0.22301421384846798"/>
    <n v="0.94806924101198398"/>
    <n v="0.56818181818181823"/>
    <n v="0.35714285714285715"/>
    <n v="0"/>
    <n v="112628.83333333333"/>
    <n v="0.34099980318834877"/>
  </r>
  <r>
    <n v="90"/>
    <s v="46dce277-4cdd-4b47-83f8-97078cb41bc0"/>
    <x v="0"/>
    <x v="1"/>
    <x v="1"/>
    <s v="в ипотеке"/>
    <s v="консолидация кредитов"/>
    <n v="731566"/>
    <n v="705"/>
    <n v="1377443"/>
    <n v="13429.96"/>
    <n v="20.399999999999999"/>
    <n v="65"/>
    <n v="18"/>
    <n v="563008"/>
    <n v="1070432"/>
    <n v="0"/>
    <n v="2.4024021434852898"/>
    <n v="0.93874833555259651"/>
    <n v="0.73863636363636365"/>
    <n v="0.40476190476190477"/>
    <n v="0"/>
    <n v="114786.91666666667"/>
    <n v="0.11699904823647873"/>
  </r>
  <r>
    <n v="1782"/>
    <s v="df37ec52-079d-4fe1-ac3e-9af957a1e86c"/>
    <x v="0"/>
    <x v="1"/>
    <x v="1"/>
    <s v="в ипотеке"/>
    <s v="путешествие"/>
    <n v="266486"/>
    <n v="706"/>
    <n v="1304141"/>
    <n v="28147.93"/>
    <n v="16.399999999999999"/>
    <n v="35.265240640000002"/>
    <n v="10"/>
    <n v="761672"/>
    <n v="1070322"/>
    <n v="0"/>
    <n v="-0.24542893884358452"/>
    <n v="0.94007989347536614"/>
    <n v="0.40074137090909095"/>
    <n v="0.21428571428571427"/>
    <n v="0"/>
    <n v="108678.41666666667"/>
    <n v="0.25900202508777809"/>
  </r>
  <r>
    <n v="1476"/>
    <s v="ad125cf7-946f-459a-a3d0-08d36748b7aa"/>
    <x v="1"/>
    <x v="0"/>
    <x v="9"/>
    <s v="в собственности"/>
    <s v="консолидация кредитов"/>
    <n v="229790"/>
    <n v="678"/>
    <n v="2351250"/>
    <n v="38795.72"/>
    <n v="14.9"/>
    <n v="35.265240640000002"/>
    <n v="16"/>
    <n v="512202"/>
    <n v="1068584"/>
    <n v="1"/>
    <n v="-0.45434957485704536"/>
    <n v="0.90279627163781628"/>
    <n v="0.40074137090909095"/>
    <n v="0.35714285714285715"/>
    <n v="0.14285714285714285"/>
    <n v="195937.5"/>
    <n v="0.19800048484848484"/>
  </r>
  <r>
    <n v="986"/>
    <s v="da7d3376-3992-4068-bc29-a20929c64ed2"/>
    <x v="1"/>
    <x v="0"/>
    <x v="5"/>
    <s v="в ипотеке"/>
    <s v="консолидация кредитов"/>
    <n v="464904"/>
    <n v="0"/>
    <n v="1168044"/>
    <n v="19700.53"/>
    <n v="32.1"/>
    <n v="35.265240640000002"/>
    <n v="12"/>
    <n v="402173"/>
    <n v="1065592"/>
    <n v="0"/>
    <n v="0.8842204713515015"/>
    <n v="0"/>
    <n v="0.40074137090909095"/>
    <n v="0.26190476190476192"/>
    <n v="0"/>
    <n v="97337"/>
    <n v="0.20239508100722231"/>
  </r>
  <r>
    <n v="956"/>
    <s v="2bdf4410-bfb6-448f-8337-63e6fd01a7e0"/>
    <x v="0"/>
    <x v="1"/>
    <x v="6"/>
    <s v="в ипотеке"/>
    <s v="консолидация кредитов"/>
    <n v="549516"/>
    <n v="0"/>
    <n v="1168044"/>
    <n v="30016.77"/>
    <n v="22.3"/>
    <n v="69"/>
    <n v="10"/>
    <n v="481232"/>
    <n v="1061390"/>
    <n v="0"/>
    <n v="1.3659403551091576"/>
    <n v="0"/>
    <n v="0.78409090909090906"/>
    <n v="0.21428571428571427"/>
    <n v="0"/>
    <n v="97337"/>
    <n v="0.30837985555338671"/>
  </r>
  <r>
    <n v="296"/>
    <s v="a3e68c54-ec6c-4f27-861b-d60025f36cde"/>
    <x v="1"/>
    <x v="1"/>
    <x v="5"/>
    <s v="в аренде"/>
    <s v="консолидация кредитов"/>
    <n v="134618"/>
    <n v="746"/>
    <n v="968905"/>
    <n v="16196.74"/>
    <n v="17"/>
    <n v="35.265240640000002"/>
    <n v="17"/>
    <n v="202540"/>
    <n v="1061170"/>
    <n v="0"/>
    <n v="-0.99619050494951045"/>
    <n v="0.99334221038615178"/>
    <n v="0.40074137090909095"/>
    <n v="0.38095238095238093"/>
    <n v="0"/>
    <n v="80742.083333333328"/>
    <n v="0.20059849004804395"/>
  </r>
  <r>
    <n v="1534"/>
    <s v="e5ba349d-d3a4-4822-870b-d333152133db"/>
    <x v="0"/>
    <x v="1"/>
    <x v="3"/>
    <s v="в ипотеке"/>
    <s v="консолидация кредитов"/>
    <n v="327800"/>
    <n v="749"/>
    <n v="1226735"/>
    <n v="19627.57"/>
    <n v="14.1"/>
    <n v="79"/>
    <n v="14"/>
    <n v="290776"/>
    <n v="1058750"/>
    <n v="0"/>
    <n v="0.10364888643789953"/>
    <n v="0.99733688415446076"/>
    <n v="0.89772727272727271"/>
    <n v="0.30952380952380953"/>
    <n v="0"/>
    <n v="102227.91666666667"/>
    <n v="0.19199814140788352"/>
  </r>
  <r>
    <n v="1564"/>
    <s v="02c36826-da5d-41b3-8b8e-5b58add0c339"/>
    <x v="0"/>
    <x v="0"/>
    <x v="2"/>
    <s v="в аренде"/>
    <s v="консолидация кредитов"/>
    <n v="354530"/>
    <n v="724"/>
    <n v="822890"/>
    <n v="15730.86"/>
    <n v="11"/>
    <n v="35.265240640000002"/>
    <n v="15"/>
    <n v="262637"/>
    <n v="1055912"/>
    <n v="0"/>
    <n v="0.25583028497288451"/>
    <n v="0.96404793608521966"/>
    <n v="0.40074137090909095"/>
    <n v="0.33333333333333331"/>
    <n v="0"/>
    <n v="68574.166666666672"/>
    <n v="0.22939921496190255"/>
  </r>
  <r>
    <n v="792"/>
    <s v="a91c4290-8a2d-4cdd-bab9-60788dc14eb2"/>
    <x v="0"/>
    <x v="0"/>
    <x v="3"/>
    <s v="в собственности"/>
    <s v="консолидация кредитов"/>
    <n v="470316"/>
    <n v="719"/>
    <n v="2393487"/>
    <n v="27126.11"/>
    <n v="34.1"/>
    <n v="35.265240640000002"/>
    <n v="7"/>
    <n v="726484"/>
    <n v="1055450"/>
    <n v="0"/>
    <n v="0.91503250759809107"/>
    <n v="0.95739014647137155"/>
    <n v="0.40074137090909095"/>
    <n v="0.14285714285714285"/>
    <n v="0"/>
    <n v="199457.25"/>
    <n v="0.1359996189659689"/>
  </r>
  <r>
    <n v="329"/>
    <s v="6e74edf5-0498-4171-9123-f7f637520240"/>
    <x v="0"/>
    <x v="1"/>
    <x v="5"/>
    <s v="в ипотеке"/>
    <s v="ремонт жилья"/>
    <n v="309594.52439999999"/>
    <n v="716"/>
    <n v="2848575"/>
    <n v="23263.41"/>
    <n v="31.5"/>
    <n v="10"/>
    <n v="14"/>
    <n v="371051"/>
    <n v="1053052"/>
    <n v="0"/>
    <n v="-1.2411115481956205E-10"/>
    <n v="0.95339547270306257"/>
    <n v="0.11363636363636363"/>
    <n v="0.30952380952380953"/>
    <n v="0"/>
    <n v="237381.25"/>
    <n v="9.8000200100050019E-2"/>
  </r>
  <r>
    <n v="827"/>
    <s v="48c25a2a-a932-4080-9709-81c783151fe1"/>
    <x v="0"/>
    <x v="0"/>
    <x v="5"/>
    <s v="в ипотеке"/>
    <s v="консолидация кредитов"/>
    <n v="769230"/>
    <n v="691"/>
    <n v="2799707"/>
    <n v="63459.81"/>
    <n v="17"/>
    <n v="35.265240640000002"/>
    <n v="18"/>
    <n v="633536"/>
    <n v="1047926"/>
    <n v="0"/>
    <n v="2.6168338754127749"/>
    <n v="0.92010652463382159"/>
    <n v="0.40074137090909095"/>
    <n v="0.40476190476190477"/>
    <n v="0"/>
    <n v="233308.91666666666"/>
    <n v="0.27199907704627663"/>
  </r>
  <r>
    <n v="1055"/>
    <s v="9ea59c8a-5b3a-44a0-90ce-a6f2fe804463"/>
    <x v="1"/>
    <x v="0"/>
    <x v="9"/>
    <s v="в ипотеке"/>
    <s v="консолидация кредитов"/>
    <n v="469898"/>
    <n v="0"/>
    <n v="1168044"/>
    <n v="19131.669999999998"/>
    <n v="38.9"/>
    <n v="35.265240640000002"/>
    <n v="21"/>
    <n v="478743"/>
    <n v="1047882"/>
    <n v="0"/>
    <n v="0.91265271618067145"/>
    <n v="0"/>
    <n v="0.40074137090909095"/>
    <n v="0.47619047619047616"/>
    <n v="0"/>
    <n v="97337"/>
    <n v="0.1965508491118485"/>
  </r>
  <r>
    <n v="619"/>
    <s v="b4a75c42-b909-4307-ac0f-09cf1b186eea"/>
    <x v="0"/>
    <x v="1"/>
    <x v="8"/>
    <s v="в ипотеке"/>
    <s v="консолидация кредитов"/>
    <n v="309594.52439999999"/>
    <n v="745"/>
    <n v="1620814"/>
    <n v="27553.8"/>
    <n v="9.6"/>
    <n v="8"/>
    <n v="12"/>
    <n v="388987"/>
    <n v="1047486"/>
    <n v="0"/>
    <n v="-1.2411115481956205E-10"/>
    <n v="0.99201065246338216"/>
    <n v="9.0909090909090912E-2"/>
    <n v="0.26190476190476192"/>
    <n v="0"/>
    <n v="135067.83333333334"/>
    <n v="0.20399971865988323"/>
  </r>
  <r>
    <n v="343"/>
    <s v="3ba73ec7-aa01-49b2-beb0-53eaab294c0a"/>
    <x v="0"/>
    <x v="1"/>
    <x v="3"/>
    <s v="в аренде"/>
    <s v="консолидация кредитов"/>
    <n v="224642"/>
    <n v="741"/>
    <n v="1056039"/>
    <n v="14080.33"/>
    <n v="38.5"/>
    <n v="35.265240640000002"/>
    <n v="7"/>
    <n v="252320"/>
    <n v="1047200"/>
    <n v="0"/>
    <n v="-0.4836585849452647"/>
    <n v="0.98668442077230356"/>
    <n v="0.40074137090909095"/>
    <n v="0.14285714285714285"/>
    <n v="0"/>
    <n v="88003.25"/>
    <n v="0.15999784098882711"/>
  </r>
  <r>
    <n v="873"/>
    <s v="86b62db7-9526-4335-a386-063bcd82cb3d"/>
    <x v="0"/>
    <x v="0"/>
    <x v="8"/>
    <s v="в ипотеке"/>
    <s v="консолидация кредитов"/>
    <n v="395538"/>
    <n v="697"/>
    <n v="747213"/>
    <n v="17933.150000000001"/>
    <n v="28.1"/>
    <n v="78"/>
    <n v="15"/>
    <n v="621832"/>
    <n v="1046540"/>
    <n v="0"/>
    <n v="0.48930034823972562"/>
    <n v="0.92809587217043943"/>
    <n v="0.88636363636363635"/>
    <n v="0.33333333333333331"/>
    <n v="0"/>
    <n v="62267.75"/>
    <n v="0.28800061026775498"/>
  </r>
  <r>
    <n v="1681"/>
    <s v="4959fbc6-301c-4a74-8e4d-2c186f722e1f"/>
    <x v="0"/>
    <x v="1"/>
    <x v="0"/>
    <s v="в ипотеке"/>
    <s v="консолидация кредитов"/>
    <n v="454058"/>
    <n v="749"/>
    <n v="2644116"/>
    <n v="9805.33"/>
    <n v="29.5"/>
    <n v="35.265240640000002"/>
    <n v="9"/>
    <n v="263359"/>
    <n v="1040798"/>
    <n v="0"/>
    <n v="0.82247114667845822"/>
    <n v="0.99733688415446076"/>
    <n v="0.40074137090909095"/>
    <n v="0.19047619047619047"/>
    <n v="0"/>
    <n v="220343"/>
    <n v="4.4500301802190223E-2"/>
  </r>
  <r>
    <n v="1840"/>
    <s v="a6793f8e-40f4-4717-b48f-e707acc56be0"/>
    <x v="0"/>
    <x v="1"/>
    <x v="0"/>
    <s v="в аренде"/>
    <s v="консолидация кредитов"/>
    <n v="304722"/>
    <n v="731"/>
    <n v="558942"/>
    <n v="8477.23"/>
    <n v="16.399999999999999"/>
    <n v="52"/>
    <n v="5"/>
    <n v="453473"/>
    <n v="1039742"/>
    <n v="0"/>
    <n v="-2.774065023963071E-2"/>
    <n v="0.97336884154460723"/>
    <n v="0.59090909090909094"/>
    <n v="9.5238095238095233E-2"/>
    <n v="0"/>
    <n v="46578.5"/>
    <n v="0.181998776259433"/>
  </r>
  <r>
    <n v="1620"/>
    <s v="51a37845-1b53-450c-9e65-83d462be3270"/>
    <x v="1"/>
    <x v="0"/>
    <x v="3"/>
    <s v="в аренде"/>
    <s v="консолидация кредитов"/>
    <n v="770616"/>
    <n v="694"/>
    <n v="1996596"/>
    <n v="50414.03"/>
    <n v="15.4"/>
    <n v="35.265240640000002"/>
    <n v="10"/>
    <n v="455031"/>
    <n v="1039214"/>
    <n v="0"/>
    <n v="2.6247247627442185"/>
    <n v="0.92410119840213045"/>
    <n v="0.40074137090909095"/>
    <n v="0.21428571428571427"/>
    <n v="0"/>
    <n v="166383"/>
    <n v="0.30299988580564119"/>
  </r>
  <r>
    <n v="903"/>
    <s v="6bf8c8ce-4837-4fc7-8c35-fb847a413c17"/>
    <x v="1"/>
    <x v="1"/>
    <x v="1"/>
    <s v="в ипотеке"/>
    <s v="консолидация кредитов"/>
    <n v="192214"/>
    <n v="746"/>
    <n v="1131792"/>
    <n v="16127.96"/>
    <n v="17.8"/>
    <n v="23"/>
    <n v="13"/>
    <n v="250268"/>
    <n v="1038708"/>
    <n v="0"/>
    <n v="-0.66828029806507361"/>
    <n v="0.99334221038615178"/>
    <n v="0.26136363636363635"/>
    <n v="0.2857142857142857"/>
    <n v="0"/>
    <n v="94316"/>
    <n v="0.17099919419822723"/>
  </r>
  <r>
    <n v="1315"/>
    <s v="56d3612a-75ed-4655-b2c2-ad769bb851f2"/>
    <x v="0"/>
    <x v="1"/>
    <x v="1"/>
    <s v="в ипотеке"/>
    <s v="консолидация кредитов"/>
    <n v="142824"/>
    <n v="0"/>
    <n v="1168044"/>
    <n v="12886.75"/>
    <n v="39.4"/>
    <n v="10"/>
    <n v="14"/>
    <n v="257298"/>
    <n v="1038092"/>
    <n v="0"/>
    <n v="-0.9494714418601693"/>
    <n v="0"/>
    <n v="0.11363636363636363"/>
    <n v="0.30952380952380953"/>
    <n v="0"/>
    <n v="97337"/>
    <n v="0.13239312902596134"/>
  </r>
  <r>
    <n v="1192"/>
    <s v="220c5eab-701c-4fa9-8f8b-df03dd549304"/>
    <x v="0"/>
    <x v="1"/>
    <x v="5"/>
    <s v="в аренде"/>
    <s v="консолидация кредитов"/>
    <n v="309594.52439999999"/>
    <n v="741"/>
    <n v="865811"/>
    <n v="18759.27"/>
    <n v="15.1"/>
    <n v="25"/>
    <n v="15"/>
    <n v="230907"/>
    <n v="1036354"/>
    <n v="0"/>
    <n v="-1.2411115481956205E-10"/>
    <n v="0.98668442077230356"/>
    <n v="0.28409090909090912"/>
    <n v="0.33333333333333331"/>
    <n v="0"/>
    <n v="72150.916666666672"/>
    <n v="0.26000043889486274"/>
  </r>
  <r>
    <n v="1747"/>
    <s v="0cb93236-178f-4c4e-bd3e-483e49924f08"/>
    <x v="0"/>
    <x v="0"/>
    <x v="1"/>
    <s v="в ипотеке"/>
    <s v="консолидация кредитов"/>
    <n v="360624"/>
    <n v="734"/>
    <n v="1206861"/>
    <n v="19510.91"/>
    <n v="15.2"/>
    <n v="35.265240640000002"/>
    <n v="14"/>
    <n v="342608"/>
    <n v="1035804"/>
    <n v="0"/>
    <n v="0.29052513879526382"/>
    <n v="0.9773635153129161"/>
    <n v="0.40074137090909095"/>
    <n v="0.30952380952380953"/>
    <n v="0"/>
    <n v="100571.75"/>
    <n v="0.19399990554007462"/>
  </r>
  <r>
    <n v="55"/>
    <s v="82b6502d-b24e-43d7-baf5-5624e566bfe3"/>
    <x v="0"/>
    <x v="0"/>
    <x v="1"/>
    <s v="в ипотеке"/>
    <s v="консолидация кредитов"/>
    <n v="309594.52439999999"/>
    <n v="730"/>
    <n v="2509520"/>
    <n v="34714.9"/>
    <n v="40.799999999999997"/>
    <n v="35"/>
    <n v="12"/>
    <n v="733324"/>
    <n v="1035496"/>
    <n v="0"/>
    <n v="-1.2411115481956205E-10"/>
    <n v="0.9720372836218375"/>
    <n v="0.39772727272727271"/>
    <n v="0.26190476190476192"/>
    <n v="0"/>
    <n v="209126.66666666666"/>
    <n v="0.16599939430648095"/>
  </r>
  <r>
    <n v="70"/>
    <s v="570f58b9-c502-4c7d-b1a8-9df512e9daf5"/>
    <x v="0"/>
    <x v="1"/>
    <x v="4"/>
    <s v="в ипотеке"/>
    <s v="консолидация кредитов"/>
    <n v="144562"/>
    <n v="751"/>
    <n v="1060922"/>
    <n v="19750.88"/>
    <n v="21.8"/>
    <n v="35.265240640000002"/>
    <n v="7"/>
    <n v="314773"/>
    <n v="1035408"/>
    <n v="0"/>
    <n v="-0.93957651965089872"/>
    <n v="1"/>
    <n v="0.40074137090909095"/>
    <n v="0.14285714285714285"/>
    <n v="0"/>
    <n v="88410.166666666672"/>
    <n v="0.22340055159568753"/>
  </r>
  <r>
    <n v="1851"/>
    <s v="74181236-8090-46e6-8ff5-345636aaf806"/>
    <x v="0"/>
    <x v="1"/>
    <x v="0"/>
    <s v="в ипотеке"/>
    <s v="консолидация кредитов"/>
    <n v="309594.52439999999"/>
    <n v="738"/>
    <n v="1223030"/>
    <n v="16714.490000000002"/>
    <n v="27"/>
    <n v="59"/>
    <n v="12"/>
    <n v="419482"/>
    <n v="1029050"/>
    <n v="0"/>
    <n v="-1.2411115481956205E-10"/>
    <n v="0.9826897470039947"/>
    <n v="0.67045454545454541"/>
    <n v="0.26190476190476192"/>
    <n v="0"/>
    <n v="101919.16666666667"/>
    <n v="0.16399751437004817"/>
  </r>
  <r>
    <n v="1103"/>
    <s v="50d9a522-3780-4ddb-8158-10d4cc9a00ed"/>
    <x v="1"/>
    <x v="0"/>
    <x v="1"/>
    <s v="в ипотеке"/>
    <s v="консолидация кредитов"/>
    <n v="425524"/>
    <n v="726"/>
    <n v="827032"/>
    <n v="20813.36"/>
    <n v="31.4"/>
    <n v="35.265240640000002"/>
    <n v="12"/>
    <n v="389367"/>
    <n v="1022318"/>
    <n v="0"/>
    <n v="0.66001906939461008"/>
    <n v="0.96671105193075901"/>
    <n v="0.40074137090909095"/>
    <n v="0.26190476190476192"/>
    <n v="0"/>
    <n v="68919.333333333328"/>
    <n v="0.30199595662562034"/>
  </r>
  <r>
    <n v="10"/>
    <s v="235c4a43-dadf-483d-aa44-9d6d77ae4583"/>
    <x v="0"/>
    <x v="1"/>
    <x v="5"/>
    <s v="в аренде"/>
    <s v="консолидация кредитов"/>
    <n v="215952"/>
    <n v="739"/>
    <n v="1454735"/>
    <n v="39277.75"/>
    <n v="13.9"/>
    <n v="35.265240640000002"/>
    <n v="20"/>
    <n v="669560"/>
    <n v="1021460"/>
    <n v="0"/>
    <n v="-0.5331331959916179"/>
    <n v="0.98402130492676432"/>
    <n v="0.40074137090909095"/>
    <n v="0.45238095238095238"/>
    <n v="0"/>
    <n v="121227.91666666667"/>
    <n v="0.32399921635211909"/>
  </r>
  <r>
    <n v="238"/>
    <s v="4a38f197-1e4a-49f9-bc02-7563c7663f69"/>
    <x v="0"/>
    <x v="1"/>
    <x v="1"/>
    <s v="в ипотеке"/>
    <s v="консолидация кредитов"/>
    <n v="732028"/>
    <n v="737"/>
    <n v="1724193"/>
    <n v="32041.22"/>
    <n v="18.5"/>
    <n v="21"/>
    <n v="14"/>
    <n v="628425"/>
    <n v="1017698"/>
    <n v="0"/>
    <n v="2.4050324392624378"/>
    <n v="0.98135818908122507"/>
    <n v="0.23863636363636365"/>
    <n v="0.30952380952380953"/>
    <n v="0"/>
    <n v="143682.75"/>
    <n v="0.22299976858739132"/>
  </r>
  <r>
    <n v="1399"/>
    <s v="bc301b42-c7ac-43a0-afc4-f628d1ae8918"/>
    <x v="0"/>
    <x v="1"/>
    <x v="1"/>
    <s v="в аренде"/>
    <s v="консолидация кредитов"/>
    <n v="444444"/>
    <n v="704"/>
    <n v="1458592"/>
    <n v="25768.37"/>
    <n v="22.5"/>
    <n v="35.265240640000002"/>
    <n v="24"/>
    <n v="616113"/>
    <n v="1017698"/>
    <n v="0"/>
    <n v="0.76773594407780932"/>
    <n v="0.93741677762982689"/>
    <n v="0.40074137090909095"/>
    <n v="0.54761904761904767"/>
    <n v="0"/>
    <n v="121549.33333333333"/>
    <n v="0.21199927052938725"/>
  </r>
  <r>
    <n v="1790"/>
    <s v="903248cd-fa88-4cfc-9a3b-87ad94994897"/>
    <x v="0"/>
    <x v="1"/>
    <x v="1"/>
    <s v="в собственности"/>
    <s v="консолидация кредитов"/>
    <n v="720126"/>
    <n v="676"/>
    <n v="1920919"/>
    <n v="31855.21"/>
    <n v="24.3"/>
    <n v="5"/>
    <n v="25"/>
    <n v="554401"/>
    <n v="1017346"/>
    <n v="0"/>
    <n v="2.3372710099559137"/>
    <n v="0.90013315579227693"/>
    <n v="5.6818181818181816E-2"/>
    <n v="0.5714285714285714"/>
    <n v="0"/>
    <n v="160076.58333333334"/>
    <n v="0.19899981206911899"/>
  </r>
  <r>
    <n v="1977"/>
    <s v="5708f88b-a42c-4c68-99d6-8e7f37ced52a"/>
    <x v="0"/>
    <x v="0"/>
    <x v="3"/>
    <s v="в ипотеке"/>
    <s v="консолидация кредитов"/>
    <n v="505252"/>
    <n v="725"/>
    <n v="975555"/>
    <n v="18291.68"/>
    <n v="13.6"/>
    <n v="35.265240640000002"/>
    <n v="17"/>
    <n v="275785"/>
    <n v="1013760"/>
    <n v="0"/>
    <n v="1.1139329692224171"/>
    <n v="0.96537949400798939"/>
    <n v="0.40074137090909095"/>
    <n v="0.38095238095238093"/>
    <n v="0"/>
    <n v="81296.25"/>
    <n v="0.22500029214139644"/>
  </r>
  <r>
    <n v="1461"/>
    <s v="b55aada5-7b8d-4cbe-b982-6e6fca8fc19c"/>
    <x v="0"/>
    <x v="1"/>
    <x v="1"/>
    <s v="в ипотеке"/>
    <s v="иное"/>
    <n v="118030"/>
    <n v="0"/>
    <n v="1168044"/>
    <n v="4366.01"/>
    <n v="17.7"/>
    <n v="35.265240640000002"/>
    <n v="10"/>
    <n v="229007"/>
    <n v="1012132"/>
    <n v="0"/>
    <n v="-1.090630648567106"/>
    <n v="0"/>
    <n v="0.40074137090909095"/>
    <n v="0.21428571428571427"/>
    <n v="0"/>
    <n v="97337"/>
    <n v="4.4854577396056999E-2"/>
  </r>
  <r>
    <n v="559"/>
    <s v="5956b460-87f2-466a-8d49-338fdd1c313a"/>
    <x v="1"/>
    <x v="1"/>
    <x v="1"/>
    <s v="в собственности"/>
    <s v="консолидация кредитов"/>
    <n v="337436"/>
    <n v="730"/>
    <n v="687971"/>
    <n v="12326.06"/>
    <n v="17.899999999999999"/>
    <n v="14"/>
    <n v="13"/>
    <n v="385890"/>
    <n v="1008612"/>
    <n v="0"/>
    <n v="0.15850934121841262"/>
    <n v="0.9720372836218375"/>
    <n v="0.15909090909090909"/>
    <n v="0.2857142857142857"/>
    <n v="0"/>
    <n v="57330.916666666664"/>
    <n v="0.21499848104062527"/>
  </r>
  <r>
    <n v="1355"/>
    <s v="48af83bc-a382-4872-aa82-362c7d23c440"/>
    <x v="0"/>
    <x v="1"/>
    <x v="1"/>
    <s v="в аренде"/>
    <s v="консолидация кредитов"/>
    <n v="398222"/>
    <n v="719"/>
    <n v="1108175"/>
    <n v="22440.52"/>
    <n v="31"/>
    <n v="22"/>
    <n v="20"/>
    <n v="478154"/>
    <n v="1006654"/>
    <n v="0"/>
    <n v="0.50458111418315621"/>
    <n v="0.95739014647137155"/>
    <n v="0.25"/>
    <n v="0.45238095238095238"/>
    <n v="0"/>
    <n v="92347.916666666672"/>
    <n v="0.2429997428204029"/>
  </r>
  <r>
    <n v="1012"/>
    <s v="4b9c2fe5-8953-4cb4-8b40-610ad7223e8f"/>
    <x v="0"/>
    <x v="1"/>
    <x v="6"/>
    <s v="в ипотеке"/>
    <s v="консолидация кредитов"/>
    <n v="309594.52439999999"/>
    <n v="743"/>
    <n v="774060"/>
    <n v="17093.73"/>
    <n v="16.7"/>
    <n v="35.265240640000002"/>
    <n v="12"/>
    <n v="486647"/>
    <n v="1006236"/>
    <n v="0"/>
    <n v="-1.2411115481956205E-10"/>
    <n v="0.98934753661784292"/>
    <n v="0.40074137090909095"/>
    <n v="0.26190476190476192"/>
    <n v="0"/>
    <n v="64505"/>
    <n v="0.26499852724594991"/>
  </r>
  <r>
    <n v="674"/>
    <s v="4cd8f95a-1974-4201-9bb3-c4407dae8b2b"/>
    <x v="1"/>
    <x v="1"/>
    <x v="1"/>
    <s v="в ипотеке"/>
    <s v="иное"/>
    <n v="221496"/>
    <n v="728"/>
    <n v="956460"/>
    <n v="12354.18"/>
    <n v="14.8"/>
    <n v="35.265240640000002"/>
    <n v="19"/>
    <n v="377739"/>
    <n v="1003178"/>
    <n v="0"/>
    <n v="-0.50156964666584314"/>
    <n v="0.96937416777629826"/>
    <n v="0.40074137090909095"/>
    <n v="0.42857142857142855"/>
    <n v="0"/>
    <n v="79705"/>
    <n v="0.15499880810488678"/>
  </r>
  <r>
    <n v="923"/>
    <s v="a992d10d-d4fb-4edf-8614-98b723f1b435"/>
    <x v="0"/>
    <x v="1"/>
    <x v="1"/>
    <s v="в ипотеке"/>
    <s v="ремонт жилья"/>
    <n v="594000"/>
    <n v="685"/>
    <n v="1069966"/>
    <n v="14979.41"/>
    <n v="8.5"/>
    <n v="35.265240640000002"/>
    <n v="10"/>
    <n v="360848"/>
    <n v="1001968"/>
    <n v="0"/>
    <n v="1.6192002627945401"/>
    <n v="0.91211717709720375"/>
    <n v="0.40074137090909095"/>
    <n v="0.21428571428571427"/>
    <n v="0"/>
    <n v="89163.833333333328"/>
    <n v="0.16799872145470043"/>
  </r>
  <r>
    <n v="1652"/>
    <s v="10cb1231-2c52-4636-9837-3d00cd32ff99"/>
    <x v="0"/>
    <x v="1"/>
    <x v="7"/>
    <s v="в собственности"/>
    <s v="консолидация кредитов"/>
    <n v="433928"/>
    <n v="747"/>
    <n v="1030579"/>
    <n v="13740.99"/>
    <n v="20"/>
    <n v="35.265240640000002"/>
    <n v="7"/>
    <n v="264708"/>
    <n v="1001660"/>
    <n v="0"/>
    <n v="0.70786540210272875"/>
    <n v="0.9946737683089214"/>
    <n v="0.40074137090909095"/>
    <n v="0.14285714285714285"/>
    <n v="0"/>
    <n v="85881.583333333328"/>
    <n v="0.1599992625504692"/>
  </r>
  <r>
    <n v="1100"/>
    <s v="ce0d05e9-62e8-48d0-b4cd-6b1c1d78eb2e"/>
    <x v="0"/>
    <x v="1"/>
    <x v="3"/>
    <s v="в ипотеке"/>
    <s v="иное"/>
    <n v="52932"/>
    <n v="704"/>
    <n v="2247377"/>
    <n v="54124.35"/>
    <n v="21.1"/>
    <n v="45"/>
    <n v="17"/>
    <n v="684019"/>
    <n v="1001308"/>
    <n v="0"/>
    <n v="-1.46125184878523"/>
    <n v="0.93741677762982689"/>
    <n v="0.51136363636363635"/>
    <n v="0.38095238095238093"/>
    <n v="0"/>
    <n v="187281.41666666666"/>
    <n v="0.28900010990590363"/>
  </r>
  <r>
    <n v="711"/>
    <s v="f7711fe4-6384-4ad3-8604-fb8ebf0c527c"/>
    <x v="0"/>
    <x v="1"/>
    <x v="1"/>
    <s v="в ипотеке"/>
    <s v="консолидация кредитов"/>
    <n v="309594.52439999999"/>
    <n v="738"/>
    <n v="1981529"/>
    <n v="37649.07"/>
    <n v="32.6"/>
    <n v="27"/>
    <n v="19"/>
    <n v="452618"/>
    <n v="1000142"/>
    <n v="0"/>
    <n v="-1.2411115481956205E-10"/>
    <n v="0.9826897470039947"/>
    <n v="0.30681818181818182"/>
    <n v="0.42857142857142855"/>
    <n v="0"/>
    <n v="165127.41666666666"/>
    <n v="0.22800011506266121"/>
  </r>
  <r>
    <n v="36"/>
    <s v="b91032a8-107c-4c0f-9ef8-c517e696f497"/>
    <x v="0"/>
    <x v="1"/>
    <x v="2"/>
    <s v="в ипотеке"/>
    <s v="консолидация кредитов"/>
    <n v="125796"/>
    <n v="745"/>
    <n v="1261068"/>
    <n v="20597.330000000002"/>
    <n v="24.5"/>
    <n v="35.265240640000002"/>
    <n v="13"/>
    <n v="684817"/>
    <n v="997414"/>
    <n v="0"/>
    <n v="-1.0464166290750487"/>
    <n v="0.99201065246338216"/>
    <n v="0.40074137090909095"/>
    <n v="0.2857142857142857"/>
    <n v="0"/>
    <n v="105089"/>
    <n v="0.19599891520520704"/>
  </r>
  <r>
    <n v="1413"/>
    <s v="fdd59d55-6bfb-497c-9858-42883d4ba3f6"/>
    <x v="0"/>
    <x v="1"/>
    <x v="1"/>
    <s v="в ипотеке"/>
    <s v="консолидация кредитов"/>
    <n v="428846"/>
    <n v="703"/>
    <n v="823042"/>
    <n v="13854.61"/>
    <n v="19.2"/>
    <n v="50"/>
    <n v="13"/>
    <n v="487407"/>
    <n v="990132"/>
    <n v="0"/>
    <n v="0.678932148554102"/>
    <n v="0.93608521970705727"/>
    <n v="0.56818181818181823"/>
    <n v="0.2857142857142857"/>
    <n v="0"/>
    <n v="68586.833333333328"/>
    <n v="0.20200101574403254"/>
  </r>
  <r>
    <n v="887"/>
    <s v="6337b5c4-3745-42b2-9bc9-313b66f6d99a"/>
    <x v="0"/>
    <x v="1"/>
    <x v="1"/>
    <s v="в ипотеке"/>
    <s v="приобретение автомобиля"/>
    <n v="129184"/>
    <n v="751"/>
    <n v="1001186"/>
    <n v="12097.68"/>
    <n v="24.9"/>
    <n v="35.265240640000002"/>
    <n v="4"/>
    <n v="386289"/>
    <n v="989560"/>
    <n v="0"/>
    <n v="-1.0271277933759642"/>
    <n v="1"/>
    <n v="0.40074137090909095"/>
    <n v="7.1428571428571425E-2"/>
    <n v="0"/>
    <n v="83432.166666666672"/>
    <n v="0.14500018977492693"/>
  </r>
  <r>
    <n v="1540"/>
    <s v="85bc0dad-26b3-429d-83e8-486559bb4640"/>
    <x v="0"/>
    <x v="1"/>
    <x v="6"/>
    <s v="в аренде"/>
    <s v="консолидация кредитов"/>
    <n v="328658"/>
    <n v="731"/>
    <n v="1589464"/>
    <n v="20133.16"/>
    <n v="20.6"/>
    <n v="78"/>
    <n v="12"/>
    <n v="94278"/>
    <n v="983378"/>
    <n v="1"/>
    <n v="0.10853372145260275"/>
    <n v="0.97336884154460723"/>
    <n v="0.88636363636363635"/>
    <n v="0.26190476190476192"/>
    <n v="0.14285714285714285"/>
    <n v="132455.33333333334"/>
    <n v="0.15199961748111313"/>
  </r>
  <r>
    <n v="1254"/>
    <s v="9b904ba2-1fd1-4b7f-94d6-018682203871"/>
    <x v="0"/>
    <x v="1"/>
    <x v="1"/>
    <s v="в ипотеке"/>
    <s v="консолидация кредитов"/>
    <n v="120274"/>
    <n v="747"/>
    <n v="779095"/>
    <n v="13504.25"/>
    <n v="16.5"/>
    <n v="35.265240640000002"/>
    <n v="14"/>
    <n v="308693"/>
    <n v="981948"/>
    <n v="0"/>
    <n v="-1.0778549262209591"/>
    <n v="0.9946737683089214"/>
    <n v="0.40074137090909095"/>
    <n v="0.30952380952380953"/>
    <n v="0"/>
    <n v="64924.583333333336"/>
    <n v="0.20799902450920618"/>
  </r>
  <r>
    <n v="155"/>
    <s v="a18c315b-1918-4c8c-bf77-15886243427f"/>
    <x v="0"/>
    <x v="1"/>
    <x v="7"/>
    <s v="в ипотеке"/>
    <s v="консолидация кредитов"/>
    <n v="448822"/>
    <n v="741"/>
    <n v="1027444"/>
    <n v="21576.400000000001"/>
    <n v="33.1"/>
    <n v="35.265240640000002"/>
    <n v="8"/>
    <n v="669028"/>
    <n v="981838"/>
    <n v="0"/>
    <n v="0.79266112787078213"/>
    <n v="0.98668442077230356"/>
    <n v="0.40074137090909095"/>
    <n v="0.16666666666666666"/>
    <n v="0"/>
    <n v="85620.333333333328"/>
    <n v="0.25200088763961837"/>
  </r>
  <r>
    <n v="1048"/>
    <s v="9379820c-d2ab-4433-93c9-576e1350a297"/>
    <x v="1"/>
    <x v="1"/>
    <x v="0"/>
    <s v="в собственности"/>
    <s v="консолидация кредитов"/>
    <n v="752840"/>
    <n v="0"/>
    <n v="1168044"/>
    <n v="39159.949999999997"/>
    <n v="29.5"/>
    <n v="37"/>
    <n v="13"/>
    <n v="746624"/>
    <n v="979066"/>
    <n v="0"/>
    <n v="2.5235210014139571"/>
    <n v="0"/>
    <n v="0.42045454545454547"/>
    <n v="0.2857142857142857"/>
    <n v="0"/>
    <n v="97337"/>
    <n v="0.40231309779426117"/>
  </r>
  <r>
    <n v="1735"/>
    <s v="6491574f-763e-40b9-8630-2905c89598b4"/>
    <x v="0"/>
    <x v="0"/>
    <x v="9"/>
    <s v="в ипотеке"/>
    <s v="консолидация кредитов"/>
    <n v="329384"/>
    <n v="710"/>
    <n v="738644"/>
    <n v="14957.56"/>
    <n v="15.4"/>
    <n v="35.265240640000002"/>
    <n v="11"/>
    <n v="374965"/>
    <n v="977878"/>
    <n v="0"/>
    <n v="0.11266704338812086"/>
    <n v="0.94540612516644473"/>
    <n v="0.40074137090909095"/>
    <n v="0.23809523809523808"/>
    <n v="0"/>
    <n v="61553.666666666664"/>
    <n v="0.24300030867373187"/>
  </r>
  <r>
    <n v="1671"/>
    <s v="650bb2dc-df1e-4744-af4d-e4f2d7016c6d"/>
    <x v="0"/>
    <x v="1"/>
    <x v="8"/>
    <s v="в ипотеке"/>
    <s v="консолидация кредитов"/>
    <n v="263626"/>
    <n v="744"/>
    <n v="1290195"/>
    <n v="29459.5"/>
    <n v="11.2"/>
    <n v="35.265240640000002"/>
    <n v="16"/>
    <n v="359138"/>
    <n v="973852"/>
    <n v="0"/>
    <n v="-0.26171172222592859"/>
    <n v="0.99067909454061254"/>
    <n v="0.40074137090909095"/>
    <n v="0.35714285714285715"/>
    <n v="0"/>
    <n v="107516.25"/>
    <n v="0.27400044179368233"/>
  </r>
  <r>
    <n v="430"/>
    <s v="c6abf067-c8b9-44f9-be06-4271cb13e550"/>
    <x v="0"/>
    <x v="1"/>
    <x v="4"/>
    <s v="в ипотеке"/>
    <s v="консолидация кредитов"/>
    <n v="214632"/>
    <n v="722"/>
    <n v="1448237"/>
    <n v="33188.629999999997"/>
    <n v="15"/>
    <n v="10"/>
    <n v="25"/>
    <n v="485982"/>
    <n v="970200"/>
    <n v="0"/>
    <n v="-0.54064832678346897"/>
    <n v="0.96138482023968042"/>
    <n v="0.11363636363636363"/>
    <n v="0.5714285714285714"/>
    <n v="0"/>
    <n v="120686.41666666667"/>
    <n v="0.27499888485102919"/>
  </r>
  <r>
    <n v="848"/>
    <s v="3a749d28-13c8-444f-af8c-788d2d944eb5"/>
    <x v="0"/>
    <x v="0"/>
    <x v="6"/>
    <s v="в ипотеке"/>
    <s v="консолидация кредитов"/>
    <n v="568414"/>
    <n v="717"/>
    <n v="1116744"/>
    <n v="12656.47"/>
    <n v="21.4"/>
    <n v="35.265240640000002"/>
    <n v="8"/>
    <n v="598044"/>
    <n v="969826"/>
    <n v="0"/>
    <n v="1.4735319776124927"/>
    <n v="0.9547270306258322"/>
    <n v="0.40074137090909095"/>
    <n v="0.16666666666666666"/>
    <n v="0"/>
    <n v="93062"/>
    <n v="0.13600040832993057"/>
  </r>
  <r>
    <n v="169"/>
    <s v="50b9be84-4a19-4005-b50a-016352734f4d"/>
    <x v="0"/>
    <x v="0"/>
    <x v="7"/>
    <s v="в ипотеке"/>
    <s v="иное"/>
    <n v="314226"/>
    <n v="723"/>
    <n v="2638454"/>
    <n v="34959.43"/>
    <n v="18.2"/>
    <n v="54"/>
    <n v="10"/>
    <n v="662815"/>
    <n v="969034"/>
    <n v="0"/>
    <n v="2.636829146169728E-2"/>
    <n v="0.96271637816245004"/>
    <n v="0.61363636363636365"/>
    <n v="0.21428571428571427"/>
    <n v="0"/>
    <n v="219871.16666666666"/>
    <n v="0.15899961113591521"/>
  </r>
  <r>
    <n v="1400"/>
    <s v="cc58d787-d423-40ee-b1e5-706be95eaf7f"/>
    <x v="0"/>
    <x v="1"/>
    <x v="1"/>
    <s v="в аренде"/>
    <s v="консолидация кредитов"/>
    <n v="536976"/>
    <n v="668"/>
    <n v="1780775"/>
    <n v="27453.48"/>
    <n v="38.799999999999997"/>
    <n v="39"/>
    <n v="11"/>
    <n v="732754"/>
    <n v="968550"/>
    <n v="0"/>
    <n v="1.2945466125865721"/>
    <n v="0.88948069241011984"/>
    <n v="0.44318181818181818"/>
    <n v="0.23809523809523808"/>
    <n v="0"/>
    <n v="148397.91666666666"/>
    <n v="0.18499909309149107"/>
  </r>
  <r>
    <n v="117"/>
    <s v="44c5392a-dab7-4747-a2c7-da56763c6a5e"/>
    <x v="0"/>
    <x v="0"/>
    <x v="1"/>
    <s v="в аренде"/>
    <s v="консолидация кредитов"/>
    <n v="472098"/>
    <n v="692"/>
    <n v="2316575"/>
    <n v="24517.22"/>
    <n v="28.2"/>
    <n v="35.265240640000002"/>
    <n v="9"/>
    <n v="454176"/>
    <n v="968506"/>
    <n v="0"/>
    <n v="0.92517793416709004"/>
    <n v="0.92143808255659121"/>
    <n v="0.40074137090909095"/>
    <n v="0.19047619047619047"/>
    <n v="0"/>
    <n v="193047.91666666666"/>
    <n v="0.12700069714988724"/>
  </r>
  <r>
    <n v="1217"/>
    <s v="e19b2b24-af9d-4b3a-a17e-8b583dc6e72a"/>
    <x v="1"/>
    <x v="1"/>
    <x v="1"/>
    <s v="в ипотеке"/>
    <s v="консолидация кредитов"/>
    <n v="329604"/>
    <n v="0"/>
    <n v="1168044"/>
    <n v="14648.05"/>
    <n v="28.7"/>
    <n v="46"/>
    <n v="15"/>
    <n v="644860"/>
    <n v="968462"/>
    <n v="1"/>
    <n v="0.1139195651867627"/>
    <n v="0"/>
    <n v="0.52272727272727271"/>
    <n v="0.33333333333333331"/>
    <n v="0.14285714285714285"/>
    <n v="97337"/>
    <n v="0.15048799531524495"/>
  </r>
  <r>
    <n v="1258"/>
    <s v="4dc21984-2dc1-492c-bd1f-c0bb2bc51f0e"/>
    <x v="0"/>
    <x v="1"/>
    <x v="6"/>
    <s v="в собственности"/>
    <s v="консолидация кредитов"/>
    <n v="233508"/>
    <n v="0"/>
    <n v="1168044"/>
    <n v="6644.49"/>
    <n v="14.4"/>
    <n v="35.265240640000002"/>
    <n v="12"/>
    <n v="213731"/>
    <n v="966724"/>
    <n v="0"/>
    <n v="-0.43318195645999807"/>
    <n v="0"/>
    <n v="0.40074137090909095"/>
    <n v="0.26190476190476192"/>
    <n v="0"/>
    <n v="97337"/>
    <n v="6.8262736677727892E-2"/>
  </r>
  <r>
    <n v="625"/>
    <s v="c08b3ba3-53f4-4d42-9cfb-df4382418e02"/>
    <x v="0"/>
    <x v="1"/>
    <x v="0"/>
    <s v="в ипотеке"/>
    <s v="консолидация кредитов"/>
    <n v="397738"/>
    <n v="736"/>
    <n v="1622106"/>
    <n v="25413.07"/>
    <n v="15.9"/>
    <n v="50"/>
    <n v="16"/>
    <n v="494836"/>
    <n v="966218"/>
    <n v="0"/>
    <n v="0.50182556622614416"/>
    <n v="0.98002663115845534"/>
    <n v="0.56818181818181823"/>
    <n v="0.35714285714285715"/>
    <n v="0"/>
    <n v="135175.5"/>
    <n v="0.18800056223206127"/>
  </r>
  <r>
    <n v="1362"/>
    <s v="29e515ed-e8d3-4d25-a096-0a2f11c0db92"/>
    <x v="0"/>
    <x v="1"/>
    <x v="3"/>
    <s v="в собственности"/>
    <s v="иное"/>
    <n v="346522"/>
    <n v="0"/>
    <n v="1168044"/>
    <n v="10387.49"/>
    <n v="16"/>
    <n v="35.265240640000002"/>
    <n v="6"/>
    <n v="161044"/>
    <n v="966196"/>
    <n v="0"/>
    <n v="0.2102384915023211"/>
    <n v="0"/>
    <n v="0.40074137090909095"/>
    <n v="0.11904761904761904"/>
    <n v="0"/>
    <n v="97337"/>
    <n v="0.10671676751903182"/>
  </r>
  <r>
    <n v="495"/>
    <s v="994cadf0-0f3e-4ca1-9f65-171ab50b572b"/>
    <x v="0"/>
    <x v="1"/>
    <x v="1"/>
    <s v="в аренде"/>
    <s v="консолидация кредитов"/>
    <n v="447524"/>
    <n v="741"/>
    <n v="2705486"/>
    <n v="29985.8"/>
    <n v="29"/>
    <n v="35.265240640000002"/>
    <n v="9"/>
    <n v="485697"/>
    <n v="962984"/>
    <n v="0"/>
    <n v="0.78527124925879521"/>
    <n v="0.98668442077230356"/>
    <n v="0.40074137090909095"/>
    <n v="0.19047619047619047"/>
    <n v="0"/>
    <n v="225457.16666666666"/>
    <n v="0.13299998595446438"/>
  </r>
  <r>
    <n v="807"/>
    <s v="719e7e4b-b7e7-4967-9b89-f833d81ccf0f"/>
    <x v="0"/>
    <x v="1"/>
    <x v="7"/>
    <s v="в аренде"/>
    <s v="консолидация кредитов"/>
    <n v="391314"/>
    <n v="735"/>
    <n v="762660"/>
    <n v="15062.63"/>
    <n v="13"/>
    <n v="35.265240640000002"/>
    <n v="18"/>
    <n v="351633"/>
    <n v="962522"/>
    <n v="0"/>
    <n v="0.46525192970580209"/>
    <n v="0.97869507323568572"/>
    <n v="0.40074137090909095"/>
    <n v="0.40476190476190477"/>
    <n v="0"/>
    <n v="63555"/>
    <n v="0.23700149476831089"/>
  </r>
  <r>
    <n v="829"/>
    <s v="4509ab8b-fda5-422c-8e71-b06684f71931"/>
    <x v="0"/>
    <x v="1"/>
    <x v="2"/>
    <s v="в ипотеке"/>
    <s v="консолидация кредитов"/>
    <n v="524524"/>
    <n v="0"/>
    <n v="1168044"/>
    <n v="15892.36"/>
    <n v="15.4"/>
    <n v="35.265240640000002"/>
    <n v="12"/>
    <n v="449236"/>
    <n v="959706"/>
    <n v="0"/>
    <n v="1.2236538787834432"/>
    <n v="0"/>
    <n v="0.40074137090909095"/>
    <n v="0.26190476190476192"/>
    <n v="0"/>
    <n v="97337"/>
    <n v="0.1632715205934023"/>
  </r>
  <r>
    <n v="934"/>
    <s v="e5865761-30b2-444c-8b07-1e44a57df561"/>
    <x v="1"/>
    <x v="1"/>
    <x v="1"/>
    <s v="в собственности"/>
    <s v="консолидация кредитов"/>
    <n v="223762"/>
    <n v="734"/>
    <n v="618393"/>
    <n v="15408.24"/>
    <n v="28.2"/>
    <n v="11"/>
    <n v="19"/>
    <n v="469338"/>
    <n v="958452"/>
    <n v="0"/>
    <n v="-0.48866867213983212"/>
    <n v="0.9773635153129161"/>
    <n v="0.125"/>
    <n v="0.42857142857142855"/>
    <n v="0"/>
    <n v="51532.75"/>
    <n v="0.29899898608166653"/>
  </r>
  <r>
    <n v="1580"/>
    <s v="6b257294-0226-467c-8767-3ef94c7fb2c7"/>
    <x v="0"/>
    <x v="1"/>
    <x v="7"/>
    <s v="в ипотеке"/>
    <s v="иное"/>
    <n v="43890"/>
    <n v="749"/>
    <n v="1326808"/>
    <n v="6269.24"/>
    <n v="33.5"/>
    <n v="35.265240640000002"/>
    <n v="19"/>
    <n v="92625"/>
    <n v="957638"/>
    <n v="0"/>
    <n v="-1.51273049470941"/>
    <n v="0.99733688415446076"/>
    <n v="0.40074137090909095"/>
    <n v="0.42857142857142855"/>
    <n v="0"/>
    <n v="110567.33333333333"/>
    <n v="5.6700652995761255E-2"/>
  </r>
  <r>
    <n v="651"/>
    <s v="7fc3ea13-7274-446a-b5d0-a82980065b03"/>
    <x v="1"/>
    <x v="0"/>
    <x v="1"/>
    <s v="в ипотеке"/>
    <s v="малый бизнес"/>
    <n v="356444"/>
    <n v="713"/>
    <n v="1269808"/>
    <n v="30189.48"/>
    <n v="22.1"/>
    <n v="35.265240640000002"/>
    <n v="7"/>
    <n v="762489"/>
    <n v="955504"/>
    <n v="0"/>
    <n v="0.26672722462106863"/>
    <n v="0.94940079893475371"/>
    <n v="0.40074137090909095"/>
    <n v="0.14285714285714285"/>
    <n v="0"/>
    <n v="105817.33333333333"/>
    <n v="0.28529806080919323"/>
  </r>
  <r>
    <n v="1798"/>
    <s v="de9bfee2-6db8-430a-ab5a-f6430a0a93cc"/>
    <x v="0"/>
    <x v="1"/>
    <x v="6"/>
    <s v="в аренде"/>
    <s v="консолидация кредитов"/>
    <n v="309594.52439999999"/>
    <n v="744"/>
    <n v="1186322"/>
    <n v="13593.17"/>
    <n v="37"/>
    <n v="35.265240640000002"/>
    <n v="17"/>
    <n v="390127"/>
    <n v="955064"/>
    <n v="0"/>
    <n v="-1.2411115481956205E-10"/>
    <n v="0.99067909454061254"/>
    <n v="0.40074137090909095"/>
    <n v="0.38095238095238093"/>
    <n v="0"/>
    <n v="98860.166666666672"/>
    <n v="0.13749895896729555"/>
  </r>
  <r>
    <n v="251"/>
    <s v="6841d292-bf4d-4f08-bdef-b851643cee7f"/>
    <x v="1"/>
    <x v="1"/>
    <x v="9"/>
    <s v="в собственности"/>
    <s v="консолидация кредитов"/>
    <n v="216612"/>
    <n v="722"/>
    <n v="897959"/>
    <n v="19006.650000000001"/>
    <n v="10.7"/>
    <n v="35.265240640000002"/>
    <n v="14"/>
    <n v="321670"/>
    <n v="955042"/>
    <n v="0"/>
    <n v="-0.52937563059569226"/>
    <n v="0.96138482023968042"/>
    <n v="0.40074137090909095"/>
    <n v="0.30952380952380953"/>
    <n v="0"/>
    <n v="74829.916666666672"/>
    <n v="0.25399801104504771"/>
  </r>
  <r>
    <n v="939"/>
    <s v="10fad0e9-073d-460c-a41b-b3adf38ca369"/>
    <x v="0"/>
    <x v="1"/>
    <x v="5"/>
    <s v="в ипотеке"/>
    <s v="консолидация кредитов"/>
    <n v="522610"/>
    <n v="728"/>
    <n v="1067515"/>
    <n v="24997.54"/>
    <n v="30"/>
    <n v="35.265240640000002"/>
    <n v="15"/>
    <n v="759373"/>
    <n v="953656"/>
    <n v="0"/>
    <n v="1.2127569391352591"/>
    <n v="0.96937416777629826"/>
    <n v="0.40074137090909095"/>
    <n v="0.33333333333333331"/>
    <n v="0"/>
    <n v="88959.583333333328"/>
    <n v="0.28099884310759105"/>
  </r>
  <r>
    <n v="759"/>
    <s v="5cf58471-de79-4ce3-9545-6ca8086dc2e7"/>
    <x v="0"/>
    <x v="1"/>
    <x v="1"/>
    <s v="в аренде"/>
    <s v="консолидация кредитов"/>
    <n v="220022"/>
    <n v="0"/>
    <n v="1168044"/>
    <n v="29528.66"/>
    <n v="22"/>
    <n v="78"/>
    <n v="12"/>
    <n v="356421"/>
    <n v="953106"/>
    <n v="0"/>
    <n v="-0.50996154271674354"/>
    <n v="0"/>
    <n v="0.88636363636363635"/>
    <n v="0.26190476190476192"/>
    <n v="0"/>
    <n v="97337"/>
    <n v="0.30336521569392932"/>
  </r>
  <r>
    <n v="1230"/>
    <s v="93774e00-bedb-4ce4-8582-9cb01c10b702"/>
    <x v="0"/>
    <x v="0"/>
    <x v="2"/>
    <s v="в аренде"/>
    <s v="консолидация кредитов"/>
    <n v="355124"/>
    <n v="701"/>
    <n v="1533528"/>
    <n v="22747.37"/>
    <n v="14.1"/>
    <n v="53"/>
    <n v="16"/>
    <n v="215308"/>
    <n v="951544"/>
    <n v="1"/>
    <n v="0.2592120938292175"/>
    <n v="0.93342210386151803"/>
    <n v="0.60227272727272729"/>
    <n v="0.35714285714285715"/>
    <n v="0.14285714285714285"/>
    <n v="127794"/>
    <n v="0.17800029735355336"/>
  </r>
  <r>
    <n v="368"/>
    <s v="4ae48a91-7be2-40b1-a66d-6f7d5b6b5e7f"/>
    <x v="0"/>
    <x v="1"/>
    <x v="1"/>
    <s v="в ипотеке"/>
    <s v="консолидация кредитов"/>
    <n v="776864"/>
    <n v="687"/>
    <n v="1629383"/>
    <n v="34895.78"/>
    <n v="19.600000000000001"/>
    <n v="63"/>
    <n v="24"/>
    <n v="481783"/>
    <n v="950334"/>
    <n v="1"/>
    <n v="2.6602963818256473"/>
    <n v="0.91478029294274299"/>
    <n v="0.71590909090909094"/>
    <n v="0.54761904761904767"/>
    <n v="0.14285714285714285"/>
    <n v="135781.91666666666"/>
    <n v="0.25699872896673159"/>
  </r>
  <r>
    <n v="688"/>
    <s v="c81a3693-b832-4a9a-bec0-722932d0ea54"/>
    <x v="0"/>
    <x v="0"/>
    <x v="1"/>
    <s v="в аренде"/>
    <s v="консолидация кредитов"/>
    <n v="333212"/>
    <n v="692"/>
    <n v="959215"/>
    <n v="26698.23"/>
    <n v="17.399999999999999"/>
    <n v="36"/>
    <n v="9"/>
    <n v="616968"/>
    <n v="948706"/>
    <n v="0"/>
    <n v="0.13446092268448909"/>
    <n v="0.92143808255659121"/>
    <n v="0.40909090909090912"/>
    <n v="0.19047619047619047"/>
    <n v="0"/>
    <n v="79934.583333333328"/>
    <n v="0.33400099039318609"/>
  </r>
  <r>
    <n v="63"/>
    <s v="1902ebd8-4ffa-4182-90dd-89a9eb14a9a0"/>
    <x v="0"/>
    <x v="1"/>
    <x v="9"/>
    <s v="в ипотеке"/>
    <s v="консолидация кредитов"/>
    <n v="152548"/>
    <n v="0"/>
    <n v="1168044"/>
    <n v="19164.54"/>
    <n v="12.1"/>
    <n v="26"/>
    <n v="22"/>
    <n v="120916"/>
    <n v="946000"/>
    <n v="0"/>
    <n v="-0.89410997836019945"/>
    <n v="0"/>
    <n v="0.29545454545454547"/>
    <n v="0.5"/>
    <n v="0"/>
    <n v="97337"/>
    <n v="0.19688854186999805"/>
  </r>
  <r>
    <n v="1539"/>
    <s v="823f3d4a-da40-4f0e-85f7-83e3fd0aa351"/>
    <x v="1"/>
    <x v="0"/>
    <x v="6"/>
    <s v="в аренде"/>
    <s v="консолидация кредитов"/>
    <n v="450208"/>
    <n v="658"/>
    <n v="1030370"/>
    <n v="12536.01"/>
    <n v="18.7"/>
    <n v="26"/>
    <n v="11"/>
    <n v="341411"/>
    <n v="945758"/>
    <n v="0"/>
    <n v="0.80055201520222574"/>
    <n v="0.87616511318242341"/>
    <n v="0.29545454545454547"/>
    <n v="0.23809523809523808"/>
    <n v="0"/>
    <n v="85864.166666666672"/>
    <n v="0.1459981560022128"/>
  </r>
  <r>
    <n v="1125"/>
    <s v="17b3a950-d9a4-4a65-8468-e5f8b92c826b"/>
    <x v="1"/>
    <x v="1"/>
    <x v="0"/>
    <s v="в аренде"/>
    <s v="консолидация кредитов"/>
    <n v="131582"/>
    <n v="736"/>
    <n v="1704699"/>
    <n v="22303.15"/>
    <n v="14.9"/>
    <n v="35.265240640000002"/>
    <n v="14"/>
    <n v="777024"/>
    <n v="945054"/>
    <n v="0"/>
    <n v="-1.0134753057707679"/>
    <n v="0.98002663115845534"/>
    <n v="0.40074137090909095"/>
    <n v="0.30952380952380953"/>
    <n v="0"/>
    <n v="142058.25"/>
    <n v="0.15700003343698801"/>
  </r>
  <r>
    <n v="1433"/>
    <s v="dace8b80-194b-410d-8eec-5df2afb17310"/>
    <x v="0"/>
    <x v="0"/>
    <x v="7"/>
    <s v="в ипотеке"/>
    <s v="консолидация кредитов"/>
    <n v="346544"/>
    <n v="722"/>
    <n v="972686"/>
    <n v="24073.95"/>
    <n v="22.5"/>
    <n v="35.265240640000002"/>
    <n v="14"/>
    <n v="434606"/>
    <n v="944130"/>
    <n v="0"/>
    <n v="0.21036374368218527"/>
    <n v="0.96138482023968042"/>
    <n v="0.40074137090909095"/>
    <n v="0.30952380952380953"/>
    <n v="0"/>
    <n v="81057.166666666672"/>
    <n v="0.29699964839629645"/>
  </r>
  <r>
    <n v="442"/>
    <s v="65fae922-65ac-42d8-910a-d43c187b0c07"/>
    <x v="0"/>
    <x v="0"/>
    <x v="1"/>
    <s v="в ипотеке"/>
    <s v="консолидация кредитов"/>
    <n v="531168"/>
    <n v="724"/>
    <n v="1834944"/>
    <n v="23242.7"/>
    <n v="38"/>
    <n v="75"/>
    <n v="16"/>
    <n v="534033"/>
    <n v="942612"/>
    <n v="0"/>
    <n v="1.2614800371024273"/>
    <n v="0.96404793608521966"/>
    <n v="0.85227272727272729"/>
    <n v="0.35714285714285715"/>
    <n v="0"/>
    <n v="152912"/>
    <n v="0.15200049701789264"/>
  </r>
  <r>
    <n v="1999"/>
    <s v="4343b7d7-1e92-4df4-ae50-060b4faf11f8"/>
    <x v="0"/>
    <x v="0"/>
    <x v="5"/>
    <s v="в аренде"/>
    <s v="консолидация кредитов"/>
    <n v="573936"/>
    <n v="723"/>
    <n v="2001783"/>
    <n v="39868.839999999997"/>
    <n v="21.6"/>
    <n v="35.265240640000002"/>
    <n v="14"/>
    <n v="305653"/>
    <n v="941226"/>
    <n v="0"/>
    <n v="1.5049702747584031"/>
    <n v="0.96271637816245004"/>
    <n v="0.40074137090909095"/>
    <n v="0.30952380952380953"/>
    <n v="0"/>
    <n v="166815.25"/>
    <n v="0.2389999715253851"/>
  </r>
  <r>
    <n v="291"/>
    <s v="33bf0df2-a905-4963-9d22-7375ee815b3d"/>
    <x v="0"/>
    <x v="1"/>
    <x v="6"/>
    <s v="в ипотеке"/>
    <s v="консолидация кредитов"/>
    <n v="219186"/>
    <n v="748"/>
    <n v="2233697"/>
    <n v="14779.72"/>
    <n v="20.6"/>
    <n v="37"/>
    <n v="11"/>
    <n v="281618"/>
    <n v="939708"/>
    <n v="0"/>
    <n v="-0.51472112555158267"/>
    <n v="0.99600532623169102"/>
    <n v="0.42045454545454547"/>
    <n v="0.23809523809523808"/>
    <n v="0"/>
    <n v="186141.41666666666"/>
    <n v="7.9400491651284849E-2"/>
  </r>
  <r>
    <n v="1210"/>
    <s v="39fb4ac1-798f-4646-ae79-c3f2c22acd1c"/>
    <x v="1"/>
    <x v="1"/>
    <x v="1"/>
    <s v="в ипотеке"/>
    <s v="консолидация кредитов"/>
    <n v="232760"/>
    <n v="725"/>
    <n v="654493"/>
    <n v="13526.1"/>
    <n v="20.8"/>
    <n v="51"/>
    <n v="17"/>
    <n v="359195"/>
    <n v="938828"/>
    <n v="0"/>
    <n v="-0.4374405305753804"/>
    <n v="0.96537949400798939"/>
    <n v="0.57954545454545459"/>
    <n v="0.38095238095238093"/>
    <n v="0"/>
    <n v="54541.083333333336"/>
    <n v="0.24799837431416377"/>
  </r>
  <r>
    <n v="1351"/>
    <s v="a5ceece0-c917-49f4-9c92-933093287117"/>
    <x v="0"/>
    <x v="0"/>
    <x v="0"/>
    <s v="в аренде"/>
    <s v="консолидация кредитов"/>
    <n v="545842"/>
    <n v="676"/>
    <n v="1123660"/>
    <n v="36331.800000000003"/>
    <n v="17"/>
    <n v="49"/>
    <n v="20"/>
    <n v="445341"/>
    <n v="935858"/>
    <n v="0"/>
    <n v="1.3450232410718388"/>
    <n v="0.90013315579227693"/>
    <n v="0.55681818181818177"/>
    <n v="0.45238095238095238"/>
    <n v="0"/>
    <n v="93638.333333333328"/>
    <n v="0.38800135272235381"/>
  </r>
  <r>
    <n v="685"/>
    <s v="4237e26b-6a82-4b5a-8906-51db1c66718c"/>
    <x v="1"/>
    <x v="1"/>
    <x v="1"/>
    <s v="в ипотеке"/>
    <s v="консолидация кредитов"/>
    <n v="671506"/>
    <n v="706"/>
    <n v="1784423"/>
    <n v="44610.48"/>
    <n v="22.8"/>
    <n v="35.265240640000002"/>
    <n v="14"/>
    <n v="548663"/>
    <n v="935660"/>
    <n v="0"/>
    <n v="2.0604636924560644"/>
    <n v="0.94007989347536614"/>
    <n v="0.40074137090909095"/>
    <n v="0.30952380952380953"/>
    <n v="0"/>
    <n v="148701.91666666666"/>
    <n v="0.29999936113802617"/>
  </r>
  <r>
    <n v="1069"/>
    <s v="855ea063-a403-4f50-92e3-32717107bd31"/>
    <x v="0"/>
    <x v="0"/>
    <x v="1"/>
    <s v="в ипотеке"/>
    <s v="ремонт жилья"/>
    <n v="399410"/>
    <n v="0"/>
    <n v="1168044"/>
    <n v="25316.36"/>
    <n v="18.600000000000001"/>
    <n v="35.265240640000002"/>
    <n v="10"/>
    <n v="265259"/>
    <n v="933570"/>
    <n v="0"/>
    <n v="0.51134473189582219"/>
    <n v="0"/>
    <n v="0.40074137090909095"/>
    <n v="0.21428571428571427"/>
    <n v="0"/>
    <n v="97337"/>
    <n v="0.26008979113800507"/>
  </r>
  <r>
    <n v="1450"/>
    <s v="fa62964d-e8b9-4bd8-8fbc-9c75ae934fb4"/>
    <x v="0"/>
    <x v="0"/>
    <x v="8"/>
    <s v="в аренде"/>
    <s v="консолидация кредитов"/>
    <n v="309594.52439999999"/>
    <n v="738"/>
    <n v="1341704"/>
    <n v="5646.23"/>
    <n v="18.899999999999999"/>
    <n v="35.265240640000002"/>
    <n v="10"/>
    <n v="182058"/>
    <n v="932734"/>
    <n v="0"/>
    <n v="-1.2411115481956205E-10"/>
    <n v="0.9826897470039947"/>
    <n v="0.40074137090909095"/>
    <n v="0.21428571428571427"/>
    <n v="0"/>
    <n v="111808.66666666667"/>
    <n v="5.0499037045428789E-2"/>
  </r>
  <r>
    <n v="1403"/>
    <s v="28f97812-a3ad-40e0-acf8-426a838504f1"/>
    <x v="0"/>
    <x v="0"/>
    <x v="6"/>
    <s v="в собственности"/>
    <s v="ремонт жилья"/>
    <n v="451154"/>
    <n v="726"/>
    <n v="5306301"/>
    <n v="43246.28"/>
    <n v="13"/>
    <n v="35.265240640000002"/>
    <n v="13"/>
    <n v="191691"/>
    <n v="932624"/>
    <n v="0"/>
    <n v="0.8059378589363857"/>
    <n v="0.96671105193075901"/>
    <n v="0.40074137090909095"/>
    <n v="0.2857142857142857"/>
    <n v="0"/>
    <n v="442191.75"/>
    <n v="9.7799834574028119E-2"/>
  </r>
  <r>
    <n v="534"/>
    <s v="7a0a192b-0424-44e3-bc72-d29cda2084b6"/>
    <x v="0"/>
    <x v="0"/>
    <x v="6"/>
    <s v="в ипотеке"/>
    <s v="путешествие"/>
    <n v="358116"/>
    <n v="721"/>
    <n v="1507783"/>
    <n v="34679.18"/>
    <n v="19"/>
    <n v="35.265240640000002"/>
    <n v="7"/>
    <n v="760399"/>
    <n v="928774"/>
    <n v="0"/>
    <n v="0.27624639029074666"/>
    <n v="0.96005326231691079"/>
    <n v="0.40074137090909095"/>
    <n v="0.14285714285714285"/>
    <n v="0"/>
    <n v="125648.58333333333"/>
    <n v="0.27600136093854355"/>
  </r>
  <r>
    <n v="539"/>
    <s v="3ca9889c-d8c7-4e4d-a0d0-943eddeca023"/>
    <x v="1"/>
    <x v="0"/>
    <x v="4"/>
    <s v="в аренде"/>
    <s v="консолидация кредитов"/>
    <n v="435864"/>
    <n v="0"/>
    <n v="1168044"/>
    <n v="15429.9"/>
    <n v="17.3"/>
    <n v="34"/>
    <n v="19"/>
    <n v="338485"/>
    <n v="928730"/>
    <n v="0"/>
    <n v="0.71888759393077706"/>
    <n v="0"/>
    <n v="0.38636363636363635"/>
    <n v="0.42857142857142855"/>
    <n v="0"/>
    <n v="97337"/>
    <n v="0.15852039820417724"/>
  </r>
  <r>
    <n v="1017"/>
    <s v="8f31d7d2-e50b-4071-97e5-718e956f3632"/>
    <x v="0"/>
    <x v="1"/>
    <x v="7"/>
    <s v="в аренде"/>
    <s v="консолидация кредитов"/>
    <n v="218900"/>
    <n v="748"/>
    <n v="1890500"/>
    <n v="12745.2"/>
    <n v="10.8"/>
    <n v="39"/>
    <n v="9"/>
    <n v="171551"/>
    <n v="928180"/>
    <n v="0"/>
    <n v="-0.51634940388981698"/>
    <n v="0.99600532623169102"/>
    <n v="0.44318181818181818"/>
    <n v="0.19047619047619047"/>
    <n v="0"/>
    <n v="157541.66666666666"/>
    <n v="8.0900502512562825E-2"/>
  </r>
  <r>
    <n v="239"/>
    <s v="ee5f9ebe-0bc7-4be2-ba09-07329fb9f0f9"/>
    <x v="0"/>
    <x v="0"/>
    <x v="1"/>
    <s v="в ипотеке"/>
    <s v="консолидация кредитов"/>
    <n v="660132"/>
    <n v="722"/>
    <n v="1634323"/>
    <n v="18931.03"/>
    <n v="16.7"/>
    <n v="35.265240640000002"/>
    <n v="17"/>
    <n v="452713"/>
    <n v="927762"/>
    <n v="1"/>
    <n v="1.9957083154662807"/>
    <n v="0.96138482023968042"/>
    <n v="0.40074137090909095"/>
    <n v="0.38095238095238093"/>
    <n v="0.14285714285714285"/>
    <n v="136193.58333333334"/>
    <n v="0.1390008951718846"/>
  </r>
  <r>
    <n v="696"/>
    <s v="ad4cef79-7205-4b52-b573-ed285926e547"/>
    <x v="1"/>
    <x v="1"/>
    <x v="3"/>
    <s v="в аренде"/>
    <s v="консолидация кредитов"/>
    <n v="246774"/>
    <n v="746"/>
    <n v="968715"/>
    <n v="22684.1"/>
    <n v="15.4"/>
    <n v="35.265240640000002"/>
    <n v="10"/>
    <n v="349999"/>
    <n v="927366"/>
    <n v="0"/>
    <n v="-0.35765489200189443"/>
    <n v="0.99334221038615178"/>
    <n v="0.40074137090909095"/>
    <n v="0.21428571428571427"/>
    <n v="0"/>
    <n v="80726.25"/>
    <n v="0.28100029420417766"/>
  </r>
  <r>
    <n v="226"/>
    <s v="9bf42874-90b7-44b2-8567-0b26b2ce7f77"/>
    <x v="0"/>
    <x v="0"/>
    <x v="8"/>
    <s v="в аренде"/>
    <s v="консолидация кредитов"/>
    <n v="67166"/>
    <n v="0"/>
    <n v="1168044"/>
    <n v="42060.68"/>
    <n v="27.4"/>
    <n v="35.265240640000002"/>
    <n v="11"/>
    <n v="679725"/>
    <n v="927014"/>
    <n v="0"/>
    <n v="-1.3802136884131022"/>
    <n v="0"/>
    <n v="0.40074137090909095"/>
    <n v="0.23809523809523808"/>
    <n v="0"/>
    <n v="97337"/>
    <n v="0.43211399570564124"/>
  </r>
  <r>
    <n v="565"/>
    <s v="70753e1d-62a0-4b15-af37-0b714db50afe"/>
    <x v="0"/>
    <x v="1"/>
    <x v="8"/>
    <s v="в ипотеке"/>
    <s v="консолидация кредитов"/>
    <n v="309594.52439999999"/>
    <n v="700"/>
    <n v="1489771"/>
    <n v="23141.24"/>
    <n v="14"/>
    <n v="1"/>
    <n v="11"/>
    <n v="65626"/>
    <n v="926706"/>
    <n v="0"/>
    <n v="-1.2411115481956205E-10"/>
    <n v="0.93209054593874829"/>
    <n v="1.1363636363636364E-2"/>
    <n v="0.23809523809523808"/>
    <n v="0"/>
    <n v="124147.58333333333"/>
    <n v="0.18640105089976919"/>
  </r>
  <r>
    <n v="1769"/>
    <s v="acffb102-0839-4764-86f4-e76bffbf69df"/>
    <x v="0"/>
    <x v="1"/>
    <x v="7"/>
    <s v="в ипотеке"/>
    <s v="консолидация кредитов"/>
    <n v="457666"/>
    <n v="745"/>
    <n v="3293745"/>
    <n v="51602.1"/>
    <n v="19.7"/>
    <n v="76"/>
    <n v="22"/>
    <n v="640338"/>
    <n v="924484"/>
    <n v="0"/>
    <n v="0.84301250417618456"/>
    <n v="0.99201065246338216"/>
    <n v="0.86363636363636365"/>
    <n v="0.5"/>
    <n v="0"/>
    <n v="274478.75"/>
    <n v="0.18800034611058233"/>
  </r>
  <r>
    <n v="283"/>
    <s v="9d6258bf-f326-4fa5-8d51-c61c4e09ea84"/>
    <x v="0"/>
    <x v="1"/>
    <x v="6"/>
    <s v="в аренде"/>
    <s v="консолидация кредитов"/>
    <n v="323708"/>
    <n v="723"/>
    <n v="1640061"/>
    <n v="21047.439999999999"/>
    <n v="21.2"/>
    <n v="31"/>
    <n v="14"/>
    <n v="546782"/>
    <n v="924242"/>
    <n v="0"/>
    <n v="8.0351980983161084E-2"/>
    <n v="0.96271637816245004"/>
    <n v="0.35227272727272729"/>
    <n v="0.30952380952380953"/>
    <n v="0"/>
    <n v="136671.75"/>
    <n v="0.15399993049039029"/>
  </r>
  <r>
    <n v="433"/>
    <s v="44836e28-1f4b-428f-aea6-073ab6437c68"/>
    <x v="0"/>
    <x v="0"/>
    <x v="1"/>
    <s v="в ипотеке"/>
    <s v="консолидация кредитов"/>
    <n v="309594.52439999999"/>
    <n v="693"/>
    <n v="1885959"/>
    <n v="8046.88"/>
    <n v="21.8"/>
    <n v="35"/>
    <n v="10"/>
    <n v="315932"/>
    <n v="923758"/>
    <n v="0"/>
    <n v="-1.2411115481956205E-10"/>
    <n v="0.92276964047936083"/>
    <n v="0.39772727272727271"/>
    <n v="0.21428571428571427"/>
    <n v="0"/>
    <n v="157163.25"/>
    <n v="5.1200773717774352E-2"/>
  </r>
  <r>
    <n v="1452"/>
    <s v="4963d404-5a22-4183-91a7-5c71db5f56a4"/>
    <x v="0"/>
    <x v="1"/>
    <x v="0"/>
    <s v="в ипотеке"/>
    <s v="консолидация кредитов"/>
    <n v="309594.52439999999"/>
    <n v="749"/>
    <n v="1068598"/>
    <n v="18255.2"/>
    <n v="20.6"/>
    <n v="35.265240640000002"/>
    <n v="10"/>
    <n v="409051"/>
    <n v="923252"/>
    <n v="0"/>
    <n v="-1.2411115481956205E-10"/>
    <n v="0.99733688415446076"/>
    <n v="0.40074137090909095"/>
    <n v="0.21428571428571427"/>
    <n v="0"/>
    <n v="89049.833333333328"/>
    <n v="0.20499982219693469"/>
  </r>
  <r>
    <n v="1310"/>
    <s v="4f19270e-385b-4c2f-be91-731164511e85"/>
    <x v="0"/>
    <x v="1"/>
    <x v="5"/>
    <s v="в аренде"/>
    <s v="Медицинские счета"/>
    <n v="309594.52439999999"/>
    <n v="717"/>
    <n v="3055200"/>
    <n v="32079.599999999999"/>
    <n v="17.5"/>
    <n v="35.265240640000002"/>
    <n v="22"/>
    <n v="573895"/>
    <n v="921646"/>
    <n v="0"/>
    <n v="-1.2411115481956205E-10"/>
    <n v="0.9547270306258322"/>
    <n v="0.40074137090909095"/>
    <n v="0.5"/>
    <n v="0"/>
    <n v="254600"/>
    <n v="0.126"/>
  </r>
  <r>
    <n v="35"/>
    <s v="2d53b50a-30a2-488e-a287-3780b26e62ba"/>
    <x v="0"/>
    <x v="0"/>
    <x v="1"/>
    <s v="в ипотеке"/>
    <s v="приобретение автомобиля"/>
    <n v="109318"/>
    <n v="0"/>
    <n v="1168044"/>
    <n v="15524.9"/>
    <n v="22.7"/>
    <n v="35.265240640000002"/>
    <n v="9"/>
    <n v="77121"/>
    <n v="920524"/>
    <n v="0"/>
    <n v="-1.1402305117933234"/>
    <n v="0"/>
    <n v="0.40074137090909095"/>
    <n v="0.19047619047619047"/>
    <n v="0"/>
    <n v="97337"/>
    <n v="0.15949638883466719"/>
  </r>
  <r>
    <n v="1196"/>
    <s v="020dd440-42ea-47c0-8fd1-4ce13904f5c8"/>
    <x v="0"/>
    <x v="0"/>
    <x v="9"/>
    <s v="в ипотеке"/>
    <s v="Медицинские счета"/>
    <n v="223168"/>
    <n v="705"/>
    <n v="1252784"/>
    <n v="20566.55"/>
    <n v="17.8"/>
    <n v="29"/>
    <n v="26"/>
    <n v="236379"/>
    <n v="918434"/>
    <n v="0"/>
    <n v="-0.49205048099616511"/>
    <n v="0.93874833555259651"/>
    <n v="0.32954545454545453"/>
    <n v="0.59523809523809523"/>
    <n v="0"/>
    <n v="104398.66666666667"/>
    <n v="0.19700012132977432"/>
  </r>
  <r>
    <n v="514"/>
    <s v="0089b9a3-1e98-40dd-9f2e-85aae2a6cb4a"/>
    <x v="1"/>
    <x v="1"/>
    <x v="0"/>
    <s v="в ипотеке"/>
    <s v="консолидация кредитов"/>
    <n v="423676"/>
    <n v="0"/>
    <n v="1168044"/>
    <n v="97671.02"/>
    <n v="19.7"/>
    <n v="33"/>
    <n v="22"/>
    <n v="676951"/>
    <n v="917840"/>
    <n v="0"/>
    <n v="0.64949788628601846"/>
    <n v="0"/>
    <n v="0.375"/>
    <n v="0.5"/>
    <n v="0"/>
    <n v="97337"/>
    <n v="1.0034315830568028"/>
  </r>
  <r>
    <n v="351"/>
    <s v="535b4968-b8f8-45a0-8840-796cc7ec0098"/>
    <x v="1"/>
    <x v="0"/>
    <x v="5"/>
    <s v="в аренде"/>
    <s v="консолидация кредитов"/>
    <n v="563068"/>
    <n v="623"/>
    <n v="2094807"/>
    <n v="35960.92"/>
    <n v="12.1"/>
    <n v="35.265240640000002"/>
    <n v="17"/>
    <n v="580203"/>
    <n v="917774"/>
    <n v="0"/>
    <n v="1.4430956979054956"/>
    <n v="0.82956058588548598"/>
    <n v="0.40074137090909095"/>
    <n v="0.38095238095238093"/>
    <n v="0"/>
    <n v="174567.25"/>
    <n v="0.20600038094201517"/>
  </r>
  <r>
    <n v="1286"/>
    <s v="20fd9020-9463-43b8-9c22-194bbebf101f"/>
    <x v="0"/>
    <x v="0"/>
    <x v="1"/>
    <s v="в ипотеке"/>
    <s v="консолидация кредитов"/>
    <n v="270226"/>
    <n v="0"/>
    <n v="1168044"/>
    <n v="26717.23"/>
    <n v="33.5"/>
    <n v="22"/>
    <n v="11"/>
    <n v="635398"/>
    <n v="913946"/>
    <n v="0"/>
    <n v="-0.22413606826667304"/>
    <n v="0"/>
    <n v="0.25"/>
    <n v="0.23809523809523808"/>
    <n v="0"/>
    <n v="97337"/>
    <n v="0.27448174897520983"/>
  </r>
  <r>
    <n v="745"/>
    <s v="1a7a407e-f91c-44ea-80ed-f5f4f890a394"/>
    <x v="0"/>
    <x v="1"/>
    <x v="3"/>
    <s v="в ипотеке"/>
    <s v="консолидация кредитов"/>
    <n v="309594.52439999999"/>
    <n v="723"/>
    <n v="9057984"/>
    <n v="105676.48"/>
    <n v="23.1"/>
    <n v="4"/>
    <n v="15"/>
    <n v="149720"/>
    <n v="912428"/>
    <n v="0"/>
    <n v="-1.2411115481956205E-10"/>
    <n v="0.96271637816245004"/>
    <n v="4.5454545454545456E-2"/>
    <n v="0.33333333333333331"/>
    <n v="0"/>
    <n v="754832"/>
    <n v="0.13999999999999999"/>
  </r>
  <r>
    <n v="938"/>
    <s v="eabbf22d-6170-46ce-a511-d8cee63fc00f"/>
    <x v="0"/>
    <x v="1"/>
    <x v="9"/>
    <s v="в ипотеке"/>
    <s v="бизнес"/>
    <n v="646206"/>
    <n v="714"/>
    <n v="3069488"/>
    <n v="50902.14"/>
    <n v="16.399999999999999"/>
    <n v="31"/>
    <n v="10"/>
    <n v="738834"/>
    <n v="911064"/>
    <n v="0"/>
    <n v="1.9164236856122514"/>
    <n v="0.95073235685752333"/>
    <n v="0.35227272727272729"/>
    <n v="0.21428571428571427"/>
    <n v="0"/>
    <n v="255790.66666666666"/>
    <n v="0.19899920768545112"/>
  </r>
  <r>
    <n v="1878"/>
    <s v="fb23508f-e762-496e-a854-97f15d806254"/>
    <x v="0"/>
    <x v="0"/>
    <x v="7"/>
    <s v="в аренде"/>
    <s v="консолидация кредитов"/>
    <n v="628144"/>
    <n v="0"/>
    <n v="1168044"/>
    <n v="19793.439999999999"/>
    <n v="22.5"/>
    <n v="32"/>
    <n v="6"/>
    <n v="298566"/>
    <n v="909744"/>
    <n v="0"/>
    <n v="1.8135916459437553"/>
    <n v="0"/>
    <n v="0.36363636363636365"/>
    <n v="0.11904761904761904"/>
    <n v="0"/>
    <n v="97337"/>
    <n v="0.20334959984384149"/>
  </r>
  <r>
    <n v="761"/>
    <s v="8ce9f4e4-0044-4779-a4c5-66552927d0ab"/>
    <x v="0"/>
    <x v="1"/>
    <x v="1"/>
    <s v="в собственности"/>
    <s v="ремонт жилья"/>
    <n v="270556"/>
    <n v="724"/>
    <n v="1752408"/>
    <n v="24095.61"/>
    <n v="23.5"/>
    <n v="70"/>
    <n v="7"/>
    <n v="286387"/>
    <n v="908490"/>
    <n v="0"/>
    <n v="-0.22225728556871027"/>
    <n v="0.96404793608521966"/>
    <n v="0.79545454545454541"/>
    <n v="0.14285714285714285"/>
    <n v="0"/>
    <n v="146034"/>
    <n v="0.16500000000000001"/>
  </r>
  <r>
    <n v="1339"/>
    <s v="6504d7a6-628f-4b67-b2cf-a62876bf65bd"/>
    <x v="0"/>
    <x v="1"/>
    <x v="1"/>
    <s v="в ипотеке"/>
    <s v="консолидация кредитов"/>
    <n v="543466"/>
    <n v="748"/>
    <n v="1163978"/>
    <n v="10572.93"/>
    <n v="25"/>
    <n v="35.265240640000002"/>
    <n v="9"/>
    <n v="197657"/>
    <n v="908182"/>
    <n v="0"/>
    <n v="1.3314960056465066"/>
    <n v="0.99600532623169102"/>
    <n v="0.40074137090909095"/>
    <n v="0.19047619047619047"/>
    <n v="0"/>
    <n v="96998.166666666672"/>
    <n v="0.10900133851327087"/>
  </r>
  <r>
    <n v="679"/>
    <s v="bef198dc-af56-4a47-bbbf-e2164e0fd9ad"/>
    <x v="0"/>
    <x v="1"/>
    <x v="10"/>
    <s v="в собственности"/>
    <s v="консолидация кредитов"/>
    <n v="152592"/>
    <n v="741"/>
    <n v="805790"/>
    <n v="10273.870000000001"/>
    <n v="14.7"/>
    <n v="35.265240640000002"/>
    <n v="16"/>
    <n v="307420"/>
    <n v="908050"/>
    <n v="0"/>
    <n v="-0.89385947400047117"/>
    <n v="0.98668442077230356"/>
    <n v="0.40074137090909095"/>
    <n v="0.35714285714285715"/>
    <n v="0"/>
    <n v="67149.166666666672"/>
    <n v="0.15300070738033483"/>
  </r>
  <r>
    <n v="849"/>
    <s v="9e815288-f863-4b4c-bc31-2ef070869c5e"/>
    <x v="0"/>
    <x v="1"/>
    <x v="10"/>
    <s v="в ипотеке"/>
    <s v="консолидация кредитов"/>
    <n v="380512"/>
    <n v="728"/>
    <n v="948594"/>
    <n v="22845.22"/>
    <n v="15.9"/>
    <n v="20"/>
    <n v="27"/>
    <n v="348061"/>
    <n v="907676"/>
    <n v="0"/>
    <n v="0.40375310939248715"/>
    <n v="0.96937416777629826"/>
    <n v="0.22727272727272727"/>
    <n v="0.61904761904761907"/>
    <n v="0"/>
    <n v="79049.5"/>
    <n v="0.28899891839923086"/>
  </r>
  <r>
    <n v="389"/>
    <s v="7352605a-a1fc-4f3a-804d-bb7df0dbf646"/>
    <x v="0"/>
    <x v="1"/>
    <x v="3"/>
    <s v="в ипотеке"/>
    <s v="консолидация кредитов"/>
    <n v="281710"/>
    <n v="728"/>
    <n v="831953"/>
    <n v="12964.46"/>
    <n v="18"/>
    <n v="52"/>
    <n v="12"/>
    <n v="461415"/>
    <n v="907104"/>
    <n v="0"/>
    <n v="-0.1587544303775684"/>
    <n v="0.96937416777629826"/>
    <n v="0.59090909090909094"/>
    <n v="0.26190476190476192"/>
    <n v="0"/>
    <n v="69329.416666666672"/>
    <n v="0.18699796743325642"/>
  </r>
  <r>
    <n v="298"/>
    <s v="9281ecfc-e6e4-42cf-97d9-bd7911ed4dae"/>
    <x v="0"/>
    <x v="0"/>
    <x v="10"/>
    <s v="в собственности"/>
    <s v="консолидация кредитов"/>
    <n v="523248"/>
    <n v="668"/>
    <n v="1468662"/>
    <n v="39286.68"/>
    <n v="14.8"/>
    <n v="35.265240640000002"/>
    <n v="9"/>
    <n v="621585"/>
    <n v="906466"/>
    <n v="0"/>
    <n v="1.2163892523513204"/>
    <n v="0.88948069241011984"/>
    <n v="0.40074137090909095"/>
    <n v="0.19047619047619047"/>
    <n v="0"/>
    <n v="122388.5"/>
    <n v="0.32099976713498407"/>
  </r>
  <r>
    <n v="28"/>
    <s v="2bdc133d-cbbf-46c1-a902-488924082993"/>
    <x v="0"/>
    <x v="1"/>
    <x v="3"/>
    <s v="в ипотеке"/>
    <s v="консолидация кредитов"/>
    <n v="443960"/>
    <n v="749"/>
    <n v="1432391"/>
    <n v="25186.21"/>
    <n v="14"/>
    <n v="35.265240640000002"/>
    <n v="15"/>
    <n v="342475"/>
    <n v="905344"/>
    <n v="0"/>
    <n v="0.76498039612079716"/>
    <n v="0.99733688415446076"/>
    <n v="0.40074137090909095"/>
    <n v="0.33333333333333331"/>
    <n v="0"/>
    <n v="119365.91666666667"/>
    <n v="0.2110000132645346"/>
  </r>
  <r>
    <n v="1141"/>
    <s v="2bda88fe-19fd-4e76-a82b-dc94ebd073d3"/>
    <x v="0"/>
    <x v="1"/>
    <x v="5"/>
    <s v="в аренде"/>
    <s v="приобретение автомобиля"/>
    <n v="133034"/>
    <n v="0"/>
    <n v="1168044"/>
    <n v="14541.08"/>
    <n v="12.4"/>
    <n v="35.265240640000002"/>
    <n v="9"/>
    <n v="576840"/>
    <n v="905036"/>
    <n v="0"/>
    <n v="-1.0052086618997318"/>
    <n v="0"/>
    <n v="0.40074137090909095"/>
    <n v="0.19047619047619047"/>
    <n v="0"/>
    <n v="97337"/>
    <n v="0.1493890298653133"/>
  </r>
  <r>
    <n v="691"/>
    <s v="55df5dac-6c24-4b89-ba00-41b1d89c2258"/>
    <x v="1"/>
    <x v="1"/>
    <x v="4"/>
    <s v="в аренде"/>
    <s v="консолидация кредитов"/>
    <n v="219692"/>
    <n v="734"/>
    <n v="1413524"/>
    <n v="11060.66"/>
    <n v="25.2"/>
    <n v="51"/>
    <n v="13"/>
    <n v="213712"/>
    <n v="899866"/>
    <n v="1"/>
    <n v="-0.51184032541470637"/>
    <n v="0.9773635153129161"/>
    <n v="0.57954545454545459"/>
    <n v="0.2857142857142857"/>
    <n v="0.14285714285714285"/>
    <n v="117793.66666666667"/>
    <n v="9.3898596698747241E-2"/>
  </r>
  <r>
    <n v="1031"/>
    <s v="194c82b6-29f1-4093-b80a-94469e3d395d"/>
    <x v="0"/>
    <x v="1"/>
    <x v="1"/>
    <s v="в аренде"/>
    <s v="консолидация кредитов"/>
    <n v="309594.52439999999"/>
    <n v="749"/>
    <n v="800280"/>
    <n v="8336.06"/>
    <n v="16.899999999999999"/>
    <n v="35.265240640000002"/>
    <n v="7"/>
    <n v="288895"/>
    <n v="899228"/>
    <n v="0"/>
    <n v="-1.2411115481956205E-10"/>
    <n v="0.99733688415446076"/>
    <n v="0.40074137090909095"/>
    <n v="0.14285714285714285"/>
    <n v="0"/>
    <n v="66690"/>
    <n v="0.12499715099715099"/>
  </r>
  <r>
    <n v="796"/>
    <s v="1d24a8f4-066d-4289-a245-176061d974b5"/>
    <x v="0"/>
    <x v="0"/>
    <x v="9"/>
    <s v="в ипотеке"/>
    <s v="консолидация кредитов"/>
    <n v="309594.52439999999"/>
    <n v="725"/>
    <n v="1698885"/>
    <n v="29164.240000000002"/>
    <n v="13.1"/>
    <n v="35.265240640000002"/>
    <n v="10"/>
    <n v="589988"/>
    <n v="898876"/>
    <n v="0"/>
    <n v="-1.2411115481956205E-10"/>
    <n v="0.96537949400798939"/>
    <n v="0.40074137090909095"/>
    <n v="0.21428571428571427"/>
    <n v="0"/>
    <n v="141573.75"/>
    <n v="0.20600033551417549"/>
  </r>
  <r>
    <n v="486"/>
    <s v="8aacac3d-297b-4853-b81d-4d0a86cefa73"/>
    <x v="1"/>
    <x v="1"/>
    <x v="1"/>
    <s v="в ипотеке"/>
    <s v="консолидация кредитов"/>
    <n v="388168"/>
    <n v="744"/>
    <n v="2234856"/>
    <n v="40041.17"/>
    <n v="21"/>
    <n v="18"/>
    <n v="9"/>
    <n v="681587"/>
    <n v="896852"/>
    <n v="0"/>
    <n v="0.4473408679852236"/>
    <n v="0.99067909454061254"/>
    <n v="0.20454545454545456"/>
    <n v="0.19047619047619047"/>
    <n v="0"/>
    <n v="186238"/>
    <n v="0.215"/>
  </r>
  <r>
    <n v="313"/>
    <s v="a239a831-642f-4cf8-926c-beac6ee5f36d"/>
    <x v="0"/>
    <x v="0"/>
    <x v="1"/>
    <s v="в ипотеке"/>
    <s v="консолидация кредитов"/>
    <n v="448712"/>
    <n v="696"/>
    <n v="1264602"/>
    <n v="33722.910000000003"/>
    <n v="16.7"/>
    <n v="22"/>
    <n v="28"/>
    <n v="328054"/>
    <n v="895906"/>
    <n v="2"/>
    <n v="0.79203486697146119"/>
    <n v="0.92676431424766981"/>
    <n v="0.25"/>
    <n v="0.6428571428571429"/>
    <n v="0.2857142857142857"/>
    <n v="105383.5"/>
    <n v="0.32000180293879027"/>
  </r>
  <r>
    <n v="1004"/>
    <s v="a239a831-642f-4cf8-926c-beac6ee5f36d"/>
    <x v="0"/>
    <x v="0"/>
    <x v="1"/>
    <s v="в ипотеке"/>
    <s v="консолидация кредитов"/>
    <n v="448712"/>
    <n v="696"/>
    <n v="1264602"/>
    <n v="33722.910000000003"/>
    <n v="16.7"/>
    <n v="22"/>
    <n v="28"/>
    <n v="328054"/>
    <n v="895906"/>
    <n v="2"/>
    <n v="0.79203486697146119"/>
    <n v="0.92676431424766981"/>
    <n v="0.25"/>
    <n v="0.6428571428571429"/>
    <n v="0.2857142857142857"/>
    <n v="105383.5"/>
    <n v="0.32000180293879027"/>
  </r>
  <r>
    <n v="657"/>
    <s v="98fbe987-4102-4f0e-91c3-19f7e80e1f08"/>
    <x v="0"/>
    <x v="1"/>
    <x v="1"/>
    <s v="в ипотеке"/>
    <s v="консолидация кредитов"/>
    <n v="322740"/>
    <n v="0"/>
    <n v="1168044"/>
    <n v="43985"/>
    <n v="20.7"/>
    <n v="35.265240640000002"/>
    <n v="16"/>
    <n v="446329"/>
    <n v="891022"/>
    <n v="1"/>
    <n v="7.4840885069136942E-2"/>
    <n v="0"/>
    <n v="0.40074137090909095"/>
    <n v="0.35714285714285715"/>
    <n v="0.14285714285714285"/>
    <n v="97337"/>
    <n v="0.45188366191684559"/>
  </r>
  <r>
    <n v="1872"/>
    <s v="98fbe987-4102-4f0e-91c3-19f7e80e1f08"/>
    <x v="0"/>
    <x v="1"/>
    <x v="1"/>
    <s v="в ипотеке"/>
    <s v="консолидация кредитов"/>
    <n v="322740"/>
    <n v="717"/>
    <n v="1765290"/>
    <n v="43985"/>
    <n v="20.7"/>
    <n v="35.265240640000002"/>
    <n v="16"/>
    <n v="446329"/>
    <n v="891022"/>
    <n v="1"/>
    <n v="7.4840885069136942E-2"/>
    <n v="0.9547270306258322"/>
    <n v="0.40074137090909095"/>
    <n v="0.35714285714285715"/>
    <n v="0.14285714285714285"/>
    <n v="147107.5"/>
    <n v="0.29899903132063288"/>
  </r>
  <r>
    <n v="1322"/>
    <s v="8be64d8f-9259-4536-bd9d-0c49e463c9f0"/>
    <x v="1"/>
    <x v="1"/>
    <x v="3"/>
    <s v="в аренде"/>
    <s v="консолидация кредитов"/>
    <n v="718498"/>
    <n v="0"/>
    <n v="1168044"/>
    <n v="30122.22"/>
    <n v="20.399999999999999"/>
    <n v="67"/>
    <n v="13"/>
    <n v="436164"/>
    <n v="890714"/>
    <n v="0"/>
    <n v="2.3280023486459638"/>
    <n v="0"/>
    <n v="0.76136363636363635"/>
    <n v="0.2857142857142857"/>
    <n v="0"/>
    <n v="97337"/>
    <n v="0.30946320515323056"/>
  </r>
  <r>
    <n v="1634"/>
    <s v="4297b6ab-e01f-472c-b2f0-755deabddd30"/>
    <x v="0"/>
    <x v="1"/>
    <x v="6"/>
    <s v="в ипотеке"/>
    <s v="консолидация кредитов"/>
    <n v="309594.52439999999"/>
    <n v="737"/>
    <n v="898358"/>
    <n v="16919.12"/>
    <n v="28.9"/>
    <n v="69"/>
    <n v="12"/>
    <n v="607886"/>
    <n v="889834"/>
    <n v="0"/>
    <n v="-1.2411115481956205E-10"/>
    <n v="0.98135818908122507"/>
    <n v="0.78409090909090906"/>
    <n v="0.26190476190476192"/>
    <n v="0"/>
    <n v="74863.166666666672"/>
    <n v="0.22600059219153162"/>
  </r>
  <r>
    <n v="1475"/>
    <s v="3e14ef2e-8a50-40e8-bbf2-b895124d1486"/>
    <x v="0"/>
    <x v="1"/>
    <x v="7"/>
    <s v="в ипотеке"/>
    <s v="бизнес"/>
    <n v="309594.52439999999"/>
    <n v="702"/>
    <n v="1238610"/>
    <n v="9712.7999999999993"/>
    <n v="17.7"/>
    <n v="35.265240640000002"/>
    <n v="9"/>
    <n v="43757"/>
    <n v="888910"/>
    <n v="0"/>
    <n v="-1.2411115481956205E-10"/>
    <n v="0.93475366178428765"/>
    <n v="0.40074137090909095"/>
    <n v="0.19047619047619047"/>
    <n v="0"/>
    <n v="103217.5"/>
    <n v="9.4100322135296816E-2"/>
  </r>
  <r>
    <n v="584"/>
    <s v="3272e293-7cea-4e6d-9faf-be025b52f3a6"/>
    <x v="0"/>
    <x v="1"/>
    <x v="4"/>
    <s v="в ипотеке"/>
    <s v="консолидация кредитов"/>
    <n v="153868"/>
    <n v="741"/>
    <n v="2183043"/>
    <n v="49482.080000000002"/>
    <n v="24"/>
    <n v="38"/>
    <n v="15"/>
    <n v="688655"/>
    <n v="887986"/>
    <n v="0"/>
    <n v="-0.88659484756834839"/>
    <n v="0.98668442077230356"/>
    <n v="0.43181818181818182"/>
    <n v="0.33333333333333331"/>
    <n v="0"/>
    <n v="181920.25"/>
    <n v="0.27199874670356927"/>
  </r>
  <r>
    <n v="948"/>
    <s v="87efeab2-2997-4005-a7aa-9b2cc908c1c6"/>
    <x v="0"/>
    <x v="1"/>
    <x v="0"/>
    <s v="в ипотеке"/>
    <s v="консолидация кредитов"/>
    <n v="520542"/>
    <n v="743"/>
    <n v="1251435"/>
    <n v="25132.82"/>
    <n v="15.7"/>
    <n v="35.265240640000002"/>
    <n v="14"/>
    <n v="593769"/>
    <n v="887128"/>
    <n v="0"/>
    <n v="1.2009832342280258"/>
    <n v="0.98934753661784292"/>
    <n v="0.40074137090909095"/>
    <n v="0.30952380952380953"/>
    <n v="0"/>
    <n v="104286.25"/>
    <n v="0.24099840583010704"/>
  </r>
  <r>
    <n v="811"/>
    <s v="4891a653-11b6-444b-82ac-e46db980cf91"/>
    <x v="0"/>
    <x v="1"/>
    <x v="8"/>
    <s v="в аренде"/>
    <s v="консолидация кредитов"/>
    <n v="309594.52439999999"/>
    <n v="746"/>
    <n v="1580116"/>
    <n v="25150.3"/>
    <n v="18.899999999999999"/>
    <n v="35.265240640000002"/>
    <n v="6"/>
    <n v="465785"/>
    <n v="887062"/>
    <n v="1"/>
    <n v="-1.2411115481956205E-10"/>
    <n v="0.99334221038615178"/>
    <n v="0.40074137090909095"/>
    <n v="0.11904761904761904"/>
    <n v="0.14285714285714285"/>
    <n v="131676.33333333334"/>
    <n v="0.19100091385695731"/>
  </r>
  <r>
    <n v="1008"/>
    <s v="1df19f58-466d-4753-b28f-4a67e833fa3f"/>
    <x v="0"/>
    <x v="1"/>
    <x v="10"/>
    <s v="в ипотеке"/>
    <s v="консолидация кредитов"/>
    <n v="188606"/>
    <n v="0"/>
    <n v="1168044"/>
    <n v="24487.01"/>
    <n v="26.3"/>
    <n v="59"/>
    <n v="11"/>
    <n v="638552"/>
    <n v="885456"/>
    <n v="0"/>
    <n v="-0.68882165556280006"/>
    <n v="0"/>
    <n v="0.67045454545454541"/>
    <n v="0.23809523809523808"/>
    <n v="0"/>
    <n v="97337"/>
    <n v="0.2515693929338278"/>
  </r>
  <r>
    <n v="1108"/>
    <s v="16dea61c-e055-4790-b466-2abdc8e839c6"/>
    <x v="0"/>
    <x v="0"/>
    <x v="1"/>
    <s v="в аренде"/>
    <s v="консолидация кредитов"/>
    <n v="390038"/>
    <n v="708"/>
    <n v="1039433"/>
    <n v="27631.89"/>
    <n v="14.4"/>
    <n v="13"/>
    <n v="16"/>
    <n v="384389"/>
    <n v="883080"/>
    <n v="0"/>
    <n v="0.45798730327367937"/>
    <n v="0.94274300932090549"/>
    <n v="0.14772727272727273"/>
    <n v="0.35714285714285715"/>
    <n v="0"/>
    <n v="86619.416666666672"/>
    <n v="0.31900341820973549"/>
  </r>
  <r>
    <n v="553"/>
    <s v="05be333d-e498-4135-86bd-71f66f22046e"/>
    <x v="0"/>
    <x v="0"/>
    <x v="4"/>
    <s v="в аренде"/>
    <s v="консолидация кредитов"/>
    <n v="757768"/>
    <n v="739"/>
    <n v="4674475"/>
    <n v="71285.72"/>
    <n v="16"/>
    <n v="3"/>
    <n v="12"/>
    <n v="475133"/>
    <n v="883058"/>
    <n v="0"/>
    <n v="2.5515774897035346"/>
    <n v="0.98402130492676432"/>
    <n v="3.4090909090909088E-2"/>
    <n v="0.26190476190476192"/>
    <n v="0"/>
    <n v="389539.58333333331"/>
    <n v="0.18299993903058634"/>
  </r>
  <r>
    <n v="303"/>
    <s v="f2c78905-f5de-4b37-97db-2b169ffb76a7"/>
    <x v="0"/>
    <x v="1"/>
    <x v="1"/>
    <s v="в собственности"/>
    <s v="консолидация кредитов"/>
    <n v="309594.52439999999"/>
    <n v="737"/>
    <n v="1054937"/>
    <n v="15472.27"/>
    <n v="22.8"/>
    <n v="53"/>
    <n v="11"/>
    <n v="480434"/>
    <n v="881606"/>
    <n v="0"/>
    <n v="-1.2411115481956205E-10"/>
    <n v="0.98135818908122507"/>
    <n v="0.60227272727272729"/>
    <n v="0.23809523809523808"/>
    <n v="0"/>
    <n v="87911.416666666672"/>
    <n v="0.17599841507123173"/>
  </r>
  <r>
    <n v="1838"/>
    <s v="348d4912-a6b0-4328-aa6e-73caee88c600"/>
    <x v="0"/>
    <x v="1"/>
    <x v="1"/>
    <s v="в ипотеке"/>
    <s v="консолидация кредитов"/>
    <n v="466972"/>
    <n v="722"/>
    <n v="1442328"/>
    <n v="21009.82"/>
    <n v="38"/>
    <n v="43"/>
    <n v="12"/>
    <n v="606290"/>
    <n v="879736"/>
    <n v="0"/>
    <n v="0.8959941762587349"/>
    <n v="0.96138482023968042"/>
    <n v="0.48863636363636365"/>
    <n v="0.26190476190476192"/>
    <n v="0"/>
    <n v="120194"/>
    <n v="0.17479924122668353"/>
  </r>
  <r>
    <n v="639"/>
    <s v="96cdc862-e6d3-4aad-959c-92ae79b4c843"/>
    <x v="0"/>
    <x v="1"/>
    <x v="4"/>
    <s v="в ипотеке"/>
    <s v="консолидация кредитов"/>
    <n v="218394"/>
    <n v="0"/>
    <n v="1168044"/>
    <n v="15784.44"/>
    <n v="13.7"/>
    <n v="24"/>
    <n v="10"/>
    <n v="172121"/>
    <n v="878020"/>
    <n v="0"/>
    <n v="-0.51923020402669329"/>
    <n v="0"/>
    <n v="0.27272727272727271"/>
    <n v="0.21428571428571427"/>
    <n v="0"/>
    <n v="97337"/>
    <n v="0.16216279523716573"/>
  </r>
  <r>
    <n v="1104"/>
    <s v="04a845da-7c56-43f1-9be5-64c55ead8c2c"/>
    <x v="1"/>
    <x v="0"/>
    <x v="1"/>
    <s v="в аренде"/>
    <s v="консолидация кредитов"/>
    <n v="525910"/>
    <n v="0"/>
    <n v="1168044"/>
    <n v="26756.37"/>
    <n v="20.6"/>
    <n v="35.265240640000002"/>
    <n v="11"/>
    <n v="480567"/>
    <n v="877690"/>
    <n v="0"/>
    <n v="1.2315447661148868"/>
    <n v="0"/>
    <n v="0.40074137090909095"/>
    <n v="0.23809523809523808"/>
    <n v="0"/>
    <n v="97337"/>
    <n v="0.27488385711497171"/>
  </r>
  <r>
    <n v="953"/>
    <s v="8ad11744-c94f-4f7b-8038-42bffadbedb7"/>
    <x v="0"/>
    <x v="1"/>
    <x v="1"/>
    <s v="в ипотеке"/>
    <s v="консолидация кредитов"/>
    <n v="333608"/>
    <n v="0"/>
    <n v="1168044"/>
    <n v="9243.5"/>
    <n v="14.6"/>
    <n v="35.265240640000002"/>
    <n v="9"/>
    <n v="135394"/>
    <n v="875798"/>
    <n v="0"/>
    <n v="0.1367154619220444"/>
    <n v="0"/>
    <n v="0.40074137090909095"/>
    <n v="0.19047619047619047"/>
    <n v="0"/>
    <n v="97337"/>
    <n v="9.4963888346671868E-2"/>
  </r>
  <r>
    <n v="997"/>
    <s v="6dcac565-9aeb-4a3f-b1dc-b9e9ea2bfb08"/>
    <x v="1"/>
    <x v="0"/>
    <x v="1"/>
    <s v="в аренде"/>
    <s v="консолидация кредитов"/>
    <n v="218284"/>
    <n v="721"/>
    <n v="1319626"/>
    <n v="13086.44"/>
    <n v="14.6"/>
    <n v="35.265240640000002"/>
    <n v="4"/>
    <n v="436012"/>
    <n v="873444"/>
    <n v="0"/>
    <n v="-0.51985646492601423"/>
    <n v="0.96005326231691079"/>
    <n v="0.40074137090909095"/>
    <n v="7.1428571428571425E-2"/>
    <n v="0"/>
    <n v="109968.83333333333"/>
    <n v="0.11900135341377027"/>
  </r>
  <r>
    <n v="981"/>
    <s v="2e958113-d15b-479c-a3bb-35ec85460817"/>
    <x v="0"/>
    <x v="0"/>
    <x v="1"/>
    <s v="в ипотеке"/>
    <s v="консолидация кредитов"/>
    <n v="309594.52439999999"/>
    <n v="718"/>
    <n v="3186889"/>
    <n v="30540.98"/>
    <n v="26.9"/>
    <n v="2"/>
    <n v="14"/>
    <n v="598139"/>
    <n v="872256"/>
    <n v="0"/>
    <n v="-1.2411115481956205E-10"/>
    <n v="0.95605858854860182"/>
    <n v="2.2727272727272728E-2"/>
    <n v="0.30952380952380953"/>
    <n v="0"/>
    <n v="265574.08333333331"/>
    <n v="0.11499985095182168"/>
  </r>
  <r>
    <n v="1178"/>
    <s v="40a36fd0-2874-4734-85b1-c445a89feaf8"/>
    <x v="0"/>
    <x v="1"/>
    <x v="10"/>
    <s v="в аренде"/>
    <s v="консолидация кредитов"/>
    <n v="296274"/>
    <n v="725"/>
    <n v="583737"/>
    <n v="13815.09"/>
    <n v="23.2"/>
    <n v="35.265240640000002"/>
    <n v="16"/>
    <n v="436943"/>
    <n v="869308"/>
    <n v="0"/>
    <n v="-7.5837487307477816E-2"/>
    <n v="0.96537949400798939"/>
    <n v="0.40074137090909095"/>
    <n v="0.35714285714285715"/>
    <n v="0"/>
    <n v="48644.75"/>
    <n v="0.28399960941314323"/>
  </r>
  <r>
    <n v="697"/>
    <s v="de78587a-56e8-495c-9a23-a2921b1f803d"/>
    <x v="0"/>
    <x v="1"/>
    <x v="1"/>
    <s v="в собственности"/>
    <s v="консолидация кредитов"/>
    <n v="265694"/>
    <n v="739"/>
    <n v="655633"/>
    <n v="12620.75"/>
    <n v="32.9"/>
    <n v="35.265240640000002"/>
    <n v="13"/>
    <n v="427652"/>
    <n v="868736"/>
    <n v="0"/>
    <n v="-0.24993801731869519"/>
    <n v="0.98402130492676432"/>
    <n v="0.40074137090909095"/>
    <n v="0.2857142857142857"/>
    <n v="0"/>
    <n v="54636.083333333336"/>
    <n v="0.23099660938360331"/>
  </r>
  <r>
    <n v="769"/>
    <s v="7e90afe4-c090-43ac-b39e-90eed8c2d2fe"/>
    <x v="0"/>
    <x v="1"/>
    <x v="1"/>
    <s v="в собственности"/>
    <s v="консолидация кредитов"/>
    <n v="403480"/>
    <n v="713"/>
    <n v="2710274"/>
    <n v="49236.6"/>
    <n v="16.5"/>
    <n v="35.265240640000002"/>
    <n v="14"/>
    <n v="673873"/>
    <n v="865040"/>
    <n v="0"/>
    <n v="0.53451638517069644"/>
    <n v="0.94940079893475371"/>
    <n v="0.40074137090909095"/>
    <n v="0.30952380952380953"/>
    <n v="0"/>
    <n v="225856.16666666666"/>
    <n v="0.2179998037098832"/>
  </r>
  <r>
    <n v="1233"/>
    <s v="d0a63fa7-5d32-4775-890a-8cd2e92faf24"/>
    <x v="0"/>
    <x v="1"/>
    <x v="1"/>
    <s v="в ипотеке"/>
    <s v="ремонт жилья"/>
    <n v="66550"/>
    <n v="745"/>
    <n v="1245374"/>
    <n v="31756.98"/>
    <n v="14.8"/>
    <n v="35.265240640000002"/>
    <n v="14"/>
    <n v="265164"/>
    <n v="864886"/>
    <n v="0"/>
    <n v="-1.3837207494492993"/>
    <n v="0.99201065246338216"/>
    <n v="0.40074137090909095"/>
    <n v="0.30952380952380953"/>
    <n v="0"/>
    <n v="103781.16666666667"/>
    <n v="0.30599945076739998"/>
  </r>
  <r>
    <n v="1239"/>
    <s v="e2e48aed-a63a-4e86-b726-eeaac2163064"/>
    <x v="0"/>
    <x v="0"/>
    <x v="4"/>
    <s v="в ипотеке"/>
    <s v="консолидация кредитов"/>
    <n v="624250"/>
    <n v="702"/>
    <n v="2672540"/>
    <n v="23384.63"/>
    <n v="29"/>
    <n v="35.265240640000002"/>
    <n v="15"/>
    <n v="495216"/>
    <n v="864864"/>
    <n v="0"/>
    <n v="1.7914220101077947"/>
    <n v="0.93475366178428765"/>
    <n v="0.40074137090909095"/>
    <n v="0.33333333333333331"/>
    <n v="0"/>
    <n v="222711.66666666666"/>
    <n v="0.10499957343949951"/>
  </r>
  <r>
    <n v="295"/>
    <s v="e50769c7-d01a-43af-b66d-9a13dc014f36"/>
    <x v="0"/>
    <x v="1"/>
    <x v="1"/>
    <s v="в ипотеке"/>
    <s v="консолидация кредитов"/>
    <n v="205524"/>
    <n v="676"/>
    <n v="1167132"/>
    <n v="18479.59"/>
    <n v="22.5"/>
    <n v="41"/>
    <n v="19"/>
    <n v="592249"/>
    <n v="864754"/>
    <n v="0"/>
    <n v="-0.59250272924724157"/>
    <n v="0.90013315579227693"/>
    <n v="0.46590909090909088"/>
    <n v="0.42857142857142855"/>
    <n v="0"/>
    <n v="97261"/>
    <n v="0.19"/>
  </r>
  <r>
    <n v="8"/>
    <s v="018973c9-e316-4956-b363-67e134fb0931"/>
    <x v="1"/>
    <x v="0"/>
    <x v="5"/>
    <s v="в ипотеке"/>
    <s v="приобретение жилья"/>
    <n v="648714"/>
    <n v="0"/>
    <n v="1168044"/>
    <n v="14806.13"/>
    <n v="8.1999999999999993"/>
    <n v="8"/>
    <n v="15"/>
    <n v="193306"/>
    <n v="864204"/>
    <n v="0"/>
    <n v="1.9307024341167685"/>
    <n v="0"/>
    <n v="9.0909090909090912E-2"/>
    <n v="0.33333333333333331"/>
    <n v="0"/>
    <n v="97337"/>
    <n v="0.15211204372438022"/>
  </r>
  <r>
    <n v="502"/>
    <s v="e912ddc2-7e6b-4bdb-9789-f018e98d545f"/>
    <x v="1"/>
    <x v="0"/>
    <x v="1"/>
    <s v="в ипотеке"/>
    <s v="консолидация кредитов"/>
    <n v="752004"/>
    <n v="0"/>
    <n v="1168044"/>
    <n v="21714.15"/>
    <n v="20.100000000000001"/>
    <n v="3"/>
    <n v="11"/>
    <n v="572356"/>
    <n v="864028"/>
    <n v="0"/>
    <n v="2.5187614185791181"/>
    <n v="0"/>
    <n v="3.4090909090909088E-2"/>
    <n v="0.23809523809523808"/>
    <n v="0"/>
    <n v="97337"/>
    <n v="0.22308217841108727"/>
  </r>
  <r>
    <n v="314"/>
    <s v="a5590971-4224-4f70-bfc1-a561c65e01ec"/>
    <x v="0"/>
    <x v="1"/>
    <x v="1"/>
    <s v="в ипотеке"/>
    <s v="консолидация кредитов"/>
    <n v="334686"/>
    <n v="742"/>
    <n v="963490"/>
    <n v="12284.45"/>
    <n v="20.5"/>
    <n v="58"/>
    <n v="15"/>
    <n v="406220"/>
    <n v="863060"/>
    <n v="0"/>
    <n v="0.14285281873538949"/>
    <n v="0.98801597869507318"/>
    <n v="0.65909090909090906"/>
    <n v="0.33333333333333331"/>
    <n v="0"/>
    <n v="80290.833333333328"/>
    <n v="0.15299940840070994"/>
  </r>
  <r>
    <n v="1183"/>
    <s v="bca21dc6-1316-4d73-99ba-f527dc2f2328"/>
    <x v="0"/>
    <x v="0"/>
    <x v="4"/>
    <s v="в ипотеке"/>
    <s v="консолидация кредитов"/>
    <n v="725406"/>
    <n v="724"/>
    <n v="2432000"/>
    <n v="36480"/>
    <n v="14.4"/>
    <n v="35.265240640000002"/>
    <n v="9"/>
    <n v="411331"/>
    <n v="862840"/>
    <n v="0"/>
    <n v="2.367331533123318"/>
    <n v="0.96404793608521966"/>
    <n v="0.40074137090909095"/>
    <n v="0.19047619047619047"/>
    <n v="0"/>
    <n v="202666.66666666666"/>
    <n v="0.18000000000000002"/>
  </r>
  <r>
    <n v="791"/>
    <s v="3b5dda29-a465-4715-87f0-86d6e7dc3e12"/>
    <x v="0"/>
    <x v="1"/>
    <x v="0"/>
    <s v="в ипотеке"/>
    <s v="консолидация кредитов"/>
    <n v="560516"/>
    <n v="652"/>
    <n v="1374897"/>
    <n v="25160.75"/>
    <n v="22.2"/>
    <n v="35.265240640000002"/>
    <n v="15"/>
    <n v="354483"/>
    <n v="862290"/>
    <n v="0"/>
    <n v="1.4285664450412503"/>
    <n v="0.86817576564580556"/>
    <n v="0.40074137090909095"/>
    <n v="0.33333333333333331"/>
    <n v="0"/>
    <n v="114574.75"/>
    <n v="0.21960117739728868"/>
  </r>
  <r>
    <n v="1594"/>
    <s v="945ebe95-ca44-41f5-b1fa-dfdefa4e0477"/>
    <x v="1"/>
    <x v="1"/>
    <x v="1"/>
    <s v="в ипотеке"/>
    <s v="ремонт жилья"/>
    <n v="131538"/>
    <n v="737"/>
    <n v="1098143"/>
    <n v="26538.44"/>
    <n v="21.8"/>
    <n v="35.265240640000002"/>
    <n v="8"/>
    <n v="690042"/>
    <n v="861916"/>
    <n v="0"/>
    <n v="-1.0137258101304962"/>
    <n v="0.98135818908122507"/>
    <n v="0.40074137090909095"/>
    <n v="0.16666666666666666"/>
    <n v="0"/>
    <n v="91511.916666666672"/>
    <n v="0.28999982698063909"/>
  </r>
  <r>
    <n v="1768"/>
    <s v="992b007f-65e9-4673-9136-55062a615c1c"/>
    <x v="0"/>
    <x v="0"/>
    <x v="3"/>
    <s v="в аренде"/>
    <s v="консолидация кредитов"/>
    <n v="729344"/>
    <n v="685"/>
    <n v="4673088"/>
    <n v="56076.98"/>
    <n v="8.1"/>
    <n v="35.265240640000002"/>
    <n v="9"/>
    <n v="620787"/>
    <n v="858792"/>
    <n v="0"/>
    <n v="2.3897516733190072"/>
    <n v="0.91211717709720375"/>
    <n v="0.40074137090909095"/>
    <n v="0.19047619047619047"/>
    <n v="0"/>
    <n v="389424"/>
    <n v="0.14399980483996877"/>
  </r>
  <r>
    <n v="497"/>
    <s v="0ea38510-e4fa-4271-ab0d-cf0a005da8ff"/>
    <x v="1"/>
    <x v="1"/>
    <x v="7"/>
    <s v="в ипотеке"/>
    <s v="ремонт жилья"/>
    <n v="129756"/>
    <n v="745"/>
    <n v="1270036"/>
    <n v="25675.84"/>
    <n v="26.5"/>
    <n v="35.265240640000002"/>
    <n v="9"/>
    <n v="684893"/>
    <n v="858242"/>
    <n v="0"/>
    <n v="-1.0238712366994953"/>
    <n v="0.99201065246338216"/>
    <n v="0.40074137090909095"/>
    <n v="0.19047619047619047"/>
    <n v="0"/>
    <n v="105836.33333333333"/>
    <n v="0.24259948536891868"/>
  </r>
  <r>
    <n v="1375"/>
    <s v="10b6058c-c637-4a3b-a909-ac130555ed0e"/>
    <x v="0"/>
    <x v="1"/>
    <x v="3"/>
    <s v="в аренде"/>
    <s v="консолидация кредитов"/>
    <n v="455532"/>
    <n v="716"/>
    <n v="1121285"/>
    <n v="6419.34"/>
    <n v="14.5"/>
    <n v="35.265240640000002"/>
    <n v="16"/>
    <n v="361779"/>
    <n v="856680"/>
    <n v="0"/>
    <n v="0.83086304272935863"/>
    <n v="0.95339547270306257"/>
    <n v="0.40074137090909095"/>
    <n v="0.35714285714285715"/>
    <n v="0"/>
    <n v="93440.416666666672"/>
    <n v="6.8699822079132417E-2"/>
  </r>
  <r>
    <n v="1811"/>
    <s v="3657dc46-f5a6-419f-b835-f942cc5e381d"/>
    <x v="0"/>
    <x v="1"/>
    <x v="5"/>
    <s v="в аренде"/>
    <s v="иное"/>
    <n v="259116"/>
    <n v="735"/>
    <n v="2237820"/>
    <n v="19953.990000000002"/>
    <n v="21.6"/>
    <n v="14"/>
    <n v="9"/>
    <n v="485241"/>
    <n v="855162"/>
    <n v="0"/>
    <n v="-0.28738841909808654"/>
    <n v="0.97869507323568572"/>
    <n v="0.15909090909090909"/>
    <n v="0.19047619047619047"/>
    <n v="0"/>
    <n v="186485"/>
    <n v="0.10700050942435049"/>
  </r>
  <r>
    <n v="415"/>
    <s v="a7f73a96-01e2-457e-846e-5c8d18d4221a"/>
    <x v="0"/>
    <x v="1"/>
    <x v="1"/>
    <s v="в ипотеке"/>
    <s v="консолидация кредитов"/>
    <n v="266882"/>
    <n v="0"/>
    <n v="1168044"/>
    <n v="20287.439999999999"/>
    <n v="23.4"/>
    <n v="49"/>
    <n v="12"/>
    <n v="255018"/>
    <n v="853402"/>
    <n v="0"/>
    <n v="-0.24317439960602918"/>
    <n v="0"/>
    <n v="0.55681818181818177"/>
    <n v="0.26190476190476192"/>
    <n v="0"/>
    <n v="97337"/>
    <n v="0.2084247511223892"/>
  </r>
  <r>
    <n v="1783"/>
    <s v="15979d91-955d-4351-8a60-e97babba6c68"/>
    <x v="0"/>
    <x v="1"/>
    <x v="2"/>
    <s v="в ипотеке"/>
    <s v="консолидация кредитов"/>
    <n v="224994"/>
    <n v="735"/>
    <n v="1282462"/>
    <n v="17740.87"/>
    <n v="14.7"/>
    <n v="14"/>
    <n v="17"/>
    <n v="274189"/>
    <n v="851180"/>
    <n v="0"/>
    <n v="-0.48165455006743774"/>
    <n v="0.97869507323568572"/>
    <n v="0.15909090909090909"/>
    <n v="0.38095238095238093"/>
    <n v="0"/>
    <n v="106871.83333333333"/>
    <n v="0.16600136300334825"/>
  </r>
  <r>
    <n v="2"/>
    <s v="2de017a3-2e01-49cb-a581-08169e83be29"/>
    <x v="0"/>
    <x v="1"/>
    <x v="1"/>
    <s v="в ипотеке"/>
    <s v="консолидация кредитов"/>
    <n v="262328"/>
    <n v="0"/>
    <n v="1168044"/>
    <n v="33295.980000000003"/>
    <n v="21.1"/>
    <n v="8"/>
    <n v="35"/>
    <n v="229976"/>
    <n v="850784"/>
    <n v="0"/>
    <n v="-0.26910160083791551"/>
    <n v="0"/>
    <n v="9.0909090909090912E-2"/>
    <n v="0.80952380952380953"/>
    <n v="0"/>
    <n v="97337"/>
    <n v="0.34206910013663872"/>
  </r>
  <r>
    <n v="306"/>
    <s v="a54d79f2-4314-4964-9c88-d1b2f0450a41"/>
    <x v="1"/>
    <x v="0"/>
    <x v="0"/>
    <s v="в аренде"/>
    <s v="консолидация кредитов"/>
    <n v="513524"/>
    <n v="659"/>
    <n v="1115718"/>
    <n v="28543.7"/>
    <n v="12.5"/>
    <n v="35.265240640000002"/>
    <n v="11"/>
    <n v="469604"/>
    <n v="849618"/>
    <n v="0"/>
    <n v="1.1610277888513507"/>
    <n v="0.87749667110519303"/>
    <n v="0.40074137090909095"/>
    <n v="0.23809523809523808"/>
    <n v="0"/>
    <n v="92976.5"/>
    <n v="0.3069990804127925"/>
  </r>
  <r>
    <n v="132"/>
    <s v="1ccbd292-a4e3-4ac4-bf08-565e66f30fe6"/>
    <x v="0"/>
    <x v="1"/>
    <x v="1"/>
    <s v="в ипотеке"/>
    <s v="консолидация кредитов"/>
    <n v="105556"/>
    <n v="0"/>
    <n v="1168044"/>
    <n v="18234.11"/>
    <n v="20.7"/>
    <n v="7"/>
    <n v="13"/>
    <n v="220894"/>
    <n v="846890"/>
    <n v="0"/>
    <n v="-1.1616486345500989"/>
    <n v="0"/>
    <n v="7.9545454545454544E-2"/>
    <n v="0.2857142857142857"/>
    <n v="0"/>
    <n v="97337"/>
    <n v="0.18732968963497951"/>
  </r>
  <r>
    <n v="993"/>
    <s v="6025af4b-cdab-4afc-9a6f-d54be33360b2"/>
    <x v="1"/>
    <x v="0"/>
    <x v="1"/>
    <s v="в ипотеке"/>
    <s v="консолидация кредитов"/>
    <n v="562826"/>
    <n v="699"/>
    <n v="1060884"/>
    <n v="25107.74"/>
    <n v="21.4"/>
    <n v="14"/>
    <n v="12"/>
    <n v="442757"/>
    <n v="845988"/>
    <n v="0"/>
    <n v="1.4417179239269897"/>
    <n v="0.93075898801597867"/>
    <n v="0.15909090909090909"/>
    <n v="0.26190476190476192"/>
    <n v="0"/>
    <n v="88407"/>
    <n v="0.28400171932086826"/>
  </r>
  <r>
    <n v="1010"/>
    <s v="d507e397-ea02-479b-a9b4-db17514ad722"/>
    <x v="1"/>
    <x v="0"/>
    <x v="1"/>
    <s v="в ипотеке"/>
    <s v="консолидация кредитов"/>
    <n v="552442"/>
    <n v="0"/>
    <n v="1168044"/>
    <n v="17821.240000000002"/>
    <n v="13.8"/>
    <n v="35.265240640000002"/>
    <n v="8"/>
    <n v="596486"/>
    <n v="845394"/>
    <n v="0"/>
    <n v="1.3825988950310943"/>
    <n v="0"/>
    <n v="0.40074137090909095"/>
    <n v="0.16666666666666666"/>
    <n v="0"/>
    <n v="97337"/>
    <n v="0.1830880343548702"/>
  </r>
  <r>
    <n v="41"/>
    <s v="64560eb4-f50d-4f14-8a86-b46c0381bef2"/>
    <x v="1"/>
    <x v="0"/>
    <x v="5"/>
    <s v="в аренде"/>
    <s v="консолидация кредитов"/>
    <n v="688468"/>
    <n v="682"/>
    <n v="1494616"/>
    <n v="14697.07"/>
    <n v="16.600000000000001"/>
    <n v="50"/>
    <n v="8"/>
    <n v="343995"/>
    <n v="843854"/>
    <n v="0"/>
    <n v="2.1570331231313511"/>
    <n v="0.90812250332889477"/>
    <n v="0.56818181818181823"/>
    <n v="0.16666666666666666"/>
    <n v="0"/>
    <n v="124551.33333333333"/>
    <n v="0.11800010169836266"/>
  </r>
  <r>
    <n v="441"/>
    <s v="67df0dd6-0eba-4a63-b3cd-e9333d9e8e79"/>
    <x v="0"/>
    <x v="1"/>
    <x v="1"/>
    <s v="в ипотеке"/>
    <s v="консолидация кредитов"/>
    <n v="403964"/>
    <n v="744"/>
    <n v="1763561"/>
    <n v="17929.349999999999"/>
    <n v="18.399999999999999"/>
    <n v="35.265240640000002"/>
    <n v="11"/>
    <n v="389101"/>
    <n v="843678"/>
    <n v="0"/>
    <n v="0.5372719331277086"/>
    <n v="0.99067909454061254"/>
    <n v="0.40074137090909095"/>
    <n v="0.23809523809523808"/>
    <n v="0"/>
    <n v="146963.41666666666"/>
    <n v="0.12199872870856182"/>
  </r>
  <r>
    <n v="692"/>
    <s v="cd840ed8-f67f-43da-98b8-228af20f19c6"/>
    <x v="0"/>
    <x v="1"/>
    <x v="1"/>
    <s v="в ипотеке"/>
    <s v="консолидация кредитов"/>
    <n v="309594.52439999999"/>
    <n v="742"/>
    <n v="5972460"/>
    <n v="66194.67"/>
    <n v="34.200000000000003"/>
    <n v="24"/>
    <n v="28"/>
    <n v="368695"/>
    <n v="843678"/>
    <n v="0"/>
    <n v="-1.2411115481956205E-10"/>
    <n v="0.98801597869507318"/>
    <n v="0.27272727272727271"/>
    <n v="0.6428571428571429"/>
    <n v="0"/>
    <n v="497705"/>
    <n v="0.1329998091238786"/>
  </r>
  <r>
    <n v="704"/>
    <s v="823293b1-6fea-4db4-b406-2d68e574715b"/>
    <x v="0"/>
    <x v="1"/>
    <x v="1"/>
    <s v="в ипотеке"/>
    <s v="бизнес"/>
    <n v="222684"/>
    <n v="707"/>
    <n v="1634703"/>
    <n v="28198.66"/>
    <n v="29.2"/>
    <n v="8"/>
    <n v="22"/>
    <n v="565782"/>
    <n v="843128"/>
    <n v="0"/>
    <n v="-0.49480602895317721"/>
    <n v="0.94141145139813587"/>
    <n v="9.0909090909090912E-2"/>
    <n v="0.5"/>
    <n v="0"/>
    <n v="136225.25"/>
    <n v="0.2070002440810349"/>
  </r>
  <r>
    <n v="1307"/>
    <s v="3ddfc2ab-e751-47bc-88ad-cce07763e3f5"/>
    <x v="0"/>
    <x v="1"/>
    <x v="10"/>
    <s v="в аренде"/>
    <s v="консолидация кредитов"/>
    <n v="65692"/>
    <n v="684"/>
    <n v="1040193"/>
    <n v="17509.830000000002"/>
    <n v="16"/>
    <n v="5"/>
    <n v="25"/>
    <n v="185231"/>
    <n v="841082"/>
    <n v="0"/>
    <n v="-1.3886055844640026"/>
    <n v="0.91078561917443412"/>
    <n v="5.6818181818181816E-2"/>
    <n v="0.5714285714285714"/>
    <n v="0"/>
    <n v="86682.75"/>
    <n v="0.20199901364458328"/>
  </r>
  <r>
    <n v="916"/>
    <s v="e08c3d21-9329-4b19-a505-d8f287ccf5a7"/>
    <x v="0"/>
    <x v="1"/>
    <x v="4"/>
    <s v="в ипотеке"/>
    <s v="консолидация кредитов"/>
    <n v="565840"/>
    <n v="734"/>
    <n v="1582377"/>
    <n v="39032.080000000002"/>
    <n v="15.4"/>
    <n v="35.265240640000002"/>
    <n v="12"/>
    <n v="434872"/>
    <n v="840620"/>
    <n v="0"/>
    <n v="1.4588774725683831"/>
    <n v="0.9773635153129161"/>
    <n v="0.40074137090909095"/>
    <n v="0.26190476190476192"/>
    <n v="0"/>
    <n v="131864.75"/>
    <n v="0.29600086452217139"/>
  </r>
  <r>
    <n v="1588"/>
    <s v="2dd6f780-0831-4779-ab97-f913ed0b48f6"/>
    <x v="1"/>
    <x v="0"/>
    <x v="1"/>
    <s v="в ипотеке"/>
    <s v="консолидация кредитов"/>
    <n v="440836"/>
    <n v="0"/>
    <n v="1168044"/>
    <n v="28338.880000000001"/>
    <n v="18.8"/>
    <n v="18"/>
    <n v="12"/>
    <n v="596258"/>
    <n v="838882"/>
    <n v="0"/>
    <n v="0.74719458658008286"/>
    <n v="0"/>
    <n v="0.20454545454545456"/>
    <n v="0.26190476190476192"/>
    <n v="0"/>
    <n v="97337"/>
    <n v="0.29114190903767323"/>
  </r>
  <r>
    <n v="1959"/>
    <s v="b8701e4d-a8b3-41e3-b800-ec88e2781c4e"/>
    <x v="1"/>
    <x v="1"/>
    <x v="1"/>
    <s v="в аренде"/>
    <s v="консолидация кредитов"/>
    <n v="234278"/>
    <n v="734"/>
    <n v="2081583"/>
    <n v="30529.96"/>
    <n v="16.3"/>
    <n v="74"/>
    <n v="25"/>
    <n v="154888"/>
    <n v="838090"/>
    <n v="0"/>
    <n v="-0.4287981301647516"/>
    <n v="0.9773635153129161"/>
    <n v="0.84090909090909094"/>
    <n v="0.5714285714285714"/>
    <n v="0"/>
    <n v="173465.25"/>
    <n v="0.17600043812809771"/>
  </r>
  <r>
    <n v="864"/>
    <s v="9b2e47fe-07db-4d5f-9ca0-116e650496d3"/>
    <x v="0"/>
    <x v="1"/>
    <x v="0"/>
    <s v="в ипотеке"/>
    <s v="консолидация кредитов"/>
    <n v="195206"/>
    <n v="750"/>
    <n v="1015588"/>
    <n v="12830.13"/>
    <n v="15.4"/>
    <n v="35.265240640000002"/>
    <n v="9"/>
    <n v="236170"/>
    <n v="836286"/>
    <n v="0"/>
    <n v="-0.65124600160354451"/>
    <n v="0.99866844207723038"/>
    <n v="0.40074137090909095"/>
    <n v="0.19047619047619047"/>
    <n v="0"/>
    <n v="84632.333333333328"/>
    <n v="0.15159844346329418"/>
  </r>
  <r>
    <n v="410"/>
    <s v="847a95e9-1543-4b45-8b42-3b93b5acc8c0"/>
    <x v="1"/>
    <x v="1"/>
    <x v="2"/>
    <s v="в ипотеке"/>
    <s v="консолидация кредитов"/>
    <n v="242264"/>
    <n v="744"/>
    <n v="584345"/>
    <n v="12417.45"/>
    <n v="21.7"/>
    <n v="35.265240640000002"/>
    <n v="10"/>
    <n v="212306"/>
    <n v="836154"/>
    <n v="0"/>
    <n v="-0.38333158887405239"/>
    <n v="0.99067909454061254"/>
    <n v="0.40074137090909095"/>
    <n v="0.21428571428571427"/>
    <n v="0"/>
    <n v="48695.416666666664"/>
    <n v="0.25500243862786542"/>
  </r>
  <r>
    <n v="989"/>
    <s v="653ec81a-ef1d-4033-9b7e-cb17ac527ccf"/>
    <x v="1"/>
    <x v="0"/>
    <x v="2"/>
    <s v="в аренде"/>
    <s v="иное"/>
    <n v="760298"/>
    <n v="654"/>
    <n v="2251272"/>
    <n v="20261.41"/>
    <n v="14.7"/>
    <n v="35.265240640000002"/>
    <n v="10"/>
    <n v="651358"/>
    <n v="836132"/>
    <n v="0"/>
    <n v="2.5659814903879155"/>
    <n v="0.87083888149134492"/>
    <n v="0.40074137090909095"/>
    <n v="0.21428571428571427"/>
    <n v="0"/>
    <n v="187606"/>
    <n v="0.10799979744784281"/>
  </r>
  <r>
    <n v="1099"/>
    <s v="91784ec5-9fc7-465f-891f-9178b4b2cd02"/>
    <x v="0"/>
    <x v="0"/>
    <x v="6"/>
    <s v="в ипотеке"/>
    <s v="консолидация кредитов"/>
    <n v="309594.52439999999"/>
    <n v="710"/>
    <n v="2200219"/>
    <n v="20902.09"/>
    <n v="7.8"/>
    <n v="35.265240640000002"/>
    <n v="11"/>
    <n v="433827"/>
    <n v="835824"/>
    <n v="0"/>
    <n v="-1.2411115481956205E-10"/>
    <n v="0.94540612516644473"/>
    <n v="0.40074137090909095"/>
    <n v="0.23809523809523808"/>
    <n v="0"/>
    <n v="183351.58333333334"/>
    <n v="0.11400005181302406"/>
  </r>
  <r>
    <n v="219"/>
    <s v="e74223bc-f0d9-4ae5-8616-229c49df7902"/>
    <x v="0"/>
    <x v="0"/>
    <x v="1"/>
    <s v="в собственности"/>
    <s v="консолидация кредитов"/>
    <n v="396792"/>
    <n v="731"/>
    <n v="745997"/>
    <n v="7522.29"/>
    <n v="18.7"/>
    <n v="35.265240640000002"/>
    <n v="11"/>
    <n v="295944"/>
    <n v="835802"/>
    <n v="0"/>
    <n v="0.4964397224919842"/>
    <n v="0.97336884154460723"/>
    <n v="0.40074137090909095"/>
    <n v="0.23809523809523808"/>
    <n v="0"/>
    <n v="62166.416666666664"/>
    <n v="0.12100247051931845"/>
  </r>
  <r>
    <n v="1560"/>
    <s v="4d99f63f-df13-4e54-aec1-1f0e77dee138"/>
    <x v="0"/>
    <x v="0"/>
    <x v="4"/>
    <s v="в аренде"/>
    <s v="консолидация кредитов"/>
    <n v="380050"/>
    <n v="698"/>
    <n v="1520817"/>
    <n v="18249.689999999999"/>
    <n v="19.8"/>
    <n v="15"/>
    <n v="8"/>
    <n v="367802"/>
    <n v="835076"/>
    <n v="0"/>
    <n v="0.4011228136153393"/>
    <n v="0.92942743009320905"/>
    <n v="0.17045454545454544"/>
    <n v="0.16666666666666666"/>
    <n v="0"/>
    <n v="126734.75"/>
    <n v="0.1439991004834901"/>
  </r>
  <r>
    <n v="853"/>
    <s v="b0e29963-ee8d-4a22-ae6e-15c7fe1407db"/>
    <x v="0"/>
    <x v="1"/>
    <x v="2"/>
    <s v="в ипотеке"/>
    <s v="консолидация кредитов"/>
    <n v="145552"/>
    <n v="0"/>
    <n v="1168044"/>
    <n v="10970.22"/>
    <n v="23"/>
    <n v="35.265240640000002"/>
    <n v="17"/>
    <n v="194959"/>
    <n v="832964"/>
    <n v="0"/>
    <n v="-0.93394017155701037"/>
    <n v="0"/>
    <n v="0.40074137090909095"/>
    <n v="0.38095238095238093"/>
    <n v="0"/>
    <n v="97337"/>
    <n v="0.11270349404645714"/>
  </r>
  <r>
    <n v="1960"/>
    <s v="ece59f5c-b40e-4867-965e-4b3337934660"/>
    <x v="0"/>
    <x v="1"/>
    <x v="1"/>
    <s v="в ипотеке"/>
    <s v="консолидация кредитов"/>
    <n v="445104"/>
    <n v="672"/>
    <n v="2104630"/>
    <n v="27851.34"/>
    <n v="22.4"/>
    <n v="35.265240640000002"/>
    <n v="17"/>
    <n v="541158"/>
    <n v="832128"/>
    <n v="0"/>
    <n v="0.77149350947373485"/>
    <n v="0.89480692410119844"/>
    <n v="0.40074137090909095"/>
    <n v="0.38095238095238093"/>
    <n v="0"/>
    <n v="175385.83333333334"/>
    <n v="0.15880039721946373"/>
  </r>
  <r>
    <n v="1444"/>
    <s v="cf1eb3c5-c14c-444f-8151-a67ff76800d2"/>
    <x v="0"/>
    <x v="1"/>
    <x v="7"/>
    <s v="в аренде"/>
    <s v="консолидация кредитов"/>
    <n v="287034"/>
    <n v="0"/>
    <n v="1168044"/>
    <n v="16331.83"/>
    <n v="6.9"/>
    <n v="35.265240640000002"/>
    <n v="5"/>
    <n v="272403"/>
    <n v="830060"/>
    <n v="0"/>
    <n v="-0.1284434028504356"/>
    <n v="0"/>
    <n v="0.40074137090909095"/>
    <n v="9.5238095238095233E-2"/>
    <n v="0"/>
    <n v="97337"/>
    <n v="0.16778645325004879"/>
  </r>
  <r>
    <n v="348"/>
    <s v="b2f2d7d2-e4c6-4f63-8dc0-e6ef40555d4a"/>
    <x v="0"/>
    <x v="1"/>
    <x v="1"/>
    <s v="в аренде"/>
    <s v="консолидация кредитов"/>
    <n v="146982"/>
    <n v="670"/>
    <n v="981578"/>
    <n v="25030.22"/>
    <n v="22.5"/>
    <n v="76"/>
    <n v="19"/>
    <n v="532589"/>
    <n v="828872"/>
    <n v="0"/>
    <n v="-0.92579877986583836"/>
    <n v="0.89214380825565909"/>
    <n v="0.86363636363636365"/>
    <n v="0.42857142857142855"/>
    <n v="0"/>
    <n v="81798.166666666672"/>
    <n v="0.30599976772095544"/>
  </r>
  <r>
    <n v="1309"/>
    <s v="cd45d3db-94cb-415b-95ea-a0d7705a015d"/>
    <x v="0"/>
    <x v="0"/>
    <x v="1"/>
    <s v="в ипотеке"/>
    <s v="консолидация кредитов"/>
    <n v="256454"/>
    <n v="707"/>
    <n v="1045627"/>
    <n v="29800.36"/>
    <n v="19.5"/>
    <n v="35"/>
    <n v="18"/>
    <n v="347225"/>
    <n v="825572"/>
    <n v="0"/>
    <n v="-0.30254393286165299"/>
    <n v="0.94141145139813587"/>
    <n v="0.39772727272727271"/>
    <n v="0.40476190476190477"/>
    <n v="0"/>
    <n v="87135.583333333328"/>
    <n v="0.34199989097450623"/>
  </r>
  <r>
    <n v="1504"/>
    <s v="312f4113-ca71-436a-a016-ae45958ddde4"/>
    <x v="0"/>
    <x v="1"/>
    <x v="1"/>
    <s v="в собственности"/>
    <s v="путешествие"/>
    <n v="132374"/>
    <n v="0"/>
    <n v="1168044"/>
    <n v="38903.07"/>
    <n v="25.9"/>
    <n v="65"/>
    <n v="13"/>
    <n v="591432"/>
    <n v="825088"/>
    <n v="0"/>
    <n v="-1.0089662272956572"/>
    <n v="0"/>
    <n v="0.73863636363636365"/>
    <n v="0.2857142857142857"/>
    <n v="0"/>
    <n v="97337"/>
    <n v="0.39967401912941636"/>
  </r>
  <r>
    <n v="1891"/>
    <s v="1fb2387f-9ed7-4978-9cdc-79b46bbb7eda"/>
    <x v="0"/>
    <x v="1"/>
    <x v="10"/>
    <s v="в аренде"/>
    <s v="консолидация кредитов"/>
    <n v="620620"/>
    <n v="712"/>
    <n v="1835058"/>
    <n v="27372.92"/>
    <n v="16.8"/>
    <n v="35.265240640000002"/>
    <n v="10"/>
    <n v="592800"/>
    <n v="825000"/>
    <n v="0"/>
    <n v="1.770755400430204"/>
    <n v="0.94806924101198398"/>
    <n v="0.40074137090909095"/>
    <n v="0.21428571428571427"/>
    <n v="0"/>
    <n v="152921.5"/>
    <n v="0.17899981362986891"/>
  </r>
  <r>
    <n v="718"/>
    <s v="3f8e5612-feb2-4743-8b6a-7beb018ad41c"/>
    <x v="0"/>
    <x v="0"/>
    <x v="10"/>
    <s v="в ипотеке"/>
    <s v="консолидация кредитов"/>
    <n v="698742"/>
    <n v="0"/>
    <n v="1168044"/>
    <n v="22817.29"/>
    <n v="14.7"/>
    <n v="35.265240640000002"/>
    <n v="10"/>
    <n v="447317"/>
    <n v="824736"/>
    <n v="0"/>
    <n v="2.2155258911279256"/>
    <n v="0"/>
    <n v="0.40074137090909095"/>
    <n v="0.21428571428571427"/>
    <n v="0"/>
    <n v="97337"/>
    <n v="0.23441538161233652"/>
  </r>
  <r>
    <n v="211"/>
    <s v="fa3af482-4fd5-4b0c-8d75-d3292a195463"/>
    <x v="0"/>
    <x v="0"/>
    <x v="6"/>
    <s v="в ипотеке"/>
    <s v="консолидация кредитов"/>
    <n v="486288"/>
    <n v="707"/>
    <n v="1654577"/>
    <n v="22612.47"/>
    <n v="14.9"/>
    <n v="14"/>
    <n v="18"/>
    <n v="407835"/>
    <n v="821282"/>
    <n v="0"/>
    <n v="1.0059655901794895"/>
    <n v="0.94141145139813587"/>
    <n v="0.15909090909090909"/>
    <n v="0.40476190476190477"/>
    <n v="0"/>
    <n v="137881.41666666666"/>
    <n v="0.16399940286852774"/>
  </r>
  <r>
    <n v="727"/>
    <s v="7420fe92-229c-4643-a3ad-4d12ce7c1f6d"/>
    <x v="1"/>
    <x v="1"/>
    <x v="7"/>
    <s v="в аренде"/>
    <s v="консолидация кредитов"/>
    <n v="423214"/>
    <n v="718"/>
    <n v="1186949"/>
    <n v="25222.5"/>
    <n v="10.6"/>
    <n v="57"/>
    <n v="14"/>
    <n v="327484"/>
    <n v="820754"/>
    <n v="0"/>
    <n v="0.64686759050887055"/>
    <n v="0.95605858854860182"/>
    <n v="0.64772727272727271"/>
    <n v="0.30952380952380953"/>
    <n v="0"/>
    <n v="98912.416666666672"/>
    <n v="0.25499831922011812"/>
  </r>
  <r>
    <n v="1071"/>
    <s v="2065177a-fe64-4039-9ccc-048fd32b2bc2"/>
    <x v="0"/>
    <x v="1"/>
    <x v="9"/>
    <s v="в ипотеке"/>
    <s v="иное"/>
    <n v="111496"/>
    <n v="741"/>
    <n v="1328822"/>
    <n v="20264.64"/>
    <n v="13.9"/>
    <n v="35.265240640000002"/>
    <n v="20"/>
    <n v="578778"/>
    <n v="820270"/>
    <n v="0"/>
    <n v="-1.127830545986769"/>
    <n v="0.98668442077230356"/>
    <n v="0.40074137090909095"/>
    <n v="0.45238095238095238"/>
    <n v="0"/>
    <n v="110735.16666666667"/>
    <n v="0.1830009436929852"/>
  </r>
  <r>
    <n v="311"/>
    <s v="9f4ebd2a-621d-44c3-b4cc-02952d3227e6"/>
    <x v="0"/>
    <x v="0"/>
    <x v="5"/>
    <s v="в аренде"/>
    <s v="консолидация кредитов"/>
    <n v="268664"/>
    <n v="718"/>
    <n v="1160178"/>
    <n v="16049.11"/>
    <n v="13.3"/>
    <n v="35.265240640000002"/>
    <n v="9"/>
    <n v="318839"/>
    <n v="818576"/>
    <n v="0"/>
    <n v="-0.23302897303703018"/>
    <n v="0.95605858854860182"/>
    <n v="0.40074137090909095"/>
    <n v="0.19047619047619047"/>
    <n v="0"/>
    <n v="96681.5"/>
    <n v="0.16599980347843177"/>
  </r>
  <r>
    <n v="382"/>
    <s v="3c6f7594-ac3f-4a3b-8546-61137ee93213"/>
    <x v="0"/>
    <x v="1"/>
    <x v="2"/>
    <s v="в собственности"/>
    <s v="консолидация кредитов"/>
    <n v="460350"/>
    <n v="736"/>
    <n v="888041"/>
    <n v="18796.89"/>
    <n v="27.2"/>
    <n v="35.265240640000002"/>
    <n v="9"/>
    <n v="547504"/>
    <n v="816948"/>
    <n v="0"/>
    <n v="0.85829327011961509"/>
    <n v="0.98002663115845534"/>
    <n v="0.40074137090909095"/>
    <n v="0.19047619047619047"/>
    <n v="0"/>
    <n v="74003.416666666672"/>
    <n v="0.25400029953571962"/>
  </r>
  <r>
    <n v="448"/>
    <s v="94c953bf-f551-43bd-9374-d41bc899e362"/>
    <x v="0"/>
    <x v="1"/>
    <x v="1"/>
    <s v="в ипотеке"/>
    <s v="консолидация кредитов"/>
    <n v="309594.52439999999"/>
    <n v="722"/>
    <n v="1450441"/>
    <n v="15229.64"/>
    <n v="14"/>
    <n v="37"/>
    <n v="10"/>
    <n v="439812"/>
    <n v="816134"/>
    <n v="0"/>
    <n v="-1.2411115481956205E-10"/>
    <n v="0.96138482023968042"/>
    <n v="0.42045454545454547"/>
    <n v="0.21428571428571427"/>
    <n v="0"/>
    <n v="120870.08333333333"/>
    <n v="0.12600007859678539"/>
  </r>
  <r>
    <n v="506"/>
    <s v="c0b14676-6848-4f87-b8e1-d18ebf229a98"/>
    <x v="0"/>
    <x v="1"/>
    <x v="1"/>
    <s v="в ипотеке"/>
    <s v="консолидация кредитов"/>
    <n v="132616"/>
    <n v="743"/>
    <n v="1527144"/>
    <n v="40342.32"/>
    <n v="22.4"/>
    <n v="25"/>
    <n v="16"/>
    <n v="159030"/>
    <n v="814770"/>
    <n v="0"/>
    <n v="-1.0075884533171513"/>
    <n v="0.98934753661784292"/>
    <n v="0.28409090909090912"/>
    <n v="0.35714285714285715"/>
    <n v="0"/>
    <n v="127262"/>
    <n v="0.31700209017617198"/>
  </r>
  <r>
    <n v="835"/>
    <s v="362ee5ad-b494-4847-a3b0-f9cd5ddcd2c0"/>
    <x v="0"/>
    <x v="1"/>
    <x v="2"/>
    <s v="в ипотеке"/>
    <s v="ремонт жилья"/>
    <n v="222420"/>
    <n v="712"/>
    <n v="2723840"/>
    <n v="42446.57"/>
    <n v="18.3"/>
    <n v="68"/>
    <n v="17"/>
    <n v="563920"/>
    <n v="814176"/>
    <n v="0"/>
    <n v="-0.49630905511154744"/>
    <n v="0.94806924101198398"/>
    <n v="0.77272727272727271"/>
    <n v="0.38095238095238093"/>
    <n v="0"/>
    <n v="226986.66666666666"/>
    <n v="0.18700027901785715"/>
  </r>
  <r>
    <n v="360"/>
    <s v="de7e5f8e-bdf9-4eaa-8266-9e16da5be3c2"/>
    <x v="0"/>
    <x v="1"/>
    <x v="0"/>
    <s v="в аренде"/>
    <s v="консолидация кредитов"/>
    <n v="657294"/>
    <n v="691"/>
    <n v="2270652"/>
    <n v="24031.01"/>
    <n v="11.3"/>
    <n v="40"/>
    <n v="12"/>
    <n v="405327"/>
    <n v="811998"/>
    <n v="0"/>
    <n v="1.9795507842638007"/>
    <n v="0.92010652463382159"/>
    <n v="0.45454545454545453"/>
    <n v="0.26190476190476192"/>
    <n v="0"/>
    <n v="189221"/>
    <n v="0.12699969876493622"/>
  </r>
  <r>
    <n v="1423"/>
    <s v="8d1de553-e0ea-429f-9791-f55fa8c99ee1"/>
    <x v="1"/>
    <x v="1"/>
    <x v="1"/>
    <s v="в ипотеке"/>
    <s v="консолидация кредитов"/>
    <n v="292490"/>
    <n v="739"/>
    <n v="1029857"/>
    <n v="21713.01"/>
    <n v="22.1"/>
    <n v="31"/>
    <n v="15"/>
    <n v="387714"/>
    <n v="811800"/>
    <n v="0"/>
    <n v="-9.7380862244117669E-2"/>
    <n v="0.98402130492676432"/>
    <n v="0.35227272727272729"/>
    <n v="0.33333333333333331"/>
    <n v="0"/>
    <n v="85821.416666666672"/>
    <n v="0.25300223234876296"/>
  </r>
  <r>
    <n v="921"/>
    <s v="5350b11d-39c5-4f56-9f46-d8105a481b73"/>
    <x v="1"/>
    <x v="0"/>
    <x v="10"/>
    <s v="в ипотеке"/>
    <s v="консолидация кредитов"/>
    <n v="519244"/>
    <n v="0"/>
    <n v="1168044"/>
    <n v="20140.57"/>
    <n v="20"/>
    <n v="48"/>
    <n v="8"/>
    <n v="414238"/>
    <n v="811580"/>
    <n v="1"/>
    <n v="1.1935933556160387"/>
    <n v="0"/>
    <n v="0.54545454545454541"/>
    <n v="0.16666666666666666"/>
    <n v="0.14285714285714285"/>
    <n v="97337"/>
    <n v="0.20691586960765176"/>
  </r>
  <r>
    <n v="1837"/>
    <s v="7b3f10eb-6b39-4122-81a4-b4f375d46da9"/>
    <x v="0"/>
    <x v="0"/>
    <x v="1"/>
    <s v="в ипотеке"/>
    <s v="консолидация кредитов"/>
    <n v="420244"/>
    <n v="703"/>
    <n v="728707"/>
    <n v="15424.2"/>
    <n v="37.1"/>
    <n v="3"/>
    <n v="13"/>
    <n v="341335"/>
    <n v="811558"/>
    <n v="0"/>
    <n v="0.6299585462272056"/>
    <n v="0.93608521970705727"/>
    <n v="3.4090909090909088E-2"/>
    <n v="0.2857142857142857"/>
    <n v="0"/>
    <n v="60725.583333333336"/>
    <n v="0.25399838343806219"/>
  </r>
  <r>
    <n v="1882"/>
    <s v="b1c928bd-4928-4df6-bb56-7a0d94489226"/>
    <x v="0"/>
    <x v="1"/>
    <x v="2"/>
    <s v="в аренде"/>
    <s v="консолидация кредитов"/>
    <n v="199914"/>
    <n v="0"/>
    <n v="1168044"/>
    <n v="10356.33"/>
    <n v="12.4"/>
    <n v="35.265240640000002"/>
    <n v="7"/>
    <n v="274512"/>
    <n v="810854"/>
    <n v="0"/>
    <n v="-0.62444203511260887"/>
    <n v="0"/>
    <n v="0.40074137090909095"/>
    <n v="0.14285714285714285"/>
    <n v="0"/>
    <n v="97337"/>
    <n v="0.10639664259223111"/>
  </r>
  <r>
    <n v="708"/>
    <s v="8d5a2ca0-943a-46a9-8b29-cffee22436c4"/>
    <x v="0"/>
    <x v="1"/>
    <x v="1"/>
    <s v="в ипотеке"/>
    <s v="консолидация кредитов"/>
    <n v="394548"/>
    <n v="0"/>
    <n v="1168044"/>
    <n v="30443.13"/>
    <n v="20.100000000000001"/>
    <n v="23"/>
    <n v="12"/>
    <n v="357523"/>
    <n v="810128"/>
    <n v="0"/>
    <n v="0.48366400014583733"/>
    <n v="0"/>
    <n v="0.26136363636363635"/>
    <n v="0.26190476190476192"/>
    <n v="0"/>
    <n v="97337"/>
    <n v="0.31276010150302558"/>
  </r>
  <r>
    <n v="1209"/>
    <s v="95f14d81-ce05-44d8-9417-7fd20736d7b6"/>
    <x v="0"/>
    <x v="1"/>
    <x v="0"/>
    <s v="в ипотеке"/>
    <s v="консолидация кредитов"/>
    <n v="175010"/>
    <n v="0"/>
    <n v="1168044"/>
    <n v="23390.33"/>
    <n v="24"/>
    <n v="59"/>
    <n v="10"/>
    <n v="677521"/>
    <n v="809600"/>
    <n v="0"/>
    <n v="-0.76622750271886642"/>
    <n v="0"/>
    <n v="0.67045454545454541"/>
    <n v="0.21428571428571427"/>
    <n v="0"/>
    <n v="97337"/>
    <n v="0.2403025570954519"/>
  </r>
  <r>
    <n v="1034"/>
    <s v="89a75574-61d1-41f9-90cc-738ada12ab9c"/>
    <x v="0"/>
    <x v="1"/>
    <x v="1"/>
    <s v="в аренде"/>
    <s v="консолидация кредитов"/>
    <n v="309594.52439999999"/>
    <n v="740"/>
    <n v="2128152"/>
    <n v="43449.77"/>
    <n v="28.6"/>
    <n v="35.265240640000002"/>
    <n v="8"/>
    <n v="521759"/>
    <n v="808764"/>
    <n v="0"/>
    <n v="-1.2411115481956205E-10"/>
    <n v="0.98535286284953394"/>
    <n v="0.40074137090909095"/>
    <n v="0.16666666666666666"/>
    <n v="0"/>
    <n v="177346"/>
    <n v="0.245"/>
  </r>
  <r>
    <n v="1563"/>
    <s v="b0fac61e-b41a-4aa5-8217-1763c5237337"/>
    <x v="0"/>
    <x v="0"/>
    <x v="6"/>
    <s v="в аренде"/>
    <s v="консолидация кредитов"/>
    <n v="309594.52439999999"/>
    <n v="684"/>
    <n v="1239446"/>
    <n v="30159.84"/>
    <n v="8"/>
    <n v="35.265240640000002"/>
    <n v="13"/>
    <n v="287736"/>
    <n v="808676"/>
    <n v="0"/>
    <n v="-1.2411115481956205E-10"/>
    <n v="0.91078561917443412"/>
    <n v="0.40074137090909095"/>
    <n v="0.2857142857142857"/>
    <n v="0"/>
    <n v="103287.16666666667"/>
    <n v="0.29199987736456445"/>
  </r>
  <r>
    <n v="1632"/>
    <s v="bbd0e803-568b-4574-b260-a96efbeae309"/>
    <x v="0"/>
    <x v="1"/>
    <x v="3"/>
    <s v="в ипотеке"/>
    <s v="иное"/>
    <n v="314688"/>
    <n v="0"/>
    <n v="1168044"/>
    <n v="8736.01"/>
    <n v="18.600000000000001"/>
    <n v="35.265240640000002"/>
    <n v="13"/>
    <n v="188480"/>
    <n v="808258"/>
    <n v="0"/>
    <n v="2.8998587238845169E-2"/>
    <n v="0"/>
    <n v="0.40074137090909095"/>
    <n v="0.2857142857142857"/>
    <n v="0"/>
    <n v="97337"/>
    <n v="8.9750146398594577E-2"/>
  </r>
  <r>
    <n v="819"/>
    <s v="510490c7-0e98-47f0-b353-2ad4711c012c"/>
    <x v="0"/>
    <x v="0"/>
    <x v="5"/>
    <s v="в аренде"/>
    <s v="консолидация кредитов"/>
    <n v="768856"/>
    <n v="0"/>
    <n v="1168044"/>
    <n v="59285.89"/>
    <n v="11.4"/>
    <n v="35.265240640000002"/>
    <n v="20"/>
    <n v="408082"/>
    <n v="806322"/>
    <n v="0"/>
    <n v="2.6147045883550839"/>
    <n v="0"/>
    <n v="0.40074137090909095"/>
    <n v="0.45238095238095238"/>
    <n v="0"/>
    <n v="97337"/>
    <n v="0.60907866484481743"/>
  </r>
  <r>
    <n v="659"/>
    <s v="aca451fc-db23-4d9b-abff-0da9115648a9"/>
    <x v="0"/>
    <x v="1"/>
    <x v="10"/>
    <s v="в аренде"/>
    <s v="консолидация кредитов"/>
    <n v="309594.52439999999"/>
    <n v="736"/>
    <n v="494247"/>
    <n v="11738.39"/>
    <n v="17.100000000000001"/>
    <n v="35.265240640000002"/>
    <n v="19"/>
    <n v="229216"/>
    <n v="804254"/>
    <n v="0"/>
    <n v="-1.2411115481956205E-10"/>
    <n v="0.98002663115845534"/>
    <n v="0.40074137090909095"/>
    <n v="0.42857142857142855"/>
    <n v="0"/>
    <n v="41187.25"/>
    <n v="0.28500057663475953"/>
  </r>
  <r>
    <n v="1740"/>
    <s v="f8719eb0-ad2d-4bfe-a717-208df926d394"/>
    <x v="1"/>
    <x v="0"/>
    <x v="7"/>
    <s v="в собственности"/>
    <s v="консолидация кредитов"/>
    <n v="622974"/>
    <n v="0"/>
    <n v="1168044"/>
    <n v="40069.480000000003"/>
    <n v="21.8"/>
    <n v="48"/>
    <n v="19"/>
    <n v="594548"/>
    <n v="804232"/>
    <n v="0"/>
    <n v="1.7841573836756719"/>
    <n v="0"/>
    <n v="0.54545454545454541"/>
    <n v="0.42857142857142855"/>
    <n v="0"/>
    <n v="97337"/>
    <n v="0.41165723209057198"/>
  </r>
  <r>
    <n v="20"/>
    <s v="422f9b72-5041-407c-8ac4-982213deacd1"/>
    <x v="0"/>
    <x v="1"/>
    <x v="10"/>
    <s v="в ипотеке"/>
    <s v="ремонт жилья"/>
    <n v="390390"/>
    <n v="747"/>
    <n v="1791738"/>
    <n v="2478.5500000000002"/>
    <n v="22.7"/>
    <n v="35.265240640000002"/>
    <n v="6"/>
    <n v="121182"/>
    <n v="801812"/>
    <n v="0"/>
    <n v="0.45999133815150633"/>
    <n v="0.9946737683089214"/>
    <n v="0.40074137090909095"/>
    <n v="0.11904761904761904"/>
    <n v="0"/>
    <n v="149311.5"/>
    <n v="1.6599860024177644E-2"/>
  </r>
  <r>
    <n v="1113"/>
    <s v="b31c5fee-2153-4cc4-9834-74e924468c1b"/>
    <x v="0"/>
    <x v="1"/>
    <x v="1"/>
    <s v="в собственности"/>
    <s v="консолидация кредитов"/>
    <n v="252648"/>
    <n v="743"/>
    <n v="1626951"/>
    <n v="32810.15"/>
    <n v="17.8"/>
    <n v="35.265240640000002"/>
    <n v="19"/>
    <n v="182457"/>
    <n v="800206"/>
    <n v="1"/>
    <n v="-0.32421255997815701"/>
    <n v="0.98934753661784292"/>
    <n v="0.40074137090909095"/>
    <n v="0.42857142857142855"/>
    <n v="0.14285714285714285"/>
    <n v="135579.25"/>
    <n v="0.24199978979084188"/>
  </r>
  <r>
    <n v="304"/>
    <s v="c793367c-0942-4d2b-b453-df38f94d345d"/>
    <x v="1"/>
    <x v="1"/>
    <x v="1"/>
    <s v="в аренде"/>
    <s v="консолидация кредитов"/>
    <n v="432168"/>
    <n v="736"/>
    <n v="1343642"/>
    <n v="21386.400000000001"/>
    <n v="35"/>
    <n v="35.265240640000002"/>
    <n v="16"/>
    <n v="351329"/>
    <n v="799216"/>
    <n v="0"/>
    <n v="0.69784522771359392"/>
    <n v="0.98002663115845534"/>
    <n v="0.40074137090909095"/>
    <n v="0.35714285714285715"/>
    <n v="0"/>
    <n v="111970.16666666667"/>
    <n v="0.19100087672162674"/>
  </r>
  <r>
    <n v="852"/>
    <s v="cc20dd6b-0229-40cd-8485-610a36c8a246"/>
    <x v="0"/>
    <x v="1"/>
    <x v="0"/>
    <s v="в ипотеке"/>
    <s v="консолидация кредитов"/>
    <n v="180290"/>
    <n v="741"/>
    <n v="1297548"/>
    <n v="16976.12"/>
    <n v="14"/>
    <n v="35.265240640000002"/>
    <n v="13"/>
    <n v="191159"/>
    <n v="799106"/>
    <n v="1"/>
    <n v="-0.73616697955146204"/>
    <n v="0.98668442077230356"/>
    <n v="0.40074137090909095"/>
    <n v="0.2857142857142857"/>
    <n v="0.14285714285714285"/>
    <n v="108129"/>
    <n v="0.15699876998769988"/>
  </r>
  <r>
    <n v="1267"/>
    <s v="bd4174b5-b81c-48d5-84a2-efce7273360e"/>
    <x v="1"/>
    <x v="0"/>
    <x v="8"/>
    <s v="в аренде"/>
    <s v="консолидация кредитов"/>
    <n v="386408"/>
    <n v="709"/>
    <n v="1019711"/>
    <n v="19289.560000000001"/>
    <n v="23.5"/>
    <n v="72"/>
    <n v="8"/>
    <n v="429419"/>
    <n v="798116"/>
    <n v="2"/>
    <n v="0.43732069359608883"/>
    <n v="0.94407456724367511"/>
    <n v="0.81818181818181823"/>
    <n v="0.16666666666666666"/>
    <n v="0.2857142857142857"/>
    <n v="84975.916666666672"/>
    <n v="0.22700031675641433"/>
  </r>
  <r>
    <n v="1266"/>
    <s v="cdaade7b-fce4-430c-96ab-cc072212088c"/>
    <x v="1"/>
    <x v="1"/>
    <x v="1"/>
    <s v="в ипотеке"/>
    <s v="иное"/>
    <n v="317152"/>
    <n v="713"/>
    <n v="972990"/>
    <n v="18567.939999999999"/>
    <n v="12.4"/>
    <n v="35.265240640000002"/>
    <n v="7"/>
    <n v="484234"/>
    <n v="797588"/>
    <n v="0"/>
    <n v="4.3026831383633904E-2"/>
    <n v="0.94940079893475371"/>
    <n v="0.40074137090909095"/>
    <n v="0.14285714285714285"/>
    <n v="0"/>
    <n v="81082.5"/>
    <n v="0.22900058582308142"/>
  </r>
  <r>
    <n v="576"/>
    <s v="c0342d1a-fe13-4ccd-85ef-47eecf2d352a"/>
    <x v="0"/>
    <x v="0"/>
    <x v="1"/>
    <s v="в ипотеке"/>
    <s v="консолидация кредитов"/>
    <n v="552750"/>
    <n v="723"/>
    <n v="954750"/>
    <n v="3389.41"/>
    <n v="29.2"/>
    <n v="35.265240640000002"/>
    <n v="12"/>
    <n v="169404"/>
    <n v="797390"/>
    <n v="1"/>
    <n v="1.3843524255491928"/>
    <n v="0.96271637816245004"/>
    <n v="0.40074137090909095"/>
    <n v="0.26190476190476192"/>
    <n v="0.14285714285714285"/>
    <n v="79562.5"/>
    <n v="4.260059701492537E-2"/>
  </r>
  <r>
    <n v="1935"/>
    <s v="cb8000e4-3993-4bad-ae0f-533302d4361d"/>
    <x v="0"/>
    <x v="1"/>
    <x v="10"/>
    <s v="в ипотеке"/>
    <s v="консолидация кредитов"/>
    <n v="655138"/>
    <n v="700"/>
    <n v="1874844"/>
    <n v="36247.06"/>
    <n v="15.4"/>
    <n v="30"/>
    <n v="19"/>
    <n v="269819"/>
    <n v="797016"/>
    <n v="0"/>
    <n v="1.9672760706371106"/>
    <n v="0.93209054593874829"/>
    <n v="0.34090909090909088"/>
    <n v="0.42857142857142855"/>
    <n v="0"/>
    <n v="156237"/>
    <n v="0.23200048644047183"/>
  </r>
  <r>
    <n v="1672"/>
    <s v="e5d35061-0c80-43fa-953d-837443a4dbec"/>
    <x v="0"/>
    <x v="1"/>
    <x v="1"/>
    <s v="в ипотеке"/>
    <s v="ремонт жилья"/>
    <n v="264924"/>
    <n v="749"/>
    <n v="2497721"/>
    <n v="16713.919999999998"/>
    <n v="19.899999999999999"/>
    <n v="35.265240640000002"/>
    <n v="7"/>
    <n v="217322"/>
    <n v="793804"/>
    <n v="0"/>
    <n v="-0.25432184361394167"/>
    <n v="0.99733688415446076"/>
    <n v="0.40074137090909095"/>
    <n v="0.14285714285714285"/>
    <n v="0"/>
    <n v="208143.41666666666"/>
    <n v="8.0300017495949297E-2"/>
  </r>
  <r>
    <n v="1128"/>
    <s v="2001cb68-b7a1-4863-9b03-db9595ccabf6"/>
    <x v="1"/>
    <x v="0"/>
    <x v="0"/>
    <s v="в аренде"/>
    <s v="консолидация кредитов"/>
    <n v="445940"/>
    <n v="653"/>
    <n v="1116877"/>
    <n v="27549.62"/>
    <n v="28.8"/>
    <n v="12"/>
    <n v="17"/>
    <n v="239818"/>
    <n v="793386"/>
    <n v="0"/>
    <n v="0.77625309230857387"/>
    <n v="0.86950732356857519"/>
    <n v="0.13636363636363635"/>
    <n v="0.38095238095238093"/>
    <n v="0"/>
    <n v="93073.083333333328"/>
    <n v="0.2959998639062314"/>
  </r>
  <r>
    <n v="911"/>
    <s v="50d28022-f1ce-40ae-986b-0e6abeca85f8"/>
    <x v="0"/>
    <x v="0"/>
    <x v="5"/>
    <s v="в собственности"/>
    <s v="крупная покупка"/>
    <n v="75328"/>
    <n v="0"/>
    <n v="1168044"/>
    <n v="3401.95"/>
    <n v="22.7"/>
    <n v="35.265240640000002"/>
    <n v="9"/>
    <n v="56772"/>
    <n v="792000"/>
    <n v="0"/>
    <n v="-1.3337451296834895"/>
    <n v="0"/>
    <n v="0.40074137090909095"/>
    <n v="0.19047619047619047"/>
    <n v="0"/>
    <n v="97337"/>
    <n v="3.4950224477845009E-2"/>
  </r>
  <r>
    <n v="1990"/>
    <s v="683873ce-b81f-4254-b33e-0e5c815d796a"/>
    <x v="0"/>
    <x v="1"/>
    <x v="3"/>
    <s v="в ипотеке"/>
    <s v="консолидация кредитов"/>
    <n v="448228"/>
    <n v="0"/>
    <n v="1168044"/>
    <n v="19103.740000000002"/>
    <n v="15.4"/>
    <n v="35.265240640000002"/>
    <n v="13"/>
    <n v="411654"/>
    <n v="791780"/>
    <n v="0"/>
    <n v="0.78927931901444914"/>
    <n v="0"/>
    <n v="0.40074137090909095"/>
    <n v="0.2857142857142857"/>
    <n v="0"/>
    <n v="97337"/>
    <n v="0.19626390786648451"/>
  </r>
  <r>
    <n v="1245"/>
    <s v="54d8a404-711d-44dd-8226-cd94ac5afe1f"/>
    <x v="0"/>
    <x v="0"/>
    <x v="1"/>
    <s v="в аренде"/>
    <s v="приобретение жилья"/>
    <n v="661188"/>
    <n v="690"/>
    <n v="5139234"/>
    <n v="31434.93"/>
    <n v="29.3"/>
    <n v="3"/>
    <n v="16"/>
    <n v="275424"/>
    <n v="791362"/>
    <n v="0"/>
    <n v="2.0017204200997614"/>
    <n v="0.91877496671105197"/>
    <n v="3.4090909090909088E-2"/>
    <n v="0.35714285714285715"/>
    <n v="0"/>
    <n v="428269.5"/>
    <n v="7.3399880215611904E-2"/>
  </r>
  <r>
    <n v="1024"/>
    <s v="959ea3bc-40c4-41a1-a9c8-1546076db243"/>
    <x v="1"/>
    <x v="1"/>
    <x v="0"/>
    <s v="в ипотеке"/>
    <s v="консолидация кредитов"/>
    <n v="241538"/>
    <n v="0"/>
    <n v="1168044"/>
    <n v="12057.02"/>
    <n v="38.5"/>
    <n v="35.265240640000002"/>
    <n v="18"/>
    <n v="391837"/>
    <n v="790438"/>
    <n v="0"/>
    <n v="-0.38746491080957052"/>
    <n v="0"/>
    <n v="0.40074137090909095"/>
    <n v="0.40476190476190477"/>
    <n v="0"/>
    <n v="97337"/>
    <n v="0.12386882685926215"/>
  </r>
  <r>
    <n v="177"/>
    <s v="133bad47-5555-49f6-9885-70756e18ad74"/>
    <x v="1"/>
    <x v="1"/>
    <x v="5"/>
    <s v="в аренде"/>
    <s v="консолидация кредитов"/>
    <n v="547580"/>
    <n v="710"/>
    <n v="1125978"/>
    <n v="9758.4"/>
    <n v="13.8"/>
    <n v="58"/>
    <n v="6"/>
    <n v="435328"/>
    <n v="790064"/>
    <n v="0"/>
    <n v="1.3549181632811094"/>
    <n v="0.94540612516644473"/>
    <n v="0.65909090909090906"/>
    <n v="0.11904761904761904"/>
    <n v="0"/>
    <n v="93831.5"/>
    <n v="0.10399919003746076"/>
  </r>
  <r>
    <n v="788"/>
    <s v="8b9f778b-c3a4-4d51-9940-6ae35bc4b7db"/>
    <x v="1"/>
    <x v="0"/>
    <x v="1"/>
    <s v="в ипотеке"/>
    <s v="консолидация кредитов"/>
    <n v="430804"/>
    <n v="738"/>
    <n v="1130120"/>
    <n v="8711.31"/>
    <n v="18.5"/>
    <n v="35.265240640000002"/>
    <n v="9"/>
    <n v="383667"/>
    <n v="789052"/>
    <n v="0"/>
    <n v="0.69007959256201445"/>
    <n v="0.9826897470039947"/>
    <n v="0.40074137090909095"/>
    <n v="0.19047619047619047"/>
    <n v="0"/>
    <n v="94176.666666666672"/>
    <n v="9.2499663752521846E-2"/>
  </r>
  <r>
    <n v="1275"/>
    <s v="4c5b171c-40d9-4cb9-beab-27bbc3bce9d3"/>
    <x v="0"/>
    <x v="0"/>
    <x v="1"/>
    <s v="в ипотеке"/>
    <s v="консолидация кредитов"/>
    <n v="445192"/>
    <n v="707"/>
    <n v="1230345"/>
    <n v="18250.07"/>
    <n v="21.2"/>
    <n v="35.265240640000002"/>
    <n v="20"/>
    <n v="226879"/>
    <n v="788898"/>
    <n v="0"/>
    <n v="0.77199451819319154"/>
    <n v="0.94141145139813587"/>
    <n v="0.40074137090909095"/>
    <n v="0.45238095238095238"/>
    <n v="0"/>
    <n v="102528.75"/>
    <n v="0.17799953671531155"/>
  </r>
  <r>
    <n v="1856"/>
    <s v="fc0054df-047a-4a37-a3d3-16147bceac69"/>
    <x v="0"/>
    <x v="0"/>
    <x v="1"/>
    <s v="в ипотеке"/>
    <s v="консолидация кредитов"/>
    <n v="553080"/>
    <n v="657"/>
    <n v="2178122"/>
    <n v="24631.03"/>
    <n v="16.399999999999999"/>
    <n v="62"/>
    <n v="9"/>
    <n v="605302"/>
    <n v="787512"/>
    <n v="0"/>
    <n v="1.3862312082471555"/>
    <n v="0.87483355525965378"/>
    <n v="0.70454545454545459"/>
    <n v="0.19047619047619047"/>
    <n v="0"/>
    <n v="181510.16666666666"/>
    <n v="0.13570055304523806"/>
  </r>
  <r>
    <n v="301"/>
    <s v="ca4f90bc-7222-4792-9061-6b30772818bf"/>
    <x v="0"/>
    <x v="1"/>
    <x v="1"/>
    <s v="в ипотеке"/>
    <s v="консолидация кредитов"/>
    <n v="319330"/>
    <n v="0"/>
    <n v="1168044"/>
    <n v="35750.400000000001"/>
    <n v="42.4"/>
    <n v="69"/>
    <n v="17"/>
    <n v="381995"/>
    <n v="785598"/>
    <n v="2"/>
    <n v="5.542679719018824E-2"/>
    <n v="0"/>
    <n v="0.78409090909090906"/>
    <n v="0.38095238095238093"/>
    <n v="0.2857142857142857"/>
    <n v="97337"/>
    <n v="0.36728479406597697"/>
  </r>
  <r>
    <n v="803"/>
    <s v="666c0266-76b1-4f00-934e-6047498e61be"/>
    <x v="1"/>
    <x v="0"/>
    <x v="8"/>
    <s v="в ипотеке"/>
    <s v="консолидация кредитов"/>
    <n v="396792"/>
    <n v="669"/>
    <n v="875748"/>
    <n v="22404.42"/>
    <n v="9.6999999999999993"/>
    <n v="7"/>
    <n v="10"/>
    <n v="311372"/>
    <n v="785466"/>
    <n v="0"/>
    <n v="0.4964397224919842"/>
    <n v="0.89081225033288947"/>
    <n v="7.9545454545454544E-2"/>
    <n v="0.21428571428571427"/>
    <n v="0"/>
    <n v="72979"/>
    <n v="0.30699817755792758"/>
  </r>
  <r>
    <n v="592"/>
    <s v="7a8fcb05-e8d3-449e-8379-a1c6d2500d48"/>
    <x v="0"/>
    <x v="0"/>
    <x v="5"/>
    <s v="в ипотеке"/>
    <s v="консолидация кредитов"/>
    <n v="588962"/>
    <n v="678"/>
    <n v="1412897"/>
    <n v="16719.240000000002"/>
    <n v="18.5"/>
    <n v="35.265240640000002"/>
    <n v="13"/>
    <n v="424498"/>
    <n v="785202"/>
    <n v="0"/>
    <n v="1.5905175136056415"/>
    <n v="0.90279627163781628"/>
    <n v="0.40074137090909095"/>
    <n v="0.2857142857142857"/>
    <n v="0"/>
    <n v="117741.41666666667"/>
    <n v="0.14199965036375617"/>
  </r>
  <r>
    <n v="1517"/>
    <s v="e604834b-2b48-44dd-9e24-19fad4c81602"/>
    <x v="1"/>
    <x v="0"/>
    <x v="1"/>
    <s v="в ипотеке"/>
    <s v="консолидация кредитов"/>
    <n v="621918"/>
    <n v="715"/>
    <n v="2148425"/>
    <n v="20947.12"/>
    <n v="20.5"/>
    <n v="19"/>
    <n v="9"/>
    <n v="585884"/>
    <n v="784278"/>
    <n v="0"/>
    <n v="1.778145279042191"/>
    <n v="0.95206391478029295"/>
    <n v="0.21590909090909091"/>
    <n v="0.19047619047619047"/>
    <n v="0"/>
    <n v="179035.41666666666"/>
    <n v="0.11699986734468273"/>
  </r>
  <r>
    <n v="353"/>
    <s v="8b3823d4-d69f-48cc-b829-a97174e1d5fa"/>
    <x v="0"/>
    <x v="1"/>
    <x v="3"/>
    <s v="в ипотеке"/>
    <s v="консолидация кредитов"/>
    <n v="173316"/>
    <n v="744"/>
    <n v="954275"/>
    <n v="6457.15"/>
    <n v="13.2"/>
    <n v="35.265240640000002"/>
    <n v="5"/>
    <n v="327541"/>
    <n v="780384"/>
    <n v="0"/>
    <n v="-0.7758719205684087"/>
    <n v="0.99067909454061254"/>
    <n v="0.40074137090909095"/>
    <n v="9.5238095238095233E-2"/>
    <n v="0"/>
    <n v="79522.916666666672"/>
    <n v="8.1198606271776996E-2"/>
  </r>
  <r>
    <n v="1512"/>
    <s v="a1a1755e-9ef6-4af4-b331-444e2756dac4"/>
    <x v="1"/>
    <x v="0"/>
    <x v="1"/>
    <s v="в аренде"/>
    <s v="консолидация кредитов"/>
    <n v="540628"/>
    <n v="722"/>
    <n v="2898659"/>
    <n v="27778.95"/>
    <n v="25.2"/>
    <n v="35.265240640000002"/>
    <n v="7"/>
    <n v="603022"/>
    <n v="778404"/>
    <n v="0"/>
    <n v="1.3153384744440269"/>
    <n v="0.96138482023968042"/>
    <n v="0.40074137090909095"/>
    <n v="0.14285714285714285"/>
    <n v="0"/>
    <n v="241554.91666666666"/>
    <n v="0.11500055715418751"/>
  </r>
  <r>
    <n v="381"/>
    <s v="0a0ed036-ce6b-41a9-b0ee-8db814a85425"/>
    <x v="0"/>
    <x v="1"/>
    <x v="3"/>
    <s v="в ипотеке"/>
    <s v="консолидация кредитов"/>
    <n v="319726"/>
    <n v="749"/>
    <n v="952185"/>
    <n v="17059.91"/>
    <n v="21.2"/>
    <n v="35.265240640000002"/>
    <n v="8"/>
    <n v="299725"/>
    <n v="778140"/>
    <n v="0"/>
    <n v="5.7681336427743569E-2"/>
    <n v="0.99733688415446076"/>
    <n v="0.40074137090909095"/>
    <n v="0.16666666666666666"/>
    <n v="0"/>
    <n v="79348.75"/>
    <n v="0.21499910206524991"/>
  </r>
  <r>
    <n v="1649"/>
    <s v="8b2f90cf-d08b-4b9e-9583-c415a383050d"/>
    <x v="0"/>
    <x v="1"/>
    <x v="1"/>
    <s v="в ипотеке"/>
    <s v="ремонт жилья"/>
    <n v="263714"/>
    <n v="743"/>
    <n v="3416238"/>
    <n v="14547.54"/>
    <n v="13.8"/>
    <n v="35.265240640000002"/>
    <n v="9"/>
    <n v="271966"/>
    <n v="775654"/>
    <n v="0"/>
    <n v="-0.26121071350647185"/>
    <n v="0.98934753661784292"/>
    <n v="0.40074137090909095"/>
    <n v="0.19047619047619047"/>
    <n v="0"/>
    <n v="284686.5"/>
    <n v="5.1100210231254384E-2"/>
  </r>
  <r>
    <n v="1883"/>
    <s v="197faede-c725-430a-bcdb-68c97625af7c"/>
    <x v="0"/>
    <x v="0"/>
    <x v="6"/>
    <s v="в ипотеке"/>
    <s v="консолидация кредитов"/>
    <n v="545006"/>
    <n v="716"/>
    <n v="1331444"/>
    <n v="32842.639999999999"/>
    <n v="22.4"/>
    <n v="35.265240640000002"/>
    <n v="7"/>
    <n v="640642"/>
    <n v="772706"/>
    <n v="0"/>
    <n v="1.3402636582369996"/>
    <n v="0.95339547270306257"/>
    <n v="0.40074137090909095"/>
    <n v="0.14285714285714285"/>
    <n v="0"/>
    <n v="110953.66666666667"/>
    <n v="0.29600319652948226"/>
  </r>
  <r>
    <n v="1662"/>
    <s v="e774b29a-b846-4025-b71f-7085b26d3420"/>
    <x v="0"/>
    <x v="0"/>
    <x v="1"/>
    <s v="в ипотеке"/>
    <s v="консолидация кредитов"/>
    <n v="717794"/>
    <n v="646"/>
    <n v="1549792"/>
    <n v="26346.54"/>
    <n v="22.6"/>
    <n v="76"/>
    <n v="9"/>
    <n v="552577"/>
    <n v="771804"/>
    <n v="0"/>
    <n v="2.3239942788903099"/>
    <n v="0.86018641810918772"/>
    <n v="0.86363636363636365"/>
    <n v="0.19047619047619047"/>
    <n v="0"/>
    <n v="129149.33333333333"/>
    <n v="0.20400058846606514"/>
  </r>
  <r>
    <n v="620"/>
    <s v="3d0ca2af-8ce7-45cf-b804-dc315671e47c"/>
    <x v="0"/>
    <x v="0"/>
    <x v="1"/>
    <s v="в ипотеке"/>
    <s v="консолидация кредитов"/>
    <n v="778712"/>
    <n v="688"/>
    <n v="3842940"/>
    <n v="59565.57"/>
    <n v="25"/>
    <n v="35.265240640000002"/>
    <n v="18"/>
    <n v="548568"/>
    <n v="771782"/>
    <n v="0"/>
    <n v="2.6708175649342385"/>
    <n v="0.91611185086551261"/>
    <n v="0.40074137090909095"/>
    <n v="0.40476190476190477"/>
    <n v="0"/>
    <n v="320245"/>
    <n v="0.186"/>
  </r>
  <r>
    <n v="340"/>
    <s v="0c4d94c3-2e19-4e78-a4f2-bc6e3b40d5cb"/>
    <x v="0"/>
    <x v="1"/>
    <x v="1"/>
    <s v="в ипотеке"/>
    <s v="путешествие"/>
    <n v="112574"/>
    <n v="729"/>
    <n v="1555416"/>
    <n v="10706.5"/>
    <n v="13.7"/>
    <n v="40"/>
    <n v="13"/>
    <n v="86507"/>
    <n v="770440"/>
    <n v="0"/>
    <n v="-1.1216931891734239"/>
    <n v="0.97070572569906788"/>
    <n v="0.45454545454545453"/>
    <n v="0.2857142857142857"/>
    <n v="0"/>
    <n v="129618"/>
    <n v="8.260041043682205E-2"/>
  </r>
  <r>
    <n v="747"/>
    <s v="110c1914-53e0-4639-8773-32d128ca6116"/>
    <x v="0"/>
    <x v="1"/>
    <x v="1"/>
    <s v="в ипотеке"/>
    <s v="консолидация кредитов"/>
    <n v="320078"/>
    <n v="0"/>
    <n v="1168044"/>
    <n v="11364.85"/>
    <n v="19.100000000000001"/>
    <n v="15"/>
    <n v="12"/>
    <n v="393015"/>
    <n v="770000"/>
    <n v="0"/>
    <n v="5.9685371305570535E-2"/>
    <n v="0"/>
    <n v="0.17045454545454544"/>
    <n v="0.26190476190476192"/>
    <n v="0"/>
    <n v="97337"/>
    <n v="0.11675775912551239"/>
  </r>
  <r>
    <n v="1516"/>
    <s v="8cbfe936-992a-436f-b005-6edb06018847"/>
    <x v="1"/>
    <x v="1"/>
    <x v="1"/>
    <s v="в ипотеке"/>
    <s v="консолидация кредитов"/>
    <n v="781088"/>
    <n v="731"/>
    <n v="1541888"/>
    <n v="22999.69"/>
    <n v="20.100000000000001"/>
    <n v="35.265240640000002"/>
    <n v="15"/>
    <n v="477983"/>
    <n v="769758"/>
    <n v="0"/>
    <n v="2.6843448003595705"/>
    <n v="0.97336884154460723"/>
    <n v="0.40074137090909095"/>
    <n v="0.33333333333333331"/>
    <n v="0"/>
    <n v="128490.66666666667"/>
    <n v="0.17899891561514195"/>
  </r>
  <r>
    <n v="684"/>
    <s v="1b643740-54c8-493f-8bfe-b2d1645c3a19"/>
    <x v="0"/>
    <x v="1"/>
    <x v="6"/>
    <s v="в аренде"/>
    <s v="консолидация кредитов"/>
    <n v="341550"/>
    <n v="682"/>
    <n v="823612"/>
    <n v="19149.150000000001"/>
    <n v="11.4"/>
    <n v="36"/>
    <n v="26"/>
    <n v="600153"/>
    <n v="769560"/>
    <n v="0"/>
    <n v="0.18193149885301527"/>
    <n v="0.90812250332889477"/>
    <n v="0.40909090909090912"/>
    <n v="0.59523809523809523"/>
    <n v="0"/>
    <n v="68634.333333333328"/>
    <n v="0.27900249146442746"/>
  </r>
  <r>
    <n v="636"/>
    <s v="040a5b08-32b2-40db-a2bd-09a0d85e2c75"/>
    <x v="0"/>
    <x v="0"/>
    <x v="1"/>
    <s v="в ипотеке"/>
    <s v="консолидация кредитов"/>
    <n v="231264"/>
    <n v="656"/>
    <n v="433371"/>
    <n v="7078.45"/>
    <n v="16"/>
    <n v="35.265240640000002"/>
    <n v="9"/>
    <n v="331588"/>
    <n v="769428"/>
    <n v="0"/>
    <n v="-0.44595767880614495"/>
    <n v="0.87350199733688416"/>
    <n v="0.40074137090909095"/>
    <n v="0.19047619047619047"/>
    <n v="0"/>
    <n v="36114.25"/>
    <n v="0.19600157832434564"/>
  </r>
  <r>
    <n v="1945"/>
    <s v="96aa1b52-496d-40dd-b2ee-5305559684b6"/>
    <x v="1"/>
    <x v="1"/>
    <x v="3"/>
    <s v="в аренде"/>
    <s v="иное"/>
    <n v="48488"/>
    <n v="683"/>
    <n v="1142166"/>
    <n v="13420.46"/>
    <n v="16.399999999999999"/>
    <n v="29"/>
    <n v="11"/>
    <n v="169803"/>
    <n v="768020"/>
    <n v="0"/>
    <n v="-1.4865527891177954"/>
    <n v="0.9094540612516645"/>
    <n v="0.32954545454545453"/>
    <n v="0.23809523809523808"/>
    <n v="0"/>
    <n v="95180.5"/>
    <n v="0.1410000998103603"/>
  </r>
  <r>
    <n v="346"/>
    <s v="271886d9-a9f9-4d48-b335-c6386e852408"/>
    <x v="1"/>
    <x v="1"/>
    <x v="8"/>
    <s v="в собственности"/>
    <s v="иное"/>
    <n v="261910"/>
    <n v="675"/>
    <n v="1438509"/>
    <n v="24334.82"/>
    <n v="15.6"/>
    <n v="35.265240640000002"/>
    <n v="9"/>
    <n v="74214"/>
    <n v="767272"/>
    <n v="1"/>
    <n v="-0.27148139225533502"/>
    <n v="0.89880159786950731"/>
    <n v="0.40074137090909095"/>
    <n v="0.19047619047619047"/>
    <n v="0.14285714285714285"/>
    <n v="119875.75"/>
    <n v="0.20300035661924951"/>
  </r>
  <r>
    <n v="1291"/>
    <s v="b8720b8a-10df-4c9c-b499-021a8cb9dd5d"/>
    <x v="0"/>
    <x v="0"/>
    <x v="1"/>
    <s v="в ипотеке"/>
    <s v="ремонт жилья"/>
    <n v="234102"/>
    <n v="715"/>
    <n v="1097516"/>
    <n v="20121"/>
    <n v="18.399999999999999"/>
    <n v="67"/>
    <n v="12"/>
    <n v="469015"/>
    <n v="767052"/>
    <n v="1"/>
    <n v="-0.42980014760366508"/>
    <n v="0.95206391478029295"/>
    <n v="0.76136363636363635"/>
    <n v="0.26190476190476192"/>
    <n v="0.14285714285714285"/>
    <n v="91459.666666666672"/>
    <n v="0.21999861505435911"/>
  </r>
  <r>
    <n v="1919"/>
    <s v="66ed9248-b192-4286-8b87-13fe055cdf92"/>
    <x v="0"/>
    <x v="1"/>
    <x v="0"/>
    <s v="в ипотеке"/>
    <s v="консолидация кредитов"/>
    <n v="358688"/>
    <n v="729"/>
    <n v="1161660"/>
    <n v="7783.16"/>
    <n v="23.2"/>
    <n v="12"/>
    <n v="11"/>
    <n v="278882"/>
    <n v="767008"/>
    <n v="0"/>
    <n v="0.2795029469672155"/>
    <n v="0.97070572569906788"/>
    <n v="0.13636363636363635"/>
    <n v="0.23809523809523808"/>
    <n v="0"/>
    <n v="96805"/>
    <n v="8.0400392541707555E-2"/>
  </r>
  <r>
    <n v="1638"/>
    <s v="8f29694d-8b10-433d-908c-f78f736ae40d"/>
    <x v="1"/>
    <x v="0"/>
    <x v="6"/>
    <s v="в ипотеке"/>
    <s v="иное"/>
    <n v="265760"/>
    <n v="711"/>
    <n v="994612"/>
    <n v="15002.21"/>
    <n v="34.200000000000003"/>
    <n v="11"/>
    <n v="10"/>
    <n v="350854"/>
    <n v="766502"/>
    <n v="0"/>
    <n v="-0.24956226077910262"/>
    <n v="0.94673768308921435"/>
    <n v="0.125"/>
    <n v="0.21428571428571427"/>
    <n v="0"/>
    <n v="82884.333333333328"/>
    <n v="0.1810017574692443"/>
  </r>
  <r>
    <n v="1346"/>
    <s v="804213f4-73b3-49d4-9f6b-cd8bfa09d279"/>
    <x v="0"/>
    <x v="1"/>
    <x v="1"/>
    <s v="в ипотеке"/>
    <s v="консолидация кредитов"/>
    <n v="257444"/>
    <n v="739"/>
    <n v="1037609"/>
    <n v="17985.400000000001"/>
    <n v="29.1"/>
    <n v="63"/>
    <n v="9"/>
    <n v="191710"/>
    <n v="765468"/>
    <n v="0"/>
    <n v="-0.29690758476776463"/>
    <n v="0.98402130492676432"/>
    <n v="0.71590909090909094"/>
    <n v="0.19047619047619047"/>
    <n v="0"/>
    <n v="86467.416666666672"/>
    <n v="0.20800205086887258"/>
  </r>
  <r>
    <n v="1364"/>
    <s v="baff779b-6db6-4aa4-ae9e-612f8cd9965a"/>
    <x v="0"/>
    <x v="1"/>
    <x v="1"/>
    <s v="в аренде"/>
    <s v="консолидация кредитов"/>
    <n v="173338"/>
    <n v="0"/>
    <n v="1168044"/>
    <n v="19703.38"/>
    <n v="17.399999999999999"/>
    <n v="12"/>
    <n v="10"/>
    <n v="479902"/>
    <n v="765402"/>
    <n v="0"/>
    <n v="-0.77574666838854456"/>
    <n v="0"/>
    <n v="0.13636363636363635"/>
    <n v="0.21428571428571427"/>
    <n v="0"/>
    <n v="97337"/>
    <n v="0.20242436072613704"/>
  </r>
  <r>
    <n v="926"/>
    <s v="d7d34b76-a9ea-40e8-a9bc-9075e9df4361"/>
    <x v="0"/>
    <x v="1"/>
    <x v="7"/>
    <s v="в ипотеке"/>
    <s v="консолидация кредитов"/>
    <n v="335808"/>
    <n v="0"/>
    <n v="1168044"/>
    <n v="14210.86"/>
    <n v="17.7"/>
    <n v="35.265240640000002"/>
    <n v="11"/>
    <n v="376599"/>
    <n v="765006"/>
    <n v="0"/>
    <n v="0.14924067990846293"/>
    <n v="0"/>
    <n v="0.40074137090909095"/>
    <n v="0.23809523809523808"/>
    <n v="0"/>
    <n v="97337"/>
    <n v="0.14599648643373025"/>
  </r>
  <r>
    <n v="1645"/>
    <s v="dd151820-42c3-401b-aae1-c49ced57a6ba"/>
    <x v="0"/>
    <x v="1"/>
    <x v="10"/>
    <s v="в ипотеке"/>
    <s v="консолидация кредитов"/>
    <n v="74272"/>
    <n v="740"/>
    <n v="1072303"/>
    <n v="10186.85"/>
    <n v="27.2"/>
    <n v="35.265240640000002"/>
    <n v="9"/>
    <n v="160854"/>
    <n v="763290"/>
    <n v="1"/>
    <n v="-1.3397572343169704"/>
    <n v="0.98535286284953394"/>
    <n v="0.40074137090909095"/>
    <n v="0.19047619047619047"/>
    <n v="0.14285714285714285"/>
    <n v="89358.583333333328"/>
    <n v="0.11399968106029733"/>
  </r>
  <r>
    <n v="1156"/>
    <s v="12213715-551a-4afd-9a27-7ba91a2dc460"/>
    <x v="0"/>
    <x v="0"/>
    <x v="1"/>
    <s v="в собственности"/>
    <s v="консолидация кредитов"/>
    <n v="758450"/>
    <n v="723"/>
    <n v="2245800"/>
    <n v="20960.8"/>
    <n v="18.2"/>
    <n v="35.265240640000002"/>
    <n v="7"/>
    <n v="641725"/>
    <n v="762872"/>
    <n v="0"/>
    <n v="2.5554603072793243"/>
    <n v="0.96271637816245004"/>
    <n v="0.40074137090909095"/>
    <n v="0.14285714285714285"/>
    <n v="0"/>
    <n v="187150"/>
    <n v="0.112"/>
  </r>
  <r>
    <n v="1803"/>
    <s v="bf87fb55-da6c-4fc8-ad65-56ccb8aae0f8"/>
    <x v="0"/>
    <x v="0"/>
    <x v="4"/>
    <s v="в ипотеке"/>
    <s v="консолидация кредитов"/>
    <n v="660132"/>
    <n v="714"/>
    <n v="1520304"/>
    <n v="30532.81"/>
    <n v="12.6"/>
    <n v="78"/>
    <n v="11"/>
    <n v="430559"/>
    <n v="761112"/>
    <n v="0"/>
    <n v="1.9957083154662807"/>
    <n v="0.95073235685752333"/>
    <n v="0.88636363636363635"/>
    <n v="0.23809523809523808"/>
    <n v="0"/>
    <n v="126692"/>
    <n v="0.24100029994001201"/>
  </r>
  <r>
    <n v="1249"/>
    <s v="09551bce-da2c-4512-b811-6c32a07c11c8"/>
    <x v="0"/>
    <x v="0"/>
    <x v="10"/>
    <s v="в ипотеке"/>
    <s v="консолидация кредитов"/>
    <n v="263714"/>
    <n v="717"/>
    <n v="4744775"/>
    <n v="72357.89"/>
    <n v="34.5"/>
    <n v="55"/>
    <n v="10"/>
    <n v="594738"/>
    <n v="760078"/>
    <n v="0"/>
    <n v="-0.26121071350647185"/>
    <n v="0.9547270306258322"/>
    <n v="0.625"/>
    <n v="0.21428571428571427"/>
    <n v="0"/>
    <n v="395397.91666666669"/>
    <n v="0.18300018019821804"/>
  </r>
  <r>
    <n v="1414"/>
    <s v="726e50be-3ae4-43c4-bd59-cdc406a8b056"/>
    <x v="1"/>
    <x v="1"/>
    <x v="1"/>
    <s v="в собственности"/>
    <s v="иное"/>
    <n v="67562"/>
    <n v="0"/>
    <n v="1168044"/>
    <n v="5055.33"/>
    <n v="23.1"/>
    <n v="13"/>
    <n v="15"/>
    <n v="243333"/>
    <n v="759418"/>
    <n v="0"/>
    <n v="-1.3779591491755467"/>
    <n v="0"/>
    <n v="0.14772727272727273"/>
    <n v="0.33333333333333331"/>
    <n v="0"/>
    <n v="97337"/>
    <n v="5.1936365410892055E-2"/>
  </r>
  <r>
    <n v="310"/>
    <s v="1ccd46bb-adc7-4676-a406-f3eeb3dbb284"/>
    <x v="0"/>
    <x v="1"/>
    <x v="3"/>
    <s v="в аренде"/>
    <s v="приобретение автомобиля"/>
    <n v="130328"/>
    <n v="740"/>
    <n v="1707207"/>
    <n v="12647.73"/>
    <n v="23"/>
    <n v="35.265240640000002"/>
    <n v="12"/>
    <n v="445721"/>
    <n v="757834"/>
    <n v="0"/>
    <n v="-1.0206146800230265"/>
    <n v="0.98535286284953394"/>
    <n v="0.40074137090909095"/>
    <n v="0.26190476190476192"/>
    <n v="0"/>
    <n v="142267.25"/>
    <n v="8.8901205301993247E-2"/>
  </r>
  <r>
    <n v="915"/>
    <s v="0bdbef7d-e8ed-4e96-977d-e038a137e597"/>
    <x v="0"/>
    <x v="0"/>
    <x v="10"/>
    <s v="в ипотеке"/>
    <s v="ремонт жилья"/>
    <n v="309594.52439999999"/>
    <n v="701"/>
    <n v="2508095"/>
    <n v="32396.33"/>
    <n v="14.4"/>
    <n v="47"/>
    <n v="16"/>
    <n v="432060"/>
    <n v="756866"/>
    <n v="0"/>
    <n v="-1.2411115481956205E-10"/>
    <n v="0.93342210386151803"/>
    <n v="0.53409090909090906"/>
    <n v="0.35714285714285715"/>
    <n v="0"/>
    <n v="209007.91666666666"/>
    <n v="0.15500049240559072"/>
  </r>
  <r>
    <n v="97"/>
    <s v="403bdb3c-e326-4172-9f81-4e6b992cc349"/>
    <x v="0"/>
    <x v="1"/>
    <x v="1"/>
    <s v="в собственности"/>
    <s v="консолидация кредитов"/>
    <n v="158818"/>
    <n v="731"/>
    <n v="315666"/>
    <n v="8522.83"/>
    <n v="31.3"/>
    <n v="60"/>
    <n v="13"/>
    <n v="260072"/>
    <n v="756646"/>
    <n v="2"/>
    <n v="-0.85841310709890672"/>
    <n v="0.97336884154460723"/>
    <n v="0.68181818181818177"/>
    <n v="0.2857142857142857"/>
    <n v="0.2857142857142857"/>
    <n v="26305.5"/>
    <n v="0.32399422174070064"/>
  </r>
  <r>
    <n v="1948"/>
    <s v="a72ce732-1028-40bf-be2d-a92d0ad157bc"/>
    <x v="0"/>
    <x v="1"/>
    <x v="9"/>
    <s v="в ипотеке"/>
    <s v="консолидация кредитов"/>
    <n v="133254"/>
    <n v="0"/>
    <n v="1168044"/>
    <n v="26944.09"/>
    <n v="21.8"/>
    <n v="35.265240640000002"/>
    <n v="7"/>
    <n v="563217"/>
    <n v="756558"/>
    <n v="0"/>
    <n v="-1.0039561401010899"/>
    <n v="0"/>
    <n v="0.40074137090909095"/>
    <n v="0.14285714285714285"/>
    <n v="0"/>
    <n v="97337"/>
    <n v="0.27681241460081984"/>
  </r>
  <r>
    <n v="1738"/>
    <s v="3a1aa0e3-db3a-4d9b-be76-32b37f9bda3b"/>
    <x v="0"/>
    <x v="1"/>
    <x v="1"/>
    <s v="в аренде"/>
    <s v="иное"/>
    <n v="108614"/>
    <n v="701"/>
    <n v="1838345"/>
    <n v="36613.760000000002"/>
    <n v="17.5"/>
    <n v="31"/>
    <n v="19"/>
    <n v="439831"/>
    <n v="755612"/>
    <n v="0"/>
    <n v="-1.1442385815489773"/>
    <n v="0.93342210386151803"/>
    <n v="0.35227272727272729"/>
    <n v="0.42857142857142855"/>
    <n v="0"/>
    <n v="153195.41666666666"/>
    <n v="0.23900036173841149"/>
  </r>
  <r>
    <n v="1332"/>
    <s v="6742cff9-8609-4f27-8de8-be461bde7a04"/>
    <x v="0"/>
    <x v="1"/>
    <x v="1"/>
    <s v="в аренде"/>
    <s v="консолидация кредитов"/>
    <n v="213752"/>
    <n v="747"/>
    <n v="1153794"/>
    <n v="19056.810000000001"/>
    <n v="17"/>
    <n v="19"/>
    <n v="10"/>
    <n v="8474"/>
    <n v="755326"/>
    <n v="0"/>
    <n v="-0.54565841397803638"/>
    <n v="0.9946737683089214"/>
    <n v="0.21590909090909091"/>
    <n v="0.21428571428571427"/>
    <n v="0"/>
    <n v="96149.5"/>
    <n v="0.1981997826301749"/>
  </r>
  <r>
    <n v="608"/>
    <s v="6491a9a1-488c-4d4b-8fd4-cd7362f5b318"/>
    <x v="0"/>
    <x v="1"/>
    <x v="10"/>
    <s v="в ипотеке"/>
    <s v="консолидация кредитов"/>
    <n v="765226"/>
    <n v="726"/>
    <n v="2643508"/>
    <n v="34806.1"/>
    <n v="8.6"/>
    <n v="35.265240640000002"/>
    <n v="9"/>
    <n v="484937"/>
    <n v="754710"/>
    <n v="0"/>
    <n v="2.594037978677493"/>
    <n v="0.96671105193075901"/>
    <n v="0.40074137090909095"/>
    <n v="0.19047619047619047"/>
    <n v="0"/>
    <n v="220292.33333333334"/>
    <n v="0.15799959750452805"/>
  </r>
  <r>
    <n v="741"/>
    <s v="cc698d70-1b24-4b4a-b886-e835a29e22a3"/>
    <x v="0"/>
    <x v="1"/>
    <x v="0"/>
    <s v="в аренде"/>
    <s v="консолидация кредитов"/>
    <n v="225808"/>
    <n v="0"/>
    <n v="1168044"/>
    <n v="5552.18"/>
    <n v="32.1"/>
    <n v="43"/>
    <n v="9"/>
    <n v="189449"/>
    <n v="753786"/>
    <n v="0"/>
    <n v="-0.47702021941246292"/>
    <n v="0"/>
    <n v="0.48863636363636365"/>
    <n v="0.19047619047619047"/>
    <n v="0"/>
    <n v="97337"/>
    <n v="5.704079640835448E-2"/>
  </r>
  <r>
    <n v="1700"/>
    <s v="dfe87834-58da-4fd1-a688-16b7b5c1b8d9"/>
    <x v="1"/>
    <x v="1"/>
    <x v="10"/>
    <s v="в аренде"/>
    <s v="консолидация кредитов"/>
    <n v="324830"/>
    <n v="717"/>
    <n v="709916"/>
    <n v="12955.91"/>
    <n v="13.8"/>
    <n v="0"/>
    <n v="14"/>
    <n v="280421"/>
    <n v="753346"/>
    <n v="0"/>
    <n v="8.6739842156234523E-2"/>
    <n v="0.9547270306258322"/>
    <n v="0"/>
    <n v="0.30952380952380953"/>
    <n v="0"/>
    <n v="59159.666666666664"/>
    <n v="0.21899903650572744"/>
  </r>
  <r>
    <n v="1363"/>
    <s v="a2f53cf0-4be4-4fb3-b256-99715f5310ca"/>
    <x v="1"/>
    <x v="1"/>
    <x v="4"/>
    <s v="в аренде"/>
    <s v="консолидация кредитов"/>
    <n v="261052"/>
    <n v="747"/>
    <n v="2160528"/>
    <n v="24305.94"/>
    <n v="20.399999999999999"/>
    <n v="50"/>
    <n v="23"/>
    <n v="160265"/>
    <n v="751322"/>
    <n v="0"/>
    <n v="-0.27636622727003829"/>
    <n v="0.9946737683089214"/>
    <n v="0.56818181818181823"/>
    <n v="0.52380952380952384"/>
    <n v="0"/>
    <n v="180044"/>
    <n v="0.13499999999999998"/>
  </r>
  <r>
    <n v="1226"/>
    <s v="d65533b4-2903-440e-8934-dbdf0e26fc88"/>
    <x v="0"/>
    <x v="0"/>
    <x v="1"/>
    <s v="в ипотеке"/>
    <s v="консолидация кредитов"/>
    <n v="467324"/>
    <n v="723"/>
    <n v="1326086"/>
    <n v="12266.21"/>
    <n v="14.4"/>
    <n v="35.265240640000002"/>
    <n v="7"/>
    <n v="410761"/>
    <n v="750178"/>
    <n v="0"/>
    <n v="0.89799821113656186"/>
    <n v="0.96271637816245004"/>
    <n v="0.40074137090909095"/>
    <n v="0.14285714285714285"/>
    <n v="0"/>
    <n v="110507.16666666667"/>
    <n v="0.11099922629452387"/>
  </r>
  <r>
    <n v="3"/>
    <s v="5efb2b2b-bf11-4dfd-a572-3761a2694725"/>
    <x v="0"/>
    <x v="1"/>
    <x v="10"/>
    <s v="в собственности"/>
    <s v="консолидация кредитов"/>
    <n v="309594.52439999999"/>
    <n v="741"/>
    <n v="2231892"/>
    <n v="29200.53"/>
    <n v="14.9"/>
    <n v="29"/>
    <n v="18"/>
    <n v="297996"/>
    <n v="750090"/>
    <n v="1"/>
    <n v="-1.2411115481956205E-10"/>
    <n v="0.98668442077230356"/>
    <n v="0.32954545454545453"/>
    <n v="0.40476190476190477"/>
    <n v="0.14285714285714285"/>
    <n v="185991"/>
    <n v="0.15699969353355808"/>
  </r>
  <r>
    <n v="780"/>
    <s v="5fdf69f6-b95f-4247-afe5-314efffc8bee"/>
    <x v="0"/>
    <x v="1"/>
    <x v="1"/>
    <s v="в ипотеке"/>
    <s v="консолидация кредитов"/>
    <n v="336732"/>
    <n v="738"/>
    <n v="1970072"/>
    <n v="35789.54"/>
    <n v="14.6"/>
    <n v="35.265240640000002"/>
    <n v="14"/>
    <n v="464987"/>
    <n v="749892"/>
    <n v="0"/>
    <n v="0.15450127146275872"/>
    <n v="0.9826897470039947"/>
    <n v="0.40074137090909095"/>
    <n v="0.30952380952380953"/>
    <n v="0"/>
    <n v="164172.66666666666"/>
    <n v="0.21799938276367567"/>
  </r>
  <r>
    <n v="362"/>
    <s v="5f8d13d9-fc42-491d-beb7-6872bb2e8b8e"/>
    <x v="0"/>
    <x v="1"/>
    <x v="7"/>
    <s v="в аренде"/>
    <s v="консолидация кредитов"/>
    <n v="309594.52439999999"/>
    <n v="743"/>
    <n v="2688462"/>
    <n v="32037.42"/>
    <n v="20.5"/>
    <n v="34"/>
    <n v="14"/>
    <n v="198094"/>
    <n v="749606"/>
    <n v="0"/>
    <n v="-1.2411115481956205E-10"/>
    <n v="0.98934753661784292"/>
    <n v="0.38636363636363635"/>
    <n v="0.30952380952380953"/>
    <n v="0"/>
    <n v="224038.5"/>
    <n v="0.14299961836916422"/>
  </r>
  <r>
    <n v="1344"/>
    <s v="be208dcb-f79d-44b2-9f69-75589499372c"/>
    <x v="0"/>
    <x v="1"/>
    <x v="2"/>
    <s v="в аренде"/>
    <s v="консолидация кредитов"/>
    <n v="352396"/>
    <n v="699"/>
    <n v="1141254"/>
    <n v="19972.04"/>
    <n v="13.4"/>
    <n v="35.265240640000002"/>
    <n v="5"/>
    <n v="530309"/>
    <n v="746988"/>
    <n v="0"/>
    <n v="0.24368082352605855"/>
    <n v="0.93075898801597867"/>
    <n v="0.40074137090909095"/>
    <n v="9.5238095238095233E-2"/>
    <n v="0"/>
    <n v="95104.5"/>
    <n v="0.21000099890120869"/>
  </r>
  <r>
    <n v="524"/>
    <s v="986a9a6c-4577-46b4-8efc-79ea23c2fec5"/>
    <x v="0"/>
    <x v="1"/>
    <x v="1"/>
    <s v="в аренде"/>
    <s v="консолидация кредитов"/>
    <n v="682858"/>
    <n v="0"/>
    <n v="1168044"/>
    <n v="33470.400000000001"/>
    <n v="29.5"/>
    <n v="35"/>
    <n v="7"/>
    <n v="482771"/>
    <n v="746306"/>
    <n v="0"/>
    <n v="2.1250938172659839"/>
    <n v="0"/>
    <n v="0.39772727272727271"/>
    <n v="0.14285714285714285"/>
    <n v="0"/>
    <n v="97337"/>
    <n v="0.34386101893421822"/>
  </r>
  <r>
    <n v="449"/>
    <s v="39b4e50e-b907-42c4-9741-322c29dbe476"/>
    <x v="0"/>
    <x v="1"/>
    <x v="1"/>
    <s v="в ипотеке"/>
    <s v="консолидация кредитов"/>
    <n v="429000"/>
    <n v="746"/>
    <n v="926250"/>
    <n v="27015.53"/>
    <n v="28.5"/>
    <n v="35.265240640000002"/>
    <n v="8"/>
    <n v="473708"/>
    <n v="746240"/>
    <n v="0"/>
    <n v="0.67980891381315123"/>
    <n v="0.99334221038615178"/>
    <n v="0.40074137090909095"/>
    <n v="0.16666666666666666"/>
    <n v="0"/>
    <n v="77187.5"/>
    <n v="0.34999876923076922"/>
  </r>
  <r>
    <n v="1777"/>
    <s v="04e5927e-4063-4b87-96bc-b0926869c8dd"/>
    <x v="1"/>
    <x v="1"/>
    <x v="3"/>
    <s v="в аренде"/>
    <s v="иное"/>
    <n v="105248"/>
    <n v="652"/>
    <n v="1117181"/>
    <n v="31560.52"/>
    <n v="15"/>
    <n v="35.265240640000002"/>
    <n v="25"/>
    <n v="403180"/>
    <n v="745734"/>
    <n v="0"/>
    <n v="-1.1634021650681976"/>
    <n v="0.86817576564580556"/>
    <n v="0.40074137090909095"/>
    <n v="0.5714285714285714"/>
    <n v="0"/>
    <n v="93098.416666666672"/>
    <n v="0.33900168370210376"/>
  </r>
  <r>
    <n v="317"/>
    <s v="58fe46dc-0b80-43db-8df9-80b7fb75924d"/>
    <x v="1"/>
    <x v="1"/>
    <x v="0"/>
    <s v="в ипотеке"/>
    <s v="консолидация кредитов"/>
    <n v="242616"/>
    <n v="0"/>
    <n v="1168044"/>
    <n v="41396.25"/>
    <n v="18"/>
    <n v="35.265240640000002"/>
    <n v="9"/>
    <n v="522690"/>
    <n v="745338"/>
    <n v="0"/>
    <n v="-0.38132755399622542"/>
    <n v="0"/>
    <n v="0.40074137090909095"/>
    <n v="0.19047619047619047"/>
    <n v="0"/>
    <n v="97337"/>
    <n v="0.42528791723599452"/>
  </r>
  <r>
    <n v="1293"/>
    <s v="1a38d11c-9698-4695-9070-f8d818a9c6dd"/>
    <x v="0"/>
    <x v="1"/>
    <x v="10"/>
    <s v="в ипотеке"/>
    <s v="консолидация кредитов"/>
    <n v="198484"/>
    <n v="743"/>
    <n v="952280"/>
    <n v="15633.2"/>
    <n v="17"/>
    <n v="18"/>
    <n v="15"/>
    <n v="277856"/>
    <n v="744744"/>
    <n v="0"/>
    <n v="-0.63258342680378088"/>
    <n v="0.98934753661784292"/>
    <n v="0.20454545454545456"/>
    <n v="0.33333333333333331"/>
    <n v="0"/>
    <n v="79356.666666666672"/>
    <n v="0.19699920191540302"/>
  </r>
  <r>
    <n v="67"/>
    <s v="0c0f26c2-c4c9-4f63-ae6c-1895438c6966"/>
    <x v="0"/>
    <x v="0"/>
    <x v="8"/>
    <s v="в ипотеке"/>
    <s v="консолидация кредитов"/>
    <n v="323466"/>
    <n v="699"/>
    <n v="2048618"/>
    <n v="27997.64"/>
    <n v="14"/>
    <n v="72"/>
    <n v="19"/>
    <n v="389994"/>
    <n v="743952"/>
    <n v="1"/>
    <n v="7.8974207004655045E-2"/>
    <n v="0.93075898801597867"/>
    <n v="0.81818181818181823"/>
    <n v="0.42857142857142855"/>
    <n v="0.14285714285714285"/>
    <n v="170718.16666666666"/>
    <n v="0.16399918384003265"/>
  </r>
  <r>
    <n v="946"/>
    <s v="887c4c97-0da1-44ca-872d-53c0c0ba04f3"/>
    <x v="0"/>
    <x v="1"/>
    <x v="3"/>
    <s v="в ипотеке"/>
    <s v="консолидация кредитов"/>
    <n v="120670"/>
    <n v="742"/>
    <n v="654227"/>
    <n v="6324.15"/>
    <n v="18.3"/>
    <n v="35.265240640000002"/>
    <n v="8"/>
    <n v="282701"/>
    <n v="743952"/>
    <n v="0"/>
    <n v="-1.0756003869834039"/>
    <n v="0.98801597869507318"/>
    <n v="0.40074137090909095"/>
    <n v="0.16666666666666666"/>
    <n v="0"/>
    <n v="54518.916666666664"/>
    <n v="0.11599918682659077"/>
  </r>
  <r>
    <n v="1637"/>
    <s v="b33e028b-37e2-4b60-8348-a57a9ae8ef42"/>
    <x v="0"/>
    <x v="1"/>
    <x v="3"/>
    <s v="в аренде"/>
    <s v="консолидация кредитов"/>
    <n v="309594.52439999999"/>
    <n v="730"/>
    <n v="758328"/>
    <n v="9416.02"/>
    <n v="12.7"/>
    <n v="14"/>
    <n v="21"/>
    <n v="147079"/>
    <n v="743666"/>
    <n v="0"/>
    <n v="-1.2411115481956205E-10"/>
    <n v="0.9720372836218375"/>
    <n v="0.15909090909090909"/>
    <n v="0.47619047619047616"/>
    <n v="0"/>
    <n v="63194"/>
    <n v="0.14900180396873122"/>
  </r>
  <r>
    <n v="160"/>
    <s v="7e1c0a75-f49e-4a18-aa19-260ff92b57df"/>
    <x v="0"/>
    <x v="1"/>
    <x v="8"/>
    <s v="в аренде"/>
    <s v="консолидация кредитов"/>
    <n v="254562"/>
    <n v="738"/>
    <n v="669123"/>
    <n v="13549.66"/>
    <n v="17.5"/>
    <n v="35.265240640000002"/>
    <n v="13"/>
    <n v="261383"/>
    <n v="743600"/>
    <n v="0"/>
    <n v="-0.3133156203299729"/>
    <n v="0.9826897470039947"/>
    <n v="0.40074137090909095"/>
    <n v="0.2857142857142857"/>
    <n v="0"/>
    <n v="55760.25"/>
    <n v="0.24299855183576113"/>
  </r>
  <r>
    <n v="1036"/>
    <s v="3d2d4c23-a350-43f2-a0ef-97db8d22aea4"/>
    <x v="0"/>
    <x v="1"/>
    <x v="6"/>
    <s v="в аренде"/>
    <s v="консолидация кредитов"/>
    <n v="267608"/>
    <n v="0"/>
    <n v="1168044"/>
    <n v="49354.59"/>
    <n v="16.2"/>
    <n v="16"/>
    <n v="12"/>
    <n v="374224"/>
    <n v="743270"/>
    <n v="0"/>
    <n v="-0.23904107767051108"/>
    <n v="0"/>
    <n v="0.18181818181818182"/>
    <n v="0.26190476190476192"/>
    <n v="0"/>
    <n v="97337"/>
    <n v="0.50704860433339838"/>
  </r>
  <r>
    <n v="579"/>
    <s v="3878d3e2-a8d8-400d-8ae2-5b460d609913"/>
    <x v="0"/>
    <x v="0"/>
    <x v="5"/>
    <s v="в аренде"/>
    <s v="консолидация кредитов"/>
    <n v="304062"/>
    <n v="636"/>
    <n v="2344600"/>
    <n v="9163.51"/>
    <n v="14.8"/>
    <n v="21"/>
    <n v="15"/>
    <n v="440838"/>
    <n v="743006"/>
    <n v="0"/>
    <n v="-3.1498215635556263E-2"/>
    <n v="0.84687083888149139"/>
    <n v="0.23863636363636365"/>
    <n v="0.33333333333333331"/>
    <n v="0"/>
    <n v="195383.33333333334"/>
    <n v="4.6900162074554295E-2"/>
  </r>
  <r>
    <n v="66"/>
    <s v="88f97adf-070a-47b1-9657-38276eef7d19"/>
    <x v="1"/>
    <x v="0"/>
    <x v="8"/>
    <s v="в ипотеке"/>
    <s v="консолидация кредитов"/>
    <n v="523908"/>
    <n v="737"/>
    <n v="1028774"/>
    <n v="22632.99"/>
    <n v="19.3"/>
    <n v="35.265240640000002"/>
    <n v="5"/>
    <n v="474658"/>
    <n v="742720"/>
    <n v="0"/>
    <n v="1.2201468177472461"/>
    <n v="0.98135818908122507"/>
    <n v="0.40074137090909095"/>
    <n v="9.5238095238095233E-2"/>
    <n v="0"/>
    <n v="85731.166666666672"/>
    <n v="0.26399955675396153"/>
  </r>
  <r>
    <n v="1870"/>
    <s v="c33ac172-49f7-4766-8e8c-858621ab4f33"/>
    <x v="0"/>
    <x v="1"/>
    <x v="7"/>
    <s v="в ипотеке"/>
    <s v="консолидация кредитов"/>
    <n v="772024"/>
    <n v="723"/>
    <n v="2908748"/>
    <n v="34662.65"/>
    <n v="12"/>
    <n v="35.265240640000002"/>
    <n v="17"/>
    <n v="572812"/>
    <n v="741070"/>
    <n v="1"/>
    <n v="2.6327409022555264"/>
    <n v="0.96271637816245004"/>
    <n v="0.40074137090909095"/>
    <n v="0.38095238095238093"/>
    <n v="0.14285714285714285"/>
    <n v="242395.66666666666"/>
    <n v="0.14300028740887832"/>
  </r>
  <r>
    <n v="1343"/>
    <s v="2434920b-19e0-4d33-b293-5186f5c88e2e"/>
    <x v="0"/>
    <x v="1"/>
    <x v="5"/>
    <s v="в ипотеке"/>
    <s v="иное"/>
    <n v="309594.52439999999"/>
    <n v="738"/>
    <n v="2228586"/>
    <n v="15804.39"/>
    <n v="19.600000000000001"/>
    <n v="35.265240640000002"/>
    <n v="11"/>
    <n v="168207"/>
    <n v="740542"/>
    <n v="0"/>
    <n v="-1.2411115481956205E-10"/>
    <n v="0.9826897470039947"/>
    <n v="0.40074137090909095"/>
    <n v="0.23809523809523808"/>
    <n v="0"/>
    <n v="185715.5"/>
    <n v="8.5100005115351166E-2"/>
  </r>
  <r>
    <n v="365"/>
    <s v="bf7c49ea-940b-4958-8f60-55f45c3d57c8"/>
    <x v="0"/>
    <x v="1"/>
    <x v="9"/>
    <s v="в аренде"/>
    <s v="консолидация кредитов"/>
    <n v="309594.52439999999"/>
    <n v="738"/>
    <n v="992256"/>
    <n v="15793.37"/>
    <n v="18.2"/>
    <n v="14"/>
    <n v="11"/>
    <n v="348878"/>
    <n v="738496"/>
    <n v="0"/>
    <n v="-1.2411115481956205E-10"/>
    <n v="0.9826897470039947"/>
    <n v="0.15909090909090909"/>
    <n v="0.23809523809523808"/>
    <n v="0"/>
    <n v="82688"/>
    <n v="0.19099954044117648"/>
  </r>
  <r>
    <n v="1154"/>
    <s v="2719fe1b-0ab4-4dfe-9a9e-69bfa365cbbd"/>
    <x v="0"/>
    <x v="1"/>
    <x v="4"/>
    <s v="в аренде"/>
    <s v="консолидация кредитов"/>
    <n v="201146"/>
    <n v="702"/>
    <n v="778297"/>
    <n v="16279.2"/>
    <n v="10"/>
    <n v="35.265240640000002"/>
    <n v="14"/>
    <n v="350512"/>
    <n v="737924"/>
    <n v="0"/>
    <n v="-0.61742791304021449"/>
    <n v="0.93475366178428765"/>
    <n v="0.40074137090909095"/>
    <n v="0.30952380952380953"/>
    <n v="0"/>
    <n v="64858.083333333336"/>
    <n v="0.25099724141298246"/>
  </r>
  <r>
    <n v="1772"/>
    <s v="d25bc86d-2a6f-4853-b064-ec966a73ceff"/>
    <x v="0"/>
    <x v="1"/>
    <x v="6"/>
    <s v="в аренде"/>
    <s v="иное"/>
    <n v="267388"/>
    <n v="745"/>
    <n v="2309184"/>
    <n v="20205.36"/>
    <n v="9.8000000000000007"/>
    <n v="35.265240640000002"/>
    <n v="12"/>
    <n v="80940"/>
    <n v="737924"/>
    <n v="0"/>
    <n v="-0.24029359946915294"/>
    <n v="0.99201065246338216"/>
    <n v="0.40074137090909095"/>
    <n v="0.26190476190476192"/>
    <n v="0"/>
    <n v="192432"/>
    <n v="0.105"/>
  </r>
  <r>
    <n v="1274"/>
    <s v="1cc6e22c-5007-408e-ad2d-eed48279474a"/>
    <x v="0"/>
    <x v="1"/>
    <x v="1"/>
    <s v="в собственности"/>
    <s v="консолидация кредитов"/>
    <n v="108174"/>
    <n v="750"/>
    <n v="1603144"/>
    <n v="10580.72"/>
    <n v="37.799999999999997"/>
    <n v="35.265240640000002"/>
    <n v="7"/>
    <n v="35017"/>
    <n v="737154"/>
    <n v="0"/>
    <n v="-1.146743625146261"/>
    <n v="0.99866844207723038"/>
    <n v="0.40074137090909095"/>
    <n v="0.14285714285714285"/>
    <n v="0"/>
    <n v="133595.33333333334"/>
    <n v="7.9199772447141353E-2"/>
  </r>
  <r>
    <n v="1499"/>
    <s v="b1c51dbc-523f-466a-a72c-c18d0d619b84"/>
    <x v="1"/>
    <x v="0"/>
    <x v="10"/>
    <s v="в ипотеке"/>
    <s v="консолидация кредитов"/>
    <n v="492536"/>
    <n v="693"/>
    <n v="1070707"/>
    <n v="21146.43"/>
    <n v="19.8"/>
    <n v="10"/>
    <n v="14"/>
    <n v="479845"/>
    <n v="736890"/>
    <n v="0"/>
    <n v="1.0415372092609181"/>
    <n v="0.92276964047936083"/>
    <n v="0.11363636363636363"/>
    <n v="0.30952380952380953"/>
    <n v="0"/>
    <n v="89225.583333333328"/>
    <n v="0.23699962734903202"/>
  </r>
  <r>
    <n v="1039"/>
    <s v="ea3c5f6d-1d77-4d32-89ff-d31291001e7e"/>
    <x v="1"/>
    <x v="0"/>
    <x v="0"/>
    <s v="в ипотеке"/>
    <s v="бизнес"/>
    <n v="481470"/>
    <n v="722"/>
    <n v="717630"/>
    <n v="13850.43"/>
    <n v="18.5"/>
    <n v="35.265240640000002"/>
    <n v="13"/>
    <n v="326097"/>
    <n v="733172"/>
    <n v="0"/>
    <n v="0.97853536278923292"/>
    <n v="0.96138482023968042"/>
    <n v="0.40074137090909095"/>
    <n v="0.2857142857142857"/>
    <n v="0"/>
    <n v="59802.5"/>
    <n v="0.23160285941223194"/>
  </r>
  <r>
    <n v="1133"/>
    <s v="7e4f7f54-1d18-425c-aa67-8e40fd4b38a2"/>
    <x v="0"/>
    <x v="1"/>
    <x v="1"/>
    <s v="в ипотеке"/>
    <s v="консолидация кредитов"/>
    <n v="336798"/>
    <n v="691"/>
    <n v="1260441"/>
    <n v="13129.57"/>
    <n v="39.4"/>
    <n v="38"/>
    <n v="18"/>
    <n v="124089"/>
    <n v="733062"/>
    <n v="0"/>
    <n v="0.15487702800235126"/>
    <n v="0.92010652463382159"/>
    <n v="0.43181818181818182"/>
    <n v="0.40476190476190477"/>
    <n v="0"/>
    <n v="105036.75"/>
    <n v="0.12499977388866278"/>
  </r>
  <r>
    <n v="1863"/>
    <s v="167f6b3b-11c3-424f-b2e7-8765fb05e6a2"/>
    <x v="0"/>
    <x v="1"/>
    <x v="8"/>
    <s v="в аренде"/>
    <s v="иное"/>
    <n v="262284"/>
    <n v="738"/>
    <n v="1653589"/>
    <n v="19705.09"/>
    <n v="9.3000000000000007"/>
    <n v="35.265240640000002"/>
    <n v="10"/>
    <n v="389804"/>
    <n v="732710"/>
    <n v="0"/>
    <n v="-0.26935210519764391"/>
    <n v="0.9826897470039947"/>
    <n v="0.40074137090909095"/>
    <n v="0.21428571428571427"/>
    <n v="0"/>
    <n v="137799.08333333334"/>
    <n v="0.14299870161206926"/>
  </r>
  <r>
    <n v="417"/>
    <s v="ceeff234-9aa8-494f-9935-e1a963b27960"/>
    <x v="0"/>
    <x v="1"/>
    <x v="9"/>
    <s v="в аренде"/>
    <s v="консолидация кредитов"/>
    <n v="500302"/>
    <n v="0"/>
    <n v="1168044"/>
    <n v="13520.59"/>
    <n v="15"/>
    <n v="35.265240640000002"/>
    <n v="8"/>
    <n v="232142"/>
    <n v="732424"/>
    <n v="0"/>
    <n v="1.0857512287529754"/>
    <n v="0"/>
    <n v="0.40074137090909095"/>
    <n v="0.16666666666666666"/>
    <n v="0"/>
    <n v="97337"/>
    <n v="0.13890493851259028"/>
  </r>
  <r>
    <n v="333"/>
    <s v="ffbd01e5-5886-47fa-82e7-0c29cb14f30f"/>
    <x v="0"/>
    <x v="1"/>
    <x v="8"/>
    <s v="в ипотеке"/>
    <s v="консолидация кредитов"/>
    <n v="309594.52439999999"/>
    <n v="704"/>
    <n v="1160862"/>
    <n v="25442.14"/>
    <n v="14.8"/>
    <n v="13"/>
    <n v="9"/>
    <n v="607202"/>
    <n v="730092"/>
    <n v="0"/>
    <n v="-1.2411115481956205E-10"/>
    <n v="0.93741677762982689"/>
    <n v="0.14772727272727273"/>
    <n v="0.19047619047619047"/>
    <n v="0"/>
    <n v="96738.5"/>
    <n v="0.2629991161740155"/>
  </r>
  <r>
    <n v="1043"/>
    <s v="53b0f0d1-f02e-4e23-8f8d-389313b665d3"/>
    <x v="1"/>
    <x v="0"/>
    <x v="1"/>
    <s v="в ипотеке"/>
    <s v="консолидация кредитов"/>
    <n v="769230"/>
    <n v="738"/>
    <n v="2694257"/>
    <n v="10081.02"/>
    <n v="27.1"/>
    <n v="38"/>
    <n v="6"/>
    <n v="210349"/>
    <n v="727056"/>
    <n v="0"/>
    <n v="2.6168338754127749"/>
    <n v="0.9826897470039947"/>
    <n v="0.43181818181818182"/>
    <n v="0.11904761904761904"/>
    <n v="0"/>
    <n v="224521.41666666666"/>
    <n v="4.4900037375796002E-2"/>
  </r>
  <r>
    <n v="407"/>
    <s v="314a1015-c9e0-4fd1-bc2f-f210436d1a62"/>
    <x v="1"/>
    <x v="0"/>
    <x v="1"/>
    <s v="в ипотеке"/>
    <s v="ремонт жилья"/>
    <n v="539176"/>
    <n v="712"/>
    <n v="1154801"/>
    <n v="14338.54"/>
    <n v="13.9"/>
    <n v="35.265240640000002"/>
    <n v="7"/>
    <n v="256025"/>
    <n v="726594"/>
    <n v="0"/>
    <n v="1.3070718305729905"/>
    <n v="0.94806924101198398"/>
    <n v="0.40074137090909095"/>
    <n v="0.14285714285714285"/>
    <n v="0"/>
    <n v="96233.416666666672"/>
    <n v="0.14899751558926602"/>
  </r>
  <r>
    <n v="1271"/>
    <s v="8b7827e2-15a3-451c-8f4f-17858c5e81fc"/>
    <x v="0"/>
    <x v="1"/>
    <x v="1"/>
    <s v="в ипотеке"/>
    <s v="консолидация кредитов"/>
    <n v="313456"/>
    <n v="710"/>
    <n v="932482"/>
    <n v="20980.75"/>
    <n v="17.899999999999999"/>
    <n v="34"/>
    <n v="7"/>
    <n v="527554"/>
    <n v="725494"/>
    <n v="0"/>
    <n v="2.1984465166450799E-2"/>
    <n v="0.94540612516644473"/>
    <n v="0.38636363636363635"/>
    <n v="0.14285714285714285"/>
    <n v="0"/>
    <n v="77706.833333333328"/>
    <n v="0.26999877745629408"/>
  </r>
  <r>
    <n v="341"/>
    <s v="b594bff7-3030-4318-933e-427e57129cb7"/>
    <x v="0"/>
    <x v="1"/>
    <x v="5"/>
    <s v="в ипотеке"/>
    <s v="консолидация кредитов"/>
    <n v="88198"/>
    <n v="741"/>
    <n v="825968"/>
    <n v="3407.08"/>
    <n v="14.2"/>
    <n v="35.265240640000002"/>
    <n v="9"/>
    <n v="112727"/>
    <n v="725098"/>
    <n v="0"/>
    <n v="-1.2604726044629411"/>
    <n v="0.98668442077230356"/>
    <n v="0.40074137090909095"/>
    <n v="0.19047619047619047"/>
    <n v="0"/>
    <n v="68830.666666666672"/>
    <n v="4.9499447920500546E-2"/>
  </r>
  <r>
    <n v="120"/>
    <s v="942d2eb9-a841-4b19-96c3-a9aaa73b0dcf"/>
    <x v="0"/>
    <x v="1"/>
    <x v="1"/>
    <s v="в ипотеке"/>
    <s v="консолидация кредитов"/>
    <n v="309594.52439999999"/>
    <n v="709"/>
    <n v="1806083"/>
    <n v="29348.92"/>
    <n v="16.100000000000001"/>
    <n v="25"/>
    <n v="22"/>
    <n v="492556"/>
    <n v="724680"/>
    <n v="0"/>
    <n v="-1.2411115481956205E-10"/>
    <n v="0.94407456724367511"/>
    <n v="0.28409090909090912"/>
    <n v="0.5"/>
    <n v="0"/>
    <n v="150506.91666666666"/>
    <n v="0.19500047340017043"/>
  </r>
  <r>
    <n v="1961"/>
    <s v="0cc91c49-d4fb-4917-91a3-0ccfe423d7d5"/>
    <x v="0"/>
    <x v="1"/>
    <x v="6"/>
    <s v="в аренде"/>
    <s v="консолидация кредитов"/>
    <n v="309594.52439999999"/>
    <n v="717"/>
    <n v="2315872"/>
    <n v="13605.71"/>
    <n v="15.2"/>
    <n v="35.265240640000002"/>
    <n v="10"/>
    <n v="480738"/>
    <n v="722920"/>
    <n v="0"/>
    <n v="-1.2411115481956205E-10"/>
    <n v="0.9547270306258322"/>
    <n v="0.40074137090909095"/>
    <n v="0.21428571428571427"/>
    <n v="0"/>
    <n v="192989.33333333334"/>
    <n v="7.0499803097925959E-2"/>
  </r>
  <r>
    <n v="1013"/>
    <s v="3bae464f-b995-470a-8f0d-29826f10756e"/>
    <x v="0"/>
    <x v="1"/>
    <x v="10"/>
    <s v="в аренде"/>
    <s v="консолидация кредитов"/>
    <n v="335720"/>
    <n v="728"/>
    <n v="966435"/>
    <n v="9181.18"/>
    <n v="8.6999999999999993"/>
    <n v="30"/>
    <n v="12"/>
    <n v="226974"/>
    <n v="722018"/>
    <n v="0"/>
    <n v="0.14873967118900619"/>
    <n v="0.96937416777629826"/>
    <n v="0.34090909090909088"/>
    <n v="0.26190476190476192"/>
    <n v="0"/>
    <n v="80536.25"/>
    <n v="0.11400058979652021"/>
  </r>
  <r>
    <n v="842"/>
    <s v="c0979432-6b2b-47fb-88be-290b2e0d3010"/>
    <x v="0"/>
    <x v="1"/>
    <x v="7"/>
    <s v="в собственности"/>
    <s v="консолидация кредитов"/>
    <n v="65912"/>
    <n v="732"/>
    <n v="948575"/>
    <n v="4956.34"/>
    <n v="15.4"/>
    <n v="15"/>
    <n v="8"/>
    <n v="159486"/>
    <n v="721402"/>
    <n v="0"/>
    <n v="-1.3873530626653607"/>
    <n v="0.97470039946737685"/>
    <n v="0.17045454545454544"/>
    <n v="0.16666666666666666"/>
    <n v="0"/>
    <n v="79047.916666666672"/>
    <n v="6.2700450676014013E-2"/>
  </r>
  <r>
    <n v="149"/>
    <s v="d56c6737-bab6-49fc-9363-b7937e489e3a"/>
    <x v="0"/>
    <x v="1"/>
    <x v="8"/>
    <s v="в ипотеке"/>
    <s v="иное"/>
    <n v="259116"/>
    <n v="0"/>
    <n v="1168044"/>
    <n v="21678.81"/>
    <n v="31.4"/>
    <n v="35.265240640000002"/>
    <n v="9"/>
    <n v="254030"/>
    <n v="720918"/>
    <n v="0"/>
    <n v="-0.28738841909808654"/>
    <n v="0"/>
    <n v="0.40074137090909095"/>
    <n v="0.19047619047619047"/>
    <n v="0"/>
    <n v="97337"/>
    <n v="0.222719109896545"/>
  </r>
  <r>
    <n v="621"/>
    <s v="b64a9da6-0107-4012-bba3-2057ae6efbb2"/>
    <x v="1"/>
    <x v="1"/>
    <x v="1"/>
    <s v="в аренде"/>
    <s v="консолидация кредитов"/>
    <n v="215776"/>
    <n v="729"/>
    <n v="1583992"/>
    <n v="14783.9"/>
    <n v="10.5"/>
    <n v="29"/>
    <n v="5"/>
    <n v="447564"/>
    <n v="720764"/>
    <n v="0"/>
    <n v="-0.53413521343053139"/>
    <n v="0.97070572569906788"/>
    <n v="0.32954545454545453"/>
    <n v="9.5238095238095233E-2"/>
    <n v="0"/>
    <n v="131999.33333333334"/>
    <n v="0.11199980807983878"/>
  </r>
  <r>
    <n v="648"/>
    <s v="43882ab3-c3a3-4d84-91c6-811ddd309f6f"/>
    <x v="0"/>
    <x v="1"/>
    <x v="1"/>
    <s v="в аренде"/>
    <s v="консолидация кредитов"/>
    <n v="309594.52439999999"/>
    <n v="745"/>
    <n v="491036"/>
    <n v="2459.36"/>
    <n v="13.7"/>
    <n v="35.265240640000002"/>
    <n v="14"/>
    <n v="81472"/>
    <n v="720126"/>
    <n v="1"/>
    <n v="-1.2411115481956205E-10"/>
    <n v="0.99201065246338216"/>
    <n v="0.40074137090909095"/>
    <n v="0.30952380952380953"/>
    <n v="0.14285714285714285"/>
    <n v="40919.666666666664"/>
    <n v="6.0102151369757009E-2"/>
  </r>
  <r>
    <n v="335"/>
    <s v="7d0315cd-ebd7-4580-b1fd-5396d5719556"/>
    <x v="0"/>
    <x v="1"/>
    <x v="6"/>
    <s v="в аренде"/>
    <s v="консолидация кредитов"/>
    <n v="332222"/>
    <n v="746"/>
    <n v="891119"/>
    <n v="11733.07"/>
    <n v="23.8"/>
    <n v="42"/>
    <n v="9"/>
    <n v="293683"/>
    <n v="717420"/>
    <n v="0"/>
    <n v="0.12882457459060073"/>
    <n v="0.99334221038615178"/>
    <n v="0.47727272727272729"/>
    <n v="0.19047619047619047"/>
    <n v="0"/>
    <n v="74259.916666666672"/>
    <n v="0.15800004264301398"/>
  </r>
  <r>
    <n v="1635"/>
    <s v="29b4a514-5220-40d8-bd70-aeb73d08831e"/>
    <x v="0"/>
    <x v="0"/>
    <x v="9"/>
    <s v="в аренде"/>
    <s v="иное"/>
    <n v="323840"/>
    <n v="672"/>
    <n v="1277161"/>
    <n v="15112.98"/>
    <n v="8.5"/>
    <n v="35.265240640000002"/>
    <n v="10"/>
    <n v="292220"/>
    <n v="716870"/>
    <n v="0"/>
    <n v="8.1103494062346196E-2"/>
    <n v="0.89480692410119844"/>
    <n v="0.40074137090909095"/>
    <n v="0.21428571428571427"/>
    <n v="0"/>
    <n v="106430.08333333333"/>
    <n v="0.14199913714872284"/>
  </r>
  <r>
    <n v="1569"/>
    <s v="06d51e8e-ef9f-4ccf-9b6d-219e97b15fb3"/>
    <x v="0"/>
    <x v="1"/>
    <x v="8"/>
    <s v="в аренде"/>
    <s v="консолидация кредитов"/>
    <n v="244310"/>
    <n v="743"/>
    <n v="1216361"/>
    <n v="24732.49"/>
    <n v="28"/>
    <n v="44"/>
    <n v="19"/>
    <n v="334267"/>
    <n v="716760"/>
    <n v="0"/>
    <n v="-0.37168313614668319"/>
    <n v="0.98934753661784292"/>
    <n v="0.5"/>
    <n v="0.42857142857142855"/>
    <n v="0"/>
    <n v="101363.41666666667"/>
    <n v="0.24399818803792625"/>
  </r>
  <r>
    <n v="932"/>
    <s v="86685553-f46b-492d-abad-06d2dc1bc370"/>
    <x v="1"/>
    <x v="1"/>
    <x v="1"/>
    <s v="в аренде"/>
    <s v="консолидация кредитов"/>
    <n v="171644"/>
    <n v="748"/>
    <n v="1111728"/>
    <n v="26959.48"/>
    <n v="17.2"/>
    <n v="36"/>
    <n v="10"/>
    <n v="183844"/>
    <n v="716738"/>
    <n v="0"/>
    <n v="-0.78539108623808673"/>
    <n v="0.99600532623169102"/>
    <n v="0.40909090909090912"/>
    <n v="0.21428571428571427"/>
    <n v="0"/>
    <n v="92644"/>
    <n v="0.29100082034454472"/>
  </r>
  <r>
    <n v="272"/>
    <s v="baba73db-8398-4d46-be16-3344448fc21f"/>
    <x v="0"/>
    <x v="1"/>
    <x v="1"/>
    <s v="в ипотеке"/>
    <s v="консолидация кредитов"/>
    <n v="430100"/>
    <n v="739"/>
    <n v="1448655"/>
    <n v="23782.11"/>
    <n v="15.4"/>
    <n v="35.265240640000002"/>
    <n v="13"/>
    <n v="400178"/>
    <n v="716188"/>
    <n v="0"/>
    <n v="0.68607152280636052"/>
    <n v="0.98402130492676432"/>
    <n v="0.40074137090909095"/>
    <n v="0.2857142857142857"/>
    <n v="0"/>
    <n v="120721.25"/>
    <n v="0.1970001967342121"/>
  </r>
  <r>
    <n v="1138"/>
    <s v="14b275c1-e3bb-4795-b9b0-bc643c4bd38e"/>
    <x v="1"/>
    <x v="0"/>
    <x v="1"/>
    <s v="в ипотеке"/>
    <s v="консолидация кредитов"/>
    <n v="348172"/>
    <n v="0"/>
    <n v="1168044"/>
    <n v="4044.15"/>
    <n v="22.7"/>
    <n v="8"/>
    <n v="5"/>
    <n v="160607"/>
    <n v="715242"/>
    <n v="0"/>
    <n v="0.21963240499213499"/>
    <n v="0"/>
    <n v="9.0909090909090912E-2"/>
    <n v="9.5238095238095233E-2"/>
    <n v="0"/>
    <n v="97337"/>
    <n v="4.1547921139957054E-2"/>
  </r>
  <r>
    <n v="152"/>
    <s v="37c41379-e56c-4455-a94b-2b810d80a058"/>
    <x v="0"/>
    <x v="1"/>
    <x v="0"/>
    <s v="в собственности"/>
    <s v="консолидация кредитов"/>
    <n v="87846"/>
    <n v="736"/>
    <n v="625879"/>
    <n v="6988.96"/>
    <n v="50.1"/>
    <n v="56"/>
    <n v="16"/>
    <n v="96330"/>
    <n v="714978"/>
    <n v="0"/>
    <n v="-1.262476639340768"/>
    <n v="0.98002663115845534"/>
    <n v="0.63636363636363635"/>
    <n v="0.35714285714285715"/>
    <n v="0"/>
    <n v="52156.583333333336"/>
    <n v="0.13399957499772319"/>
  </r>
  <r>
    <n v="1356"/>
    <s v="32821491-7434-4977-b5d3-0c54c17d8869"/>
    <x v="0"/>
    <x v="1"/>
    <x v="0"/>
    <s v="в ипотеке"/>
    <s v="консолидация кредитов"/>
    <n v="153362"/>
    <n v="746"/>
    <n v="1892210"/>
    <n v="19174.419999999998"/>
    <n v="31.7"/>
    <n v="18"/>
    <n v="8"/>
    <n v="468806"/>
    <n v="714252"/>
    <n v="0"/>
    <n v="-0.88947564770522469"/>
    <n v="0.99334221038615178"/>
    <n v="0.20454545454545456"/>
    <n v="0.16666666666666666"/>
    <n v="0"/>
    <n v="157684.16666666666"/>
    <n v="0.12160016065870066"/>
  </r>
  <r>
    <n v="1198"/>
    <s v="59586d6f-a669-40df-b228-4b642130b0b3"/>
    <x v="0"/>
    <x v="1"/>
    <x v="3"/>
    <s v="в аренде"/>
    <s v="консолидация кредитов"/>
    <n v="309594.52439999999"/>
    <n v="741"/>
    <n v="1652316"/>
    <n v="29879.21"/>
    <n v="13.7"/>
    <n v="35.265240640000002"/>
    <n v="14"/>
    <n v="286520"/>
    <n v="713482"/>
    <n v="0"/>
    <n v="-1.2411115481956205E-10"/>
    <n v="0.98668442077230356"/>
    <n v="0.40074137090909095"/>
    <n v="0.30952380952380953"/>
    <n v="0"/>
    <n v="137693"/>
    <n v="0.2169987581068028"/>
  </r>
  <r>
    <n v="700"/>
    <s v="0021712b-ea5a-4478-80e7-4789321f830a"/>
    <x v="1"/>
    <x v="0"/>
    <x v="10"/>
    <s v="в ипотеке"/>
    <s v="консолидация кредитов"/>
    <n v="787336"/>
    <n v="0"/>
    <n v="1168044"/>
    <n v="17259.03"/>
    <n v="19.3"/>
    <n v="25"/>
    <n v="8"/>
    <n v="282055"/>
    <n v="713064"/>
    <n v="0"/>
    <n v="2.7199164194409993"/>
    <n v="0"/>
    <n v="0.28409090909090912"/>
    <n v="0.16666666666666666"/>
    <n v="0"/>
    <n v="97337"/>
    <n v="0.17731212180363068"/>
  </r>
  <r>
    <n v="810"/>
    <s v="ab685182-eb88-49b6-aee0-cfb49d50288b"/>
    <x v="0"/>
    <x v="1"/>
    <x v="2"/>
    <s v="в аренде"/>
    <s v="консолидация кредитов"/>
    <n v="309594.52439999999"/>
    <n v="748"/>
    <n v="1576411"/>
    <n v="26404.68"/>
    <n v="15"/>
    <n v="35.265240640000002"/>
    <n v="15"/>
    <n v="310118"/>
    <n v="712492"/>
    <n v="0"/>
    <n v="-1.2411115481956205E-10"/>
    <n v="0.99600532623169102"/>
    <n v="0.40074137090909095"/>
    <n v="0.33333333333333331"/>
    <n v="0"/>
    <n v="131367.58333333334"/>
    <n v="0.20099844520242499"/>
  </r>
  <r>
    <n v="721"/>
    <s v="d387058f-3b39-48ab-9eea-10e3c70ede07"/>
    <x v="0"/>
    <x v="1"/>
    <x v="1"/>
    <s v="в аренде"/>
    <s v="консолидация кредитов"/>
    <n v="393668"/>
    <n v="0"/>
    <n v="1168044"/>
    <n v="30908.44"/>
    <n v="17.600000000000001"/>
    <n v="35.265240640000002"/>
    <n v="15"/>
    <n v="492290"/>
    <n v="708994"/>
    <n v="0"/>
    <n v="0.47865391295126991"/>
    <n v="0"/>
    <n v="0.40074137090909095"/>
    <n v="0.33333333333333331"/>
    <n v="0"/>
    <n v="97337"/>
    <n v="0.31754050361116531"/>
  </r>
  <r>
    <n v="39"/>
    <s v="dedbd71d-dabd-4c64-a38f-bb5886e7f8b6"/>
    <x v="1"/>
    <x v="1"/>
    <x v="10"/>
    <s v="в ипотеке"/>
    <s v="консолидация кредитов"/>
    <n v="259842"/>
    <n v="0"/>
    <n v="1168044"/>
    <n v="11792.73"/>
    <n v="20.6"/>
    <n v="34"/>
    <n v="9"/>
    <n v="401584"/>
    <n v="708818"/>
    <n v="0"/>
    <n v="-0.28325509716256847"/>
    <n v="0"/>
    <n v="0.38636363636363635"/>
    <n v="0.19047619047619047"/>
    <n v="0"/>
    <n v="97337"/>
    <n v="0.12115362092523911"/>
  </r>
  <r>
    <n v="446"/>
    <s v="35ff2d58-59e1-4455-af50-3438a78ed021"/>
    <x v="0"/>
    <x v="1"/>
    <x v="7"/>
    <s v="в ипотеке"/>
    <s v="консолидация кредитов"/>
    <n v="134596"/>
    <n v="723"/>
    <n v="1356201"/>
    <n v="18308.78"/>
    <n v="21.5"/>
    <n v="10"/>
    <n v="19"/>
    <n v="286596"/>
    <n v="707586"/>
    <n v="0"/>
    <n v="-0.99631575712937459"/>
    <n v="0.96271637816245004"/>
    <n v="0.11363636363636363"/>
    <n v="0.42857142857142855"/>
    <n v="0"/>
    <n v="113016.75"/>
    <n v="0.16200058840835538"/>
  </r>
  <r>
    <n v="1327"/>
    <s v="259d8be6-6afb-46b4-9309-14bfdcc9fedc"/>
    <x v="0"/>
    <x v="1"/>
    <x v="9"/>
    <s v="в ипотеке"/>
    <s v="консолидация кредитов"/>
    <n v="449680"/>
    <n v="739"/>
    <n v="1747620"/>
    <n v="36263.21"/>
    <n v="9.9"/>
    <n v="45"/>
    <n v="15"/>
    <n v="313405"/>
    <n v="707388"/>
    <n v="0"/>
    <n v="0.79754596288548529"/>
    <n v="0.98402130492676432"/>
    <n v="0.51136363636363635"/>
    <n v="0.33333333333333331"/>
    <n v="0"/>
    <n v="145635"/>
    <n v="0.2490006523157208"/>
  </r>
  <r>
    <n v="1917"/>
    <s v="a4a5ad5b-bc2a-4c16-aff0-f14baf1ec1d6"/>
    <x v="1"/>
    <x v="1"/>
    <x v="1"/>
    <s v="в аренде"/>
    <s v="консолидация кредитов"/>
    <n v="556292"/>
    <n v="729"/>
    <n v="1683400"/>
    <n v="24830.34"/>
    <n v="19.899999999999999"/>
    <n v="51"/>
    <n v="8"/>
    <n v="483968"/>
    <n v="706684"/>
    <n v="0"/>
    <n v="1.4045180265073267"/>
    <n v="0.97070572569906788"/>
    <n v="0.57954545454545459"/>
    <n v="0.16666666666666666"/>
    <n v="0"/>
    <n v="140283.33333333334"/>
    <n v="0.17700135440180587"/>
  </r>
  <r>
    <n v="242"/>
    <s v="1c9b370f-8dce-4135-af08-8fdea9fcc3fa"/>
    <x v="0"/>
    <x v="1"/>
    <x v="2"/>
    <s v="в аренде"/>
    <s v="Медицинские счета"/>
    <n v="77132"/>
    <n v="657"/>
    <n v="2093762"/>
    <n v="47284.160000000003"/>
    <n v="15.9"/>
    <n v="81"/>
    <n v="13"/>
    <n v="588449"/>
    <n v="703142"/>
    <n v="0"/>
    <n v="-1.3234744509346263"/>
    <n v="0.87483355525965378"/>
    <n v="0.92045454545454541"/>
    <n v="0.2857142857142857"/>
    <n v="0"/>
    <n v="174480.16666666666"/>
    <n v="0.27100019964064687"/>
  </r>
  <r>
    <n v="1682"/>
    <s v="45153cbc-4c45-48cd-a927-33113dc00dab"/>
    <x v="0"/>
    <x v="0"/>
    <x v="4"/>
    <s v="в аренде"/>
    <s v="консолидация кредитов"/>
    <n v="352880"/>
    <n v="670"/>
    <n v="1055868"/>
    <n v="28772.46"/>
    <n v="16.5"/>
    <n v="35.265240640000002"/>
    <n v="9"/>
    <n v="348764"/>
    <n v="702328"/>
    <n v="0"/>
    <n v="0.24643637148307063"/>
    <n v="0.89214380825565909"/>
    <n v="0.40074137090909095"/>
    <n v="0.19047619047619047"/>
    <n v="0"/>
    <n v="87989"/>
    <n v="0.32700064780824872"/>
  </r>
  <r>
    <n v="1427"/>
    <s v="336159c4-7a7a-4ece-ac14-dbba1de63e4a"/>
    <x v="0"/>
    <x v="0"/>
    <x v="6"/>
    <s v="в ипотеке"/>
    <s v="консолидация кредитов"/>
    <n v="249480"/>
    <n v="708"/>
    <n v="1124154"/>
    <n v="7925.28"/>
    <n v="14.9"/>
    <n v="15"/>
    <n v="5"/>
    <n v="160569"/>
    <n v="701580"/>
    <n v="0"/>
    <n v="-0.34224887387859965"/>
    <n v="0.94274300932090549"/>
    <n v="0.17045454545454544"/>
    <n v="9.5238095238095233E-2"/>
    <n v="0"/>
    <n v="93679.5"/>
    <n v="8.4599939154243992E-2"/>
  </r>
  <r>
    <n v="1857"/>
    <s v="3fc8fb61-574e-42c4-a9ce-6e5bb3b6dd60"/>
    <x v="0"/>
    <x v="1"/>
    <x v="6"/>
    <s v="в собственности"/>
    <s v="консолидация кредитов"/>
    <n v="77506"/>
    <n v="0"/>
    <n v="1168044"/>
    <n v="26428.62"/>
    <n v="23"/>
    <n v="51"/>
    <n v="9"/>
    <n v="393167"/>
    <n v="701448"/>
    <n v="0"/>
    <n v="-1.3213451638769351"/>
    <n v="0"/>
    <n v="0.57954545454545459"/>
    <n v="0.19047619047619047"/>
    <n v="0"/>
    <n v="97337"/>
    <n v="0.27151668943978136"/>
  </r>
  <r>
    <n v="503"/>
    <s v="287ed51c-6930-4d09-8110-f2632691d379"/>
    <x v="1"/>
    <x v="0"/>
    <x v="1"/>
    <s v="в аренде"/>
    <s v="ремонт жилья"/>
    <n v="445632"/>
    <n v="680"/>
    <n v="877059"/>
    <n v="12205.6"/>
    <n v="33.5"/>
    <n v="12"/>
    <n v="9"/>
    <n v="344584"/>
    <n v="701206"/>
    <n v="0"/>
    <n v="0.7744995617904753"/>
    <n v="0.90545938748335553"/>
    <n v="0.13636363636363635"/>
    <n v="0.19047619047619047"/>
    <n v="0"/>
    <n v="73088.25"/>
    <n v="0.16699811529212971"/>
  </r>
  <r>
    <n v="1648"/>
    <s v="93479576-2563-451f-9752-120784c76ef2"/>
    <x v="0"/>
    <x v="1"/>
    <x v="1"/>
    <s v="в ипотеке"/>
    <s v="иное"/>
    <n v="108240"/>
    <n v="721"/>
    <n v="1458136"/>
    <n v="24788.35"/>
    <n v="19.7"/>
    <n v="23"/>
    <n v="10"/>
    <n v="162070"/>
    <n v="700260"/>
    <n v="0"/>
    <n v="-1.1463678686066685"/>
    <n v="0.96005326231691079"/>
    <n v="0.26136363636363635"/>
    <n v="0.21428571428571427"/>
    <n v="0"/>
    <n v="121511.33333333333"/>
    <n v="0.20400031272803085"/>
  </r>
  <r>
    <n v="1661"/>
    <s v="4a448cc6-5759-4e8d-bdbb-ab728bfb7dc8"/>
    <x v="0"/>
    <x v="1"/>
    <x v="10"/>
    <s v="в ипотеке"/>
    <s v="консолидация кредитов"/>
    <n v="197472"/>
    <n v="720"/>
    <n v="909530"/>
    <n v="17357.07"/>
    <n v="17.100000000000001"/>
    <n v="35.265240640000002"/>
    <n v="18"/>
    <n v="448647"/>
    <n v="700128"/>
    <n v="0"/>
    <n v="-0.63834502707753338"/>
    <n v="0.95872170439414117"/>
    <n v="0.40074137090909095"/>
    <n v="0.40476190476190477"/>
    <n v="0"/>
    <n v="75794.166666666672"/>
    <n v="0.22900271568832253"/>
  </r>
  <r>
    <n v="1691"/>
    <s v="f4bdfc41-dee0-4457-adf1-0b83d61b8173"/>
    <x v="0"/>
    <x v="1"/>
    <x v="1"/>
    <s v="в ипотеке"/>
    <s v="консолидация кредитов"/>
    <n v="472450"/>
    <n v="747"/>
    <n v="1398913"/>
    <n v="17952.72"/>
    <n v="23.8"/>
    <n v="4"/>
    <n v="11"/>
    <n v="110523"/>
    <n v="699248"/>
    <n v="0"/>
    <n v="0.92718196904491701"/>
    <n v="0.9946737683089214"/>
    <n v="4.5454545454545456E-2"/>
    <n v="0.23809523809523808"/>
    <n v="0"/>
    <n v="116576.08333333333"/>
    <n v="0.15400002716394803"/>
  </r>
  <r>
    <n v="771"/>
    <s v="6a907e9a-3ced-4f62-adec-6384a589b916"/>
    <x v="0"/>
    <x v="0"/>
    <x v="6"/>
    <s v="в ипотеке"/>
    <s v="консолидация кредитов"/>
    <n v="309594.52439999999"/>
    <n v="612"/>
    <n v="2279544"/>
    <n v="50339.93"/>
    <n v="26.3"/>
    <n v="54"/>
    <n v="18"/>
    <n v="533672"/>
    <n v="698258"/>
    <n v="0"/>
    <n v="-1.2411115481956205E-10"/>
    <n v="0.81491344873501992"/>
    <n v="0.61363636363636365"/>
    <n v="0.40476190476190477"/>
    <n v="0"/>
    <n v="189962"/>
    <n v="0.26500000000000001"/>
  </r>
  <r>
    <n v="569"/>
    <s v="1fc91e0a-c35a-4042-b5fb-b7e89f60146d"/>
    <x v="0"/>
    <x v="1"/>
    <x v="1"/>
    <s v="в аренде"/>
    <s v="консолидация кредитов"/>
    <n v="156090"/>
    <n v="706"/>
    <n v="1872260"/>
    <n v="25275.51"/>
    <n v="18.5"/>
    <n v="12"/>
    <n v="8"/>
    <n v="541386"/>
    <n v="698060"/>
    <n v="0"/>
    <n v="-0.87394437740206565"/>
    <n v="0.94007989347536614"/>
    <n v="0.13636363636363635"/>
    <n v="0.16666666666666666"/>
    <n v="0"/>
    <n v="156021.66666666666"/>
    <n v="0.16200000000000001"/>
  </r>
  <r>
    <n v="552"/>
    <s v="a02041a6-5e86-419c-b310-81dbc197a429"/>
    <x v="0"/>
    <x v="1"/>
    <x v="0"/>
    <s v="в собственности"/>
    <s v="приобретение автомобиля"/>
    <n v="131560"/>
    <n v="740"/>
    <n v="1488479"/>
    <n v="36467.65"/>
    <n v="21.9"/>
    <n v="35.265240640000002"/>
    <n v="25"/>
    <n v="295317"/>
    <n v="697818"/>
    <n v="0"/>
    <n v="-1.0136005579506322"/>
    <n v="0.98535286284953394"/>
    <n v="0.40074137090909095"/>
    <n v="0.5714285714285714"/>
    <n v="0"/>
    <n v="124039.91666666667"/>
    <n v="0.29399931070576069"/>
  </r>
  <r>
    <n v="1912"/>
    <s v="8c3e2b19-860e-4367-8aae-12d03200e05e"/>
    <x v="0"/>
    <x v="0"/>
    <x v="0"/>
    <s v="в аренде"/>
    <s v="консолидация кредитов"/>
    <n v="358688"/>
    <n v="721"/>
    <n v="1770173"/>
    <n v="36288.29"/>
    <n v="13.9"/>
    <n v="35.265240640000002"/>
    <n v="14"/>
    <n v="160816"/>
    <n v="694826"/>
    <n v="0"/>
    <n v="0.2795029469672155"/>
    <n v="0.96005326231691079"/>
    <n v="0.40074137090909095"/>
    <n v="0.30952380952380953"/>
    <n v="0"/>
    <n v="147514.41666666666"/>
    <n v="0.24599826118690096"/>
  </r>
  <r>
    <n v="135"/>
    <s v="9fa0a981-d220-4f8a-99c2-5321c42f070f"/>
    <x v="1"/>
    <x v="0"/>
    <x v="1"/>
    <s v="в аренде"/>
    <s v="консолидация кредитов"/>
    <n v="552882"/>
    <n v="686"/>
    <n v="1262151"/>
    <n v="23770.71"/>
    <n v="23.4"/>
    <n v="48"/>
    <n v="13"/>
    <n v="299706"/>
    <n v="694056"/>
    <n v="0"/>
    <n v="1.3851039386283779"/>
    <n v="0.91344873501997337"/>
    <n v="0.54545454545454541"/>
    <n v="0.2857142857142857"/>
    <n v="0"/>
    <n v="105179.25"/>
    <n v="0.22600189676195637"/>
  </r>
  <r>
    <n v="1720"/>
    <s v="4d598004-cc29-4049-9b5e-03f101b399aa"/>
    <x v="0"/>
    <x v="1"/>
    <x v="4"/>
    <s v="в ипотеке"/>
    <s v="консолидация кредитов"/>
    <n v="404404"/>
    <n v="748"/>
    <n v="2522364"/>
    <n v="6852.54"/>
    <n v="24.9"/>
    <n v="35.265240640000002"/>
    <n v="6"/>
    <n v="270370"/>
    <n v="692648"/>
    <n v="0"/>
    <n v="0.53977697672499225"/>
    <n v="0.99600532623169102"/>
    <n v="0.40074137090909095"/>
    <n v="0.11904761904761904"/>
    <n v="0"/>
    <n v="210197"/>
    <n v="3.2600560426647385E-2"/>
  </r>
  <r>
    <n v="886"/>
    <s v="5f99d4b8-6b1e-4c29-a740-c0f12e6f0888"/>
    <x v="0"/>
    <x v="1"/>
    <x v="10"/>
    <s v="в ипотеке"/>
    <s v="ремонт жилья"/>
    <n v="181346"/>
    <n v="0"/>
    <n v="1168044"/>
    <n v="34339.65"/>
    <n v="20.3"/>
    <n v="35.265240640000002"/>
    <n v="23"/>
    <n v="365921"/>
    <n v="692318"/>
    <n v="0"/>
    <n v="-0.73015487491798114"/>
    <n v="0"/>
    <n v="0.40074137090909095"/>
    <n v="0.52380952380952384"/>
    <n v="0"/>
    <n v="97337"/>
    <n v="0.35279133320320127"/>
  </r>
  <r>
    <n v="676"/>
    <s v="358f1ac4-3cee-4790-becf-462f7c01e5de"/>
    <x v="0"/>
    <x v="0"/>
    <x v="3"/>
    <s v="в аренде"/>
    <s v="консолидация кредитов"/>
    <n v="329120"/>
    <n v="0"/>
    <n v="1168044"/>
    <n v="20890.88"/>
    <n v="10.8"/>
    <n v="35.265240640000002"/>
    <n v="13"/>
    <n v="246373"/>
    <n v="690734"/>
    <n v="0"/>
    <n v="0.11116401722975064"/>
    <n v="0"/>
    <n v="0.40074137090909095"/>
    <n v="0.2857142857142857"/>
    <n v="0"/>
    <n v="97337"/>
    <n v="0.21462424360726137"/>
  </r>
  <r>
    <n v="702"/>
    <s v="8f6929dc-88b1-4b8c-a87f-e1e4457c60dd"/>
    <x v="0"/>
    <x v="1"/>
    <x v="6"/>
    <s v="в ипотеке"/>
    <s v="консолидация кредитов"/>
    <n v="449768"/>
    <n v="737"/>
    <n v="2913270"/>
    <n v="23913.02"/>
    <n v="23.4"/>
    <n v="22"/>
    <n v="11"/>
    <n v="499681"/>
    <n v="690448"/>
    <n v="0"/>
    <n v="0.79804697160494209"/>
    <n v="0.98135818908122507"/>
    <n v="0.25"/>
    <n v="0.23809523809523808"/>
    <n v="0"/>
    <n v="242772.5"/>
    <n v="9.8499706515359026E-2"/>
  </r>
  <r>
    <n v="1886"/>
    <s v="145c77a3-a407-4161-85f8-67ae951a35f1"/>
    <x v="0"/>
    <x v="1"/>
    <x v="5"/>
    <s v="в ипотеке"/>
    <s v="консолидация кредитов"/>
    <n v="240328"/>
    <n v="696"/>
    <n v="1124496"/>
    <n v="29611.69"/>
    <n v="17.2"/>
    <n v="2"/>
    <n v="13"/>
    <n v="294728"/>
    <n v="689436"/>
    <n v="0"/>
    <n v="-0.3943537807021007"/>
    <n v="0.92676431424766981"/>
    <n v="2.2727272727272728E-2"/>
    <n v="0.2857142857142857"/>
    <n v="0"/>
    <n v="93708"/>
    <n v="0.31599959448499593"/>
  </r>
  <r>
    <n v="1109"/>
    <s v="602b0ed8-728b-4330-908e-30b006916239"/>
    <x v="0"/>
    <x v="1"/>
    <x v="1"/>
    <s v="в ипотеке"/>
    <s v="консолидация кредитов"/>
    <n v="111364"/>
    <n v="732"/>
    <n v="1250200"/>
    <n v="23336.75"/>
    <n v="19.8"/>
    <n v="35.265240640000002"/>
    <n v="21"/>
    <n v="280193"/>
    <n v="688820"/>
    <n v="1"/>
    <n v="-1.1285820590659541"/>
    <n v="0.97470039946737685"/>
    <n v="0.40074137090909095"/>
    <n v="0.47619047619047616"/>
    <n v="0.14285714285714285"/>
    <n v="104183.33333333333"/>
    <n v="0.2239969604863222"/>
  </r>
  <r>
    <n v="380"/>
    <s v="35831535-e42c-4109-b006-4685c874a6b2"/>
    <x v="0"/>
    <x v="1"/>
    <x v="1"/>
    <s v="в аренде"/>
    <s v="консолидация кредитов"/>
    <n v="309594.52439999999"/>
    <n v="734"/>
    <n v="652099"/>
    <n v="15922"/>
    <n v="13"/>
    <n v="35.265240640000002"/>
    <n v="15"/>
    <n v="99788"/>
    <n v="687786"/>
    <n v="1"/>
    <n v="-1.2411115481956205E-10"/>
    <n v="0.9773635153129161"/>
    <n v="0.40074137090909095"/>
    <n v="0.33333333333333331"/>
    <n v="0.14285714285714285"/>
    <n v="54341.583333333336"/>
    <n v="0.29299845575595118"/>
  </r>
  <r>
    <n v="1542"/>
    <s v="ce2d5b7f-5c98-40ac-a6fc-e3f23ad7878d"/>
    <x v="0"/>
    <x v="1"/>
    <x v="0"/>
    <s v="в аренде"/>
    <s v="консолидация кредитов"/>
    <n v="399630"/>
    <n v="712"/>
    <n v="1335985"/>
    <n v="28946.5"/>
    <n v="10.199999999999999"/>
    <n v="35.265240640000002"/>
    <n v="13"/>
    <n v="579025"/>
    <n v="687632"/>
    <n v="0"/>
    <n v="0.51259725369446407"/>
    <n v="0.94806924101198398"/>
    <n v="0.40074137090909095"/>
    <n v="0.2857142857142857"/>
    <n v="0"/>
    <n v="111332.08333333333"/>
    <n v="0.26000142217165612"/>
  </r>
  <r>
    <n v="371"/>
    <s v="09c612b9-a6f2-4a03-9901-160dbc03b4a9"/>
    <x v="0"/>
    <x v="1"/>
    <x v="1"/>
    <s v="в ипотеке"/>
    <s v="ремонт жилья"/>
    <n v="450384"/>
    <n v="746"/>
    <n v="1166904"/>
    <n v="31506.37"/>
    <n v="20.2"/>
    <n v="35.265240640000002"/>
    <n v="12"/>
    <n v="332918"/>
    <n v="687126"/>
    <n v="0"/>
    <n v="0.80155403264113922"/>
    <n v="0.99334221038615178"/>
    <n v="0.40074137090909095"/>
    <n v="0.26190476190476192"/>
    <n v="0"/>
    <n v="97242"/>
    <n v="0.32399960922235249"/>
  </r>
  <r>
    <n v="1758"/>
    <s v="b33a9ce3-60a4-4e4f-8d8c-51c7944b4c0e"/>
    <x v="1"/>
    <x v="1"/>
    <x v="0"/>
    <s v="в аренде"/>
    <s v="консолидация кредитов"/>
    <n v="313698"/>
    <n v="747"/>
    <n v="1411035"/>
    <n v="19049.02"/>
    <n v="22.5"/>
    <n v="68"/>
    <n v="18"/>
    <n v="333830"/>
    <n v="686576"/>
    <n v="1"/>
    <n v="2.3362239144956835E-2"/>
    <n v="0.9946737683089214"/>
    <n v="0.77272727272727271"/>
    <n v="0.40476190476190477"/>
    <n v="0.14285714285714285"/>
    <n v="117586.25"/>
    <n v="0.1620004039587962"/>
  </r>
  <r>
    <n v="96"/>
    <s v="bc653e0d-ccac-4114-b998-f53c9f2dffc8"/>
    <x v="0"/>
    <x v="1"/>
    <x v="1"/>
    <s v="в аренде"/>
    <s v="консолидация кредитов"/>
    <n v="432080"/>
    <n v="0"/>
    <n v="1168044"/>
    <n v="35360.14"/>
    <n v="17.899999999999999"/>
    <n v="24"/>
    <n v="22"/>
    <n v="160550"/>
    <n v="685982"/>
    <n v="0"/>
    <n v="0.69734421899413723"/>
    <n v="0"/>
    <n v="0.27272727272727271"/>
    <n v="0.5"/>
    <n v="0"/>
    <n v="97337"/>
    <n v="0.36327542455592426"/>
  </r>
  <r>
    <n v="555"/>
    <s v="bcfc5daa-1875-4b43-9959-326bf1f020f1"/>
    <x v="0"/>
    <x v="1"/>
    <x v="1"/>
    <s v="в ипотеке"/>
    <s v="иное"/>
    <n v="111980"/>
    <n v="722"/>
    <n v="1160520"/>
    <n v="28916.29"/>
    <n v="22.5"/>
    <n v="35.265240640000002"/>
    <n v="9"/>
    <n v="320131"/>
    <n v="685168"/>
    <n v="0"/>
    <n v="-1.125074998029757"/>
    <n v="0.96138482023968042"/>
    <n v="0.40074137090909095"/>
    <n v="0.19047619047619047"/>
    <n v="0"/>
    <n v="96710"/>
    <n v="0.29899999999999999"/>
  </r>
  <r>
    <n v="1731"/>
    <s v="c4c869e3-2a17-4ff7-ad41-f39de0b214a6"/>
    <x v="0"/>
    <x v="0"/>
    <x v="7"/>
    <s v="в аренде"/>
    <s v="консолидация кредитов"/>
    <n v="369754"/>
    <n v="683"/>
    <n v="1257971"/>
    <n v="28304.3"/>
    <n v="18.8"/>
    <n v="35.265240640000002"/>
    <n v="25"/>
    <n v="43206"/>
    <n v="685168"/>
    <n v="1"/>
    <n v="0.34250479343890061"/>
    <n v="0.9094540612516645"/>
    <n v="0.40074137090909095"/>
    <n v="0.5714285714285714"/>
    <n v="0.14285714285714285"/>
    <n v="104830.91666666667"/>
    <n v="0.2699995468893957"/>
  </r>
  <r>
    <n v="812"/>
    <s v="c322611d-f268-4a44-82a6-8eec45ae92fa"/>
    <x v="0"/>
    <x v="1"/>
    <x v="1"/>
    <s v="в собственности"/>
    <s v="консолидация кредитов"/>
    <n v="222530"/>
    <n v="690"/>
    <n v="595783"/>
    <n v="17327.05"/>
    <n v="19.5"/>
    <n v="35.265240640000002"/>
    <n v="9"/>
    <n v="385757"/>
    <n v="685058"/>
    <n v="0"/>
    <n v="-0.4956827942122265"/>
    <n v="0.91877496671105197"/>
    <n v="0.40074137090909095"/>
    <n v="0.19047619047619047"/>
    <n v="0"/>
    <n v="49648.583333333336"/>
    <n v="0.34899384507446501"/>
  </r>
  <r>
    <n v="1627"/>
    <s v="3e0f7e65-9dcb-4da1-8166-d0a10d92fa58"/>
    <x v="0"/>
    <x v="1"/>
    <x v="9"/>
    <s v="в аренде"/>
    <s v="консолидация кредитов"/>
    <n v="304678"/>
    <n v="0"/>
    <n v="1168044"/>
    <n v="28972.34"/>
    <n v="18.5"/>
    <n v="3"/>
    <n v="15"/>
    <n v="239020"/>
    <n v="685014"/>
    <n v="0"/>
    <n v="-2.799115459935908E-2"/>
    <n v="0"/>
    <n v="3.4090909090909088E-2"/>
    <n v="0.33333333333333331"/>
    <n v="0"/>
    <n v="97337"/>
    <n v="0.29764981456178019"/>
  </r>
  <r>
    <n v="273"/>
    <s v="22702252-ce3f-49f3-b62b-92022bf4c7fb"/>
    <x v="0"/>
    <x v="1"/>
    <x v="6"/>
    <s v="в аренде"/>
    <s v="консолидация кредитов"/>
    <n v="562760"/>
    <n v="738"/>
    <n v="1263652"/>
    <n v="12426"/>
    <n v="13.1"/>
    <n v="35.265240640000002"/>
    <n v="8"/>
    <n v="478021"/>
    <n v="684178"/>
    <n v="0"/>
    <n v="1.4413421673873972"/>
    <n v="0.9826897470039947"/>
    <n v="0.40074137090909095"/>
    <n v="0.16666666666666666"/>
    <n v="0"/>
    <n v="105304.33333333333"/>
    <n v="0.11800084200396946"/>
  </r>
  <r>
    <n v="210"/>
    <s v="8156ed23-5700-4450-a981-dcff4cf322ce"/>
    <x v="0"/>
    <x v="0"/>
    <x v="2"/>
    <s v="в ипотеке"/>
    <s v="консолидация кредитов"/>
    <n v="329120"/>
    <n v="715"/>
    <n v="1515896"/>
    <n v="21601.48"/>
    <n v="13"/>
    <n v="35.265240640000002"/>
    <n v="19"/>
    <n v="332576"/>
    <n v="683980"/>
    <n v="0"/>
    <n v="0.11116401722975064"/>
    <n v="0.95206391478029295"/>
    <n v="0.40074137090909095"/>
    <n v="0.42857142857142855"/>
    <n v="0"/>
    <n v="126324.66666666667"/>
    <n v="0.17099969918780708"/>
  </r>
  <r>
    <n v="787"/>
    <s v="579a0930-b731-47c4-afb0-36ee23e772eb"/>
    <x v="1"/>
    <x v="0"/>
    <x v="7"/>
    <s v="в аренде"/>
    <s v="консолидация кредитов"/>
    <n v="261448"/>
    <n v="719"/>
    <n v="940785"/>
    <n v="11681.39"/>
    <n v="13.3"/>
    <n v="20"/>
    <n v="15"/>
    <n v="237937"/>
    <n v="683672"/>
    <n v="0"/>
    <n v="-0.27411168803248293"/>
    <n v="0.95739014647137155"/>
    <n v="0.22727272727272727"/>
    <n v="0.33333333333333331"/>
    <n v="0"/>
    <n v="78398.75"/>
    <n v="0.14899969706149652"/>
  </r>
  <r>
    <n v="1529"/>
    <s v="8de45d20-3cb2-408d-b886-1b1d58ac37ba"/>
    <x v="0"/>
    <x v="1"/>
    <x v="5"/>
    <s v="в аренде"/>
    <s v="консолидация кредитов"/>
    <n v="309594.52439999999"/>
    <n v="706"/>
    <n v="983744"/>
    <n v="14977.51"/>
    <n v="17.8"/>
    <n v="35.265240640000002"/>
    <n v="7"/>
    <n v="423852"/>
    <n v="683518"/>
    <n v="0"/>
    <n v="-1.2411115481956205E-10"/>
    <n v="0.94007989347536614"/>
    <n v="0.40074137090909095"/>
    <n v="0.14285714285714285"/>
    <n v="0"/>
    <n v="81978.666666666672"/>
    <n v="0.18270009270704574"/>
  </r>
  <r>
    <n v="1524"/>
    <s v="a1156a6b-62a3-4cea-b7d3-27592e8f26ed"/>
    <x v="0"/>
    <x v="0"/>
    <x v="8"/>
    <s v="в ипотеке"/>
    <s v="консолидация кредитов"/>
    <n v="568392"/>
    <n v="712"/>
    <n v="1906916"/>
    <n v="34006.58"/>
    <n v="18.100000000000001"/>
    <n v="35.265240640000002"/>
    <n v="19"/>
    <n v="474430"/>
    <n v="682396"/>
    <n v="0"/>
    <n v="1.4734067254326284"/>
    <n v="0.94806924101198398"/>
    <n v="0.40074137090909095"/>
    <n v="0.42857142857142855"/>
    <n v="0"/>
    <n v="158909.66666666666"/>
    <n v="0.21399944203100715"/>
  </r>
  <r>
    <n v="1667"/>
    <s v="ea28c5f1-320b-41e9-b363-0ef8ff11f147"/>
    <x v="1"/>
    <x v="1"/>
    <x v="1"/>
    <s v="в ипотеке"/>
    <s v="консолидация кредитов"/>
    <n v="429220"/>
    <n v="731"/>
    <n v="1297415"/>
    <n v="25515.86"/>
    <n v="22.2"/>
    <n v="35.265240640000002"/>
    <n v="14"/>
    <n v="444790"/>
    <n v="682132"/>
    <n v="0"/>
    <n v="0.68106143561179311"/>
    <n v="0.97336884154460723"/>
    <n v="0.40074137090909095"/>
    <n v="0.30952380952380953"/>
    <n v="0"/>
    <n v="108117.91666666667"/>
    <n v="0.236000292890093"/>
  </r>
  <r>
    <n v="85"/>
    <s v="034ce7a6-999c-4ffa-a1d2-610f88a29606"/>
    <x v="0"/>
    <x v="1"/>
    <x v="1"/>
    <s v="в аренде"/>
    <s v="консолидация кредитов"/>
    <n v="262988"/>
    <n v="743"/>
    <n v="1340279"/>
    <n v="9348.3799999999992"/>
    <n v="28.2"/>
    <n v="35"/>
    <n v="9"/>
    <n v="499548"/>
    <n v="681296"/>
    <n v="0"/>
    <n v="-0.26534403544198998"/>
    <n v="0.98934753661784292"/>
    <n v="0.39772727272727271"/>
    <n v="0.19047619047619047"/>
    <n v="0"/>
    <n v="111689.91666666667"/>
    <n v="8.3699408854425075E-2"/>
  </r>
  <r>
    <n v="1319"/>
    <s v="5aa43efa-9173-40b1-9f33-ef2b4c7c77bf"/>
    <x v="0"/>
    <x v="1"/>
    <x v="1"/>
    <s v="в аренде"/>
    <s v="консолидация кредитов"/>
    <n v="522500"/>
    <n v="0"/>
    <n v="1168044"/>
    <n v="24274.21"/>
    <n v="16.399999999999999"/>
    <n v="35.265240640000002"/>
    <n v="11"/>
    <n v="378670"/>
    <n v="680834"/>
    <n v="0"/>
    <n v="1.2121306782359382"/>
    <n v="0"/>
    <n v="0.40074137090909095"/>
    <n v="0.23809523809523808"/>
    <n v="0"/>
    <n v="97337"/>
    <n v="0.24938317392153034"/>
  </r>
  <r>
    <n v="605"/>
    <s v="4b22d634-71bf-4e1e-8db9-27d9571a7e63"/>
    <x v="0"/>
    <x v="0"/>
    <x v="6"/>
    <s v="в ипотеке"/>
    <s v="консолидация кредитов"/>
    <n v="553916"/>
    <n v="594"/>
    <n v="2009174"/>
    <n v="29451.14"/>
    <n v="27.8"/>
    <n v="35.265240640000002"/>
    <n v="10"/>
    <n v="579443"/>
    <n v="680460"/>
    <n v="0"/>
    <n v="1.3909907910819947"/>
    <n v="0.79094540612516639"/>
    <n v="0.40074137090909095"/>
    <n v="0.21428571428571427"/>
    <n v="0"/>
    <n v="167431.16666666666"/>
    <n v="0.17589998676072854"/>
  </r>
  <r>
    <n v="1757"/>
    <s v="5a0dd0f3-f6e4-4713-8e89-d695cb0e2ce9"/>
    <x v="1"/>
    <x v="1"/>
    <x v="1"/>
    <s v="в аренде"/>
    <s v="консолидация кредитов"/>
    <n v="151118"/>
    <n v="738"/>
    <n v="932235"/>
    <n v="22140.51"/>
    <n v="9.9"/>
    <n v="6"/>
    <n v="15"/>
    <n v="14649"/>
    <n v="678744"/>
    <n v="0"/>
    <n v="-0.90225137005137157"/>
    <n v="0.9826897470039947"/>
    <n v="6.8181818181818177E-2"/>
    <n v="0.33333333333333331"/>
    <n v="0"/>
    <n v="77686.25"/>
    <n v="0.28499908284928155"/>
  </r>
  <r>
    <n v="578"/>
    <s v="525a4cbf-87dc-4623-ae8e-1641af410590"/>
    <x v="0"/>
    <x v="1"/>
    <x v="1"/>
    <s v="в ипотеке"/>
    <s v="ремонт жилья"/>
    <n v="762454"/>
    <n v="695"/>
    <n v="1467484"/>
    <n v="10199.01"/>
    <n v="17.399999999999999"/>
    <n v="54"/>
    <n v="6"/>
    <n v="129884"/>
    <n v="674454"/>
    <n v="0"/>
    <n v="2.5782562040146058"/>
    <n v="0.92543275632490019"/>
    <n v="0.61363636363636365"/>
    <n v="0.11904761904761904"/>
    <n v="0"/>
    <n v="122290.33333333333"/>
    <n v="8.3399968926407386E-2"/>
  </r>
  <r>
    <n v="536"/>
    <s v="c3c81bcd-a37d-4b94-850b-ea17e0fc173b"/>
    <x v="1"/>
    <x v="0"/>
    <x v="3"/>
    <s v="в аренде"/>
    <s v="крупная покупка"/>
    <n v="108130"/>
    <n v="730"/>
    <n v="672372"/>
    <n v="7883.48"/>
    <n v="13.4"/>
    <n v="53"/>
    <n v="6"/>
    <n v="216068"/>
    <n v="674366"/>
    <n v="0"/>
    <n v="-1.1469941295059893"/>
    <n v="0.9720372836218375"/>
    <n v="0.60227272727272729"/>
    <n v="0.11904761904761904"/>
    <n v="0"/>
    <n v="56031"/>
    <n v="0.1406985418786029"/>
  </r>
  <r>
    <n v="701"/>
    <s v="3463ebf8-6567-4a00-a378-51cd39c932b1"/>
    <x v="1"/>
    <x v="1"/>
    <x v="9"/>
    <s v="в аренде"/>
    <s v="бизнес"/>
    <n v="271700"/>
    <n v="696"/>
    <n v="675298"/>
    <n v="14293.89"/>
    <n v="24.5"/>
    <n v="57"/>
    <n v="14"/>
    <n v="272916"/>
    <n v="673772"/>
    <n v="0"/>
    <n v="-0.21574417221577263"/>
    <n v="0.92676431424766981"/>
    <n v="0.64772727272727271"/>
    <n v="0.30952380952380953"/>
    <n v="0"/>
    <n v="56274.833333333336"/>
    <n v="0.25400146305779076"/>
  </r>
  <r>
    <n v="562"/>
    <s v="005c1c39-6a07-45e1-8765-4371ab87ebed"/>
    <x v="0"/>
    <x v="1"/>
    <x v="8"/>
    <s v="в ипотеке"/>
    <s v="консолидация кредитов"/>
    <n v="266926"/>
    <n v="749"/>
    <n v="922127"/>
    <n v="10066.58"/>
    <n v="38.299999999999997"/>
    <n v="70"/>
    <n v="17"/>
    <n v="234346"/>
    <n v="673332"/>
    <n v="0"/>
    <n v="-0.24292389524630081"/>
    <n v="0.99733688415446076"/>
    <n v="0.79545454545454541"/>
    <n v="0.38095238095238093"/>
    <n v="0"/>
    <n v="76843.916666666672"/>
    <n v="0.13100035027713103"/>
  </r>
  <r>
    <n v="1091"/>
    <s v="32bf9369-54dc-4138-993b-89773ccf470a"/>
    <x v="0"/>
    <x v="1"/>
    <x v="1"/>
    <s v="в ипотеке"/>
    <s v="консолидация кредитов"/>
    <n v="564498"/>
    <n v="742"/>
    <n v="1875110"/>
    <n v="20001.3"/>
    <n v="32.700000000000003"/>
    <n v="75"/>
    <n v="20"/>
    <n v="434131"/>
    <n v="672914"/>
    <n v="0"/>
    <n v="1.4512370895966678"/>
    <n v="0.98801597869507318"/>
    <n v="0.85227272727272729"/>
    <n v="0.45238095238095238"/>
    <n v="0"/>
    <n v="156259.16666666666"/>
    <n v="0.12800081061911034"/>
  </r>
  <r>
    <n v="1086"/>
    <s v="4c216b6b-acf7-4d78-8d42-ab29b9e7930b"/>
    <x v="1"/>
    <x v="0"/>
    <x v="2"/>
    <s v="в аренде"/>
    <s v="консолидация кредитов"/>
    <n v="230318"/>
    <n v="707"/>
    <n v="1338778"/>
    <n v="18631.400000000001"/>
    <n v="10.199999999999999"/>
    <n v="35.265240640000002"/>
    <n v="14"/>
    <n v="181013"/>
    <n v="671814"/>
    <n v="1"/>
    <n v="-0.45134352254030496"/>
    <n v="0.94141145139813587"/>
    <n v="0.40074137090909095"/>
    <n v="0.30952380952380953"/>
    <n v="0.14285714285714285"/>
    <n v="111564.83333333333"/>
    <n v="0.16700065283415177"/>
  </r>
  <r>
    <n v="118"/>
    <s v="3ecdcd82-6b30-4518-bdf9-92de5833caee"/>
    <x v="1"/>
    <x v="1"/>
    <x v="7"/>
    <s v="в ипотеке"/>
    <s v="консолидация кредитов"/>
    <n v="86174"/>
    <n v="721"/>
    <n v="837311"/>
    <n v="10884.91"/>
    <n v="13.6"/>
    <n v="82"/>
    <n v="15"/>
    <n v="360867"/>
    <n v="671770"/>
    <n v="0"/>
    <n v="-1.2719958050104461"/>
    <n v="0.96005326231691079"/>
    <n v="0.93181818181818177"/>
    <n v="0.33333333333333331"/>
    <n v="0"/>
    <n v="69775.916666666672"/>
    <n v="0.15599809389820507"/>
  </r>
  <r>
    <n v="319"/>
    <s v="2b0b8447-335c-408d-9226-919788601a79"/>
    <x v="1"/>
    <x v="1"/>
    <x v="1"/>
    <s v="в аренде"/>
    <s v="консолидация кредитов"/>
    <n v="107712"/>
    <n v="744"/>
    <n v="576688"/>
    <n v="7256.67"/>
    <n v="13.5"/>
    <n v="35.265240640000002"/>
    <n v="15"/>
    <n v="263321"/>
    <n v="671572"/>
    <n v="0"/>
    <n v="-1.1493739209234088"/>
    <n v="0.99067909454061254"/>
    <n v="0.40074137090909095"/>
    <n v="0.33333333333333331"/>
    <n v="0"/>
    <n v="48057.333333333336"/>
    <n v="0.15100026357406432"/>
  </r>
  <r>
    <n v="979"/>
    <s v="2d658da1-af60-4906-a23e-dcbac33d95b9"/>
    <x v="0"/>
    <x v="0"/>
    <x v="1"/>
    <s v="в ипотеке"/>
    <s v="консолидация кредитов"/>
    <n v="787644"/>
    <n v="683"/>
    <n v="1749159"/>
    <n v="24634.07"/>
    <n v="22.1"/>
    <n v="5"/>
    <n v="17"/>
    <n v="362406"/>
    <n v="670340"/>
    <n v="0"/>
    <n v="2.7216699499590979"/>
    <n v="0.9094540612516645"/>
    <n v="5.6818181818181816E-2"/>
    <n v="0.38095238095238093"/>
    <n v="0"/>
    <n v="145763.25"/>
    <n v="0.16900055398051292"/>
  </r>
  <r>
    <n v="1203"/>
    <s v="066064a0-41e5-42af-9824-a240adbcd8e6"/>
    <x v="0"/>
    <x v="0"/>
    <x v="1"/>
    <s v="в собственности"/>
    <s v="консолидация кредитов"/>
    <n v="324060"/>
    <n v="683"/>
    <n v="699656"/>
    <n v="15509.13"/>
    <n v="22"/>
    <n v="78"/>
    <n v="9"/>
    <n v="247646"/>
    <n v="669966"/>
    <n v="0"/>
    <n v="8.2356015860988049E-2"/>
    <n v="0.9094540612516645"/>
    <n v="0.88636363636363635"/>
    <n v="0.19047619047619047"/>
    <n v="0"/>
    <n v="58304.666666666664"/>
    <n v="0.26600152074733868"/>
  </r>
  <r>
    <n v="983"/>
    <s v="074de4c9-5e54-4934-a6a6-d7360b12f651"/>
    <x v="0"/>
    <x v="1"/>
    <x v="8"/>
    <s v="в аренде"/>
    <s v="консолидация кредитов"/>
    <n v="225214"/>
    <n v="0"/>
    <n v="1168044"/>
    <n v="18186.04"/>
    <n v="12.9"/>
    <n v="35.265240640000002"/>
    <n v="10"/>
    <n v="131917"/>
    <n v="669922"/>
    <n v="0"/>
    <n v="-0.48040202826879591"/>
    <n v="0"/>
    <n v="0.40074137090909095"/>
    <n v="0.21428571428571427"/>
    <n v="0"/>
    <n v="97337"/>
    <n v="0.18683583837595161"/>
  </r>
  <r>
    <n v="1129"/>
    <s v="05f9b1ab-4d3f-4794-9bf6-aecf472e6fcb"/>
    <x v="0"/>
    <x v="1"/>
    <x v="9"/>
    <s v="в ипотеке"/>
    <s v="консолидация кредитов"/>
    <n v="309594.52439999999"/>
    <n v="744"/>
    <n v="3387510"/>
    <n v="32745.93"/>
    <n v="16"/>
    <n v="35.265240640000002"/>
    <n v="12"/>
    <n v="377758"/>
    <n v="669834"/>
    <n v="0"/>
    <n v="-1.2411115481956205E-10"/>
    <n v="0.99067909454061254"/>
    <n v="0.40074137090909095"/>
    <n v="0.26190476190476192"/>
    <n v="0"/>
    <n v="282292.5"/>
    <n v="0.11600000000000001"/>
  </r>
  <r>
    <n v="1670"/>
    <s v="15e78333-7be0-47c1-9440-6ea1da4f9bf5"/>
    <x v="1"/>
    <x v="1"/>
    <x v="1"/>
    <s v="в аренде"/>
    <s v="консолидация кредитов"/>
    <n v="99594"/>
    <n v="0"/>
    <n v="1168044"/>
    <n v="13371.82"/>
    <n v="17.600000000000001"/>
    <n v="40"/>
    <n v="9"/>
    <n v="80978"/>
    <n v="669812"/>
    <n v="0"/>
    <n v="-1.1955919752932931"/>
    <n v="0"/>
    <n v="0.45454545454545453"/>
    <n v="0.19047619047619047"/>
    <n v="0"/>
    <n v="97337"/>
    <n v="0.13737653718524301"/>
  </r>
  <r>
    <n v="315"/>
    <s v="b80882aa-56b6-4e07-9897-c33e506ec24e"/>
    <x v="0"/>
    <x v="1"/>
    <x v="2"/>
    <s v="в аренде"/>
    <s v="иное"/>
    <n v="125004"/>
    <n v="0"/>
    <n v="1168044"/>
    <n v="27041.75"/>
    <n v="19.5"/>
    <n v="31"/>
    <n v="18"/>
    <n v="247342"/>
    <n v="667568"/>
    <n v="1"/>
    <n v="-1.0509257075501592"/>
    <n v="0"/>
    <n v="0.35227272727272729"/>
    <n v="0.40476190476190477"/>
    <n v="0.14285714285714285"/>
    <n v="97337"/>
    <n v="0.2778157329689635"/>
  </r>
  <r>
    <n v="824"/>
    <s v="409c81f2-fbf9-4636-a734-f67e176f6589"/>
    <x v="0"/>
    <x v="1"/>
    <x v="10"/>
    <s v="в ипотеке"/>
    <s v="ремонт жилья"/>
    <n v="352220"/>
    <n v="750"/>
    <n v="2129273"/>
    <n v="10859.26"/>
    <n v="20.7"/>
    <n v="68"/>
    <n v="12"/>
    <n v="289180"/>
    <n v="667018"/>
    <n v="0"/>
    <n v="0.24267880608714507"/>
    <n v="0.99866844207723038"/>
    <n v="0.77272727272727271"/>
    <n v="0.26190476190476192"/>
    <n v="0"/>
    <n v="177439.41666666666"/>
    <n v="6.1199817966038177E-2"/>
  </r>
  <r>
    <n v="1881"/>
    <s v="6d0d9fe9-e992-4521-819b-6342246f0104"/>
    <x v="0"/>
    <x v="1"/>
    <x v="1"/>
    <s v="в аренде"/>
    <s v="консолидация кредитов"/>
    <n v="189310"/>
    <n v="735"/>
    <n v="488262"/>
    <n v="12816.83"/>
    <n v="22.5"/>
    <n v="71"/>
    <n v="13"/>
    <n v="247608"/>
    <n v="666754"/>
    <n v="0"/>
    <n v="-0.68481358580714613"/>
    <n v="0.97869507323568572"/>
    <n v="0.80681818181818177"/>
    <n v="0.2857142857142857"/>
    <n v="0"/>
    <n v="40688.5"/>
    <n v="0.31499883259397621"/>
  </r>
  <r>
    <n v="988"/>
    <s v="aabf4f9d-13ce-47f7-b65b-1930d66a1a33"/>
    <x v="0"/>
    <x v="1"/>
    <x v="0"/>
    <s v="в ипотеке"/>
    <s v="консолидация кредитов"/>
    <n v="309594.52439999999"/>
    <n v="726"/>
    <n v="1058167"/>
    <n v="14285.34"/>
    <n v="12"/>
    <n v="5"/>
    <n v="14"/>
    <n v="192584"/>
    <n v="665676"/>
    <n v="0"/>
    <n v="-1.2411115481956205E-10"/>
    <n v="0.96671105193075901"/>
    <n v="5.6818181818181816E-2"/>
    <n v="0.30952380952380953"/>
    <n v="0"/>
    <n v="88180.583333333328"/>
    <n v="0.16200096960120663"/>
  </r>
  <r>
    <n v="1335"/>
    <s v="6b128802-bdc6-4a16-ae1c-c0851167e752"/>
    <x v="0"/>
    <x v="0"/>
    <x v="1"/>
    <s v="в собственности"/>
    <s v="консолидация кредитов"/>
    <n v="519508"/>
    <n v="660"/>
    <n v="3084536"/>
    <n v="35214.980000000003"/>
    <n v="17.600000000000001"/>
    <n v="35.265240640000002"/>
    <n v="13"/>
    <n v="424555"/>
    <n v="664334"/>
    <n v="1"/>
    <n v="1.1950963817744091"/>
    <n v="0.87882822902796276"/>
    <n v="0.40074137090909095"/>
    <n v="0.2857142857142857"/>
    <n v="0.14285714285714285"/>
    <n v="257044.66666666666"/>
    <n v="0.136999457941162"/>
  </r>
  <r>
    <n v="706"/>
    <s v="7d91c943-f6f8-45e9-aedc-cdcddf7401dd"/>
    <x v="1"/>
    <x v="1"/>
    <x v="1"/>
    <s v="в ипотеке"/>
    <s v="иное"/>
    <n v="219538"/>
    <n v="751"/>
    <n v="1611618"/>
    <n v="11603.49"/>
    <n v="21"/>
    <n v="35.265240640000002"/>
    <n v="9"/>
    <n v="79572"/>
    <n v="662882"/>
    <n v="0"/>
    <n v="-0.5127170906737557"/>
    <n v="1"/>
    <n v="0.40074137090909095"/>
    <n v="0.19047619047619047"/>
    <n v="0"/>
    <n v="134301.5"/>
    <n v="8.6398811629058492E-2"/>
  </r>
  <r>
    <n v="600"/>
    <s v="d7f9c457-1001-4f8b-bf74-24cdb67adefc"/>
    <x v="0"/>
    <x v="0"/>
    <x v="1"/>
    <s v="в ипотеке"/>
    <s v="консолидация кредитов"/>
    <n v="327426"/>
    <n v="713"/>
    <n v="3676101"/>
    <n v="38292.79"/>
    <n v="29.8"/>
    <n v="49"/>
    <n v="13"/>
    <n v="429115"/>
    <n v="661628"/>
    <n v="0"/>
    <n v="0.10151959938020838"/>
    <n v="0.94940079893475371"/>
    <n v="0.55681818181818177"/>
    <n v="0.2857142857142857"/>
    <n v="0"/>
    <n v="306341.75"/>
    <n v="0.12500023258338114"/>
  </r>
  <r>
    <n v="113"/>
    <s v="030a28e3-11ef-4d3f-9601-0479039ac27c"/>
    <x v="1"/>
    <x v="0"/>
    <x v="6"/>
    <s v="в аренде"/>
    <s v="консолидация кредитов"/>
    <n v="349756"/>
    <n v="737"/>
    <n v="2491945"/>
    <n v="23258.28"/>
    <n v="21.5"/>
    <n v="35.265240640000002"/>
    <n v="7"/>
    <n v="270332"/>
    <n v="660396"/>
    <n v="0"/>
    <n v="0.22865056194235631"/>
    <n v="0.98135818908122507"/>
    <n v="0.40074137090909095"/>
    <n v="0.14285714285714285"/>
    <n v="0"/>
    <n v="207662.08333333334"/>
    <n v="0.11200060996530821"/>
  </r>
  <r>
    <n v="781"/>
    <s v="f589bab3-3e5c-47aa-b3c5-8617f9098254"/>
    <x v="0"/>
    <x v="1"/>
    <x v="8"/>
    <s v="в ипотеке"/>
    <s v="ремонт жилья"/>
    <n v="107932"/>
    <n v="735"/>
    <n v="1211782"/>
    <n v="28173.96"/>
    <n v="28.5"/>
    <n v="35.265240640000002"/>
    <n v="9"/>
    <n v="521322"/>
    <n v="658988"/>
    <n v="0"/>
    <n v="-1.148121399124767"/>
    <n v="0.97869507323568572"/>
    <n v="0.40074137090909095"/>
    <n v="0.19047619047619047"/>
    <n v="0"/>
    <n v="100981.83333333333"/>
    <n v="0.27900028222898177"/>
  </r>
  <r>
    <n v="1419"/>
    <s v="9699568c-ea41-4c89-a184-a19fc876459c"/>
    <x v="1"/>
    <x v="0"/>
    <x v="6"/>
    <s v="в аренде"/>
    <s v="консолидация кредитов"/>
    <n v="776710"/>
    <n v="0"/>
    <n v="1168044"/>
    <n v="22921.79"/>
    <n v="14.5"/>
    <n v="35.265240640000002"/>
    <n v="9"/>
    <n v="255341"/>
    <n v="658482"/>
    <n v="0"/>
    <n v="2.659419616566598"/>
    <n v="0"/>
    <n v="0.40074137090909095"/>
    <n v="0.19047619047619047"/>
    <n v="0"/>
    <n v="97337"/>
    <n v="0.23548897130587548"/>
  </r>
  <r>
    <n v="941"/>
    <s v="af6f67a1-3a23-4b84-ad7f-716b9c09ef78"/>
    <x v="0"/>
    <x v="0"/>
    <x v="1"/>
    <s v="в ипотеке"/>
    <s v="Медицинские счета"/>
    <n v="551166"/>
    <n v="725"/>
    <n v="2878842"/>
    <n v="35721.519999999997"/>
    <n v="23"/>
    <n v="35.265240640000002"/>
    <n v="9"/>
    <n v="243637"/>
    <n v="657602"/>
    <n v="0"/>
    <n v="1.3753342685989716"/>
    <n v="0.96537949400798939"/>
    <n v="0.40074137090909095"/>
    <n v="0.19047619047619047"/>
    <n v="0"/>
    <n v="239903.5"/>
    <n v="0.14889953668871023"/>
  </r>
  <r>
    <n v="241"/>
    <s v="b2e263f2-7ca6-4def-ae66-425aca9a44ce"/>
    <x v="0"/>
    <x v="1"/>
    <x v="5"/>
    <s v="в ипотеке"/>
    <s v="ремонт жилья"/>
    <n v="553366"/>
    <n v="0"/>
    <n v="1168044"/>
    <n v="35698.910000000003"/>
    <n v="21.5"/>
    <n v="47"/>
    <n v="17"/>
    <n v="305349"/>
    <n v="657184"/>
    <n v="0"/>
    <n v="1.3878594865853899"/>
    <n v="0"/>
    <n v="0.53409090909090906"/>
    <n v="0.38095238095238093"/>
    <n v="0"/>
    <n v="97337"/>
    <n v="0.36675580714425143"/>
  </r>
  <r>
    <n v="342"/>
    <s v="865bd443-5b86-4b07-9218-8dffe43209fc"/>
    <x v="0"/>
    <x v="0"/>
    <x v="8"/>
    <s v="в ипотеке"/>
    <s v="ремонт жилья"/>
    <n v="764544"/>
    <n v="703"/>
    <n v="1697859"/>
    <n v="17685.96"/>
    <n v="25.5"/>
    <n v="31"/>
    <n v="10"/>
    <n v="300789"/>
    <n v="657118"/>
    <n v="1"/>
    <n v="2.5901551611017033"/>
    <n v="0.93608521970705727"/>
    <n v="0.35227272727272729"/>
    <n v="0.21428571428571427"/>
    <n v="0.14285714285714285"/>
    <n v="141488.25"/>
    <n v="0.12499949642461476"/>
  </r>
  <r>
    <n v="1746"/>
    <s v="08fe30ec-1bc5-4108-a10b-af01acfe22c9"/>
    <x v="0"/>
    <x v="1"/>
    <x v="4"/>
    <s v="в аренде"/>
    <s v="консолидация кредитов"/>
    <n v="309594.52439999999"/>
    <n v="725"/>
    <n v="2531712"/>
    <n v="23418.26"/>
    <n v="15.4"/>
    <n v="7"/>
    <n v="11"/>
    <n v="445341"/>
    <n v="656898"/>
    <n v="1"/>
    <n v="-1.2411115481956205E-10"/>
    <n v="0.96537949400798939"/>
    <n v="7.9545454545454544E-2"/>
    <n v="0.23809523809523808"/>
    <n v="0.14285714285714285"/>
    <n v="210976"/>
    <n v="0.11099963976945244"/>
  </r>
  <r>
    <n v="611"/>
    <s v="98abffdc-c2d7-4416-8893-b081628d8767"/>
    <x v="0"/>
    <x v="1"/>
    <x v="1"/>
    <s v="в ипотеке"/>
    <s v="консолидация кредитов"/>
    <n v="309594.52439999999"/>
    <n v="734"/>
    <n v="2178787"/>
    <n v="41541.980000000003"/>
    <n v="25"/>
    <n v="38"/>
    <n v="9"/>
    <n v="311201"/>
    <n v="655160"/>
    <n v="1"/>
    <n v="-1.2411115481956205E-10"/>
    <n v="0.9773635153129161"/>
    <n v="0.43181818181818182"/>
    <n v="0.19047619047619047"/>
    <n v="0.14285714285714285"/>
    <n v="181565.58333333334"/>
    <n v="0.22879875820812223"/>
  </r>
  <r>
    <n v="1212"/>
    <s v="575bad5b-ac46-43eb-8e4c-6edff7985a83"/>
    <x v="0"/>
    <x v="1"/>
    <x v="8"/>
    <s v="в аренде"/>
    <s v="консолидация кредитов"/>
    <n v="338162"/>
    <n v="695"/>
    <n v="753692"/>
    <n v="21040.6"/>
    <n v="19.2"/>
    <n v="35.265240640000002"/>
    <n v="14"/>
    <n v="524533"/>
    <n v="654478"/>
    <n v="0"/>
    <n v="0.16264266315393075"/>
    <n v="0.92543275632490019"/>
    <n v="0.40074137090909095"/>
    <n v="0.30952380952380953"/>
    <n v="0"/>
    <n v="62807.666666666664"/>
    <n v="0.33500050418473326"/>
  </r>
  <r>
    <n v="1473"/>
    <s v="d91ac4c6-6023-43e1-bc0e-1c1cdbde66ec"/>
    <x v="0"/>
    <x v="1"/>
    <x v="1"/>
    <s v="в аренде"/>
    <s v="консолидация кредитов"/>
    <n v="197516"/>
    <n v="0"/>
    <n v="1168044"/>
    <n v="10894.98"/>
    <n v="17.100000000000001"/>
    <n v="35.265240640000002"/>
    <n v="9"/>
    <n v="415226"/>
    <n v="654126"/>
    <n v="0"/>
    <n v="-0.63809452271780498"/>
    <n v="0"/>
    <n v="0.40074137090909095"/>
    <n v="0.19047619047619047"/>
    <n v="0"/>
    <n v="97337"/>
    <n v="0.11193050946710911"/>
  </r>
  <r>
    <n v="695"/>
    <s v="ceef9374-a4c3-4518-acf9-2a2fd38768ba"/>
    <x v="0"/>
    <x v="1"/>
    <x v="1"/>
    <s v="в аренде"/>
    <s v="консолидация кредитов"/>
    <n v="303380"/>
    <n v="0"/>
    <n v="1168044"/>
    <n v="56924.76"/>
    <n v="22.5"/>
    <n v="13"/>
    <n v="12"/>
    <n v="245575"/>
    <n v="653708"/>
    <n v="0"/>
    <n v="-3.5381033211346009E-2"/>
    <n v="0"/>
    <n v="0.14772727272727273"/>
    <n v="0.26190476190476192"/>
    <n v="0"/>
    <n v="97337"/>
    <n v="0.58482139371462039"/>
  </r>
  <r>
    <n v="1449"/>
    <s v="908e07ff-9c66-4f3a-9cd4-ed1255c83eb8"/>
    <x v="0"/>
    <x v="1"/>
    <x v="2"/>
    <s v="в собственности"/>
    <s v="консолидация кредитов"/>
    <n v="150788"/>
    <n v="0"/>
    <n v="1168044"/>
    <n v="14511.82"/>
    <n v="31"/>
    <n v="35.265240640000002"/>
    <n v="10"/>
    <n v="262789"/>
    <n v="652982"/>
    <n v="0"/>
    <n v="-0.90413015274933428"/>
    <n v="0"/>
    <n v="0.40074137090909095"/>
    <n v="0.21428571428571427"/>
    <n v="0"/>
    <n v="97337"/>
    <n v="0.14908842475112238"/>
  </r>
  <r>
    <n v="1573"/>
    <s v="4287473b-57b4-44f6-bdc2-8bb70a8c5b85"/>
    <x v="0"/>
    <x v="1"/>
    <x v="1"/>
    <s v="в аренде"/>
    <s v="консолидация кредитов"/>
    <n v="422092"/>
    <n v="723"/>
    <n v="1013384"/>
    <n v="11653.84"/>
    <n v="29"/>
    <n v="65"/>
    <n v="9"/>
    <n v="412680"/>
    <n v="651882"/>
    <n v="0"/>
    <n v="0.64047972933579711"/>
    <n v="0.96271637816245004"/>
    <n v="0.73863636363636365"/>
    <n v="0.19047619047619047"/>
    <n v="0"/>
    <n v="84448.666666666672"/>
    <n v="0.13799910004499774"/>
  </r>
  <r>
    <n v="1094"/>
    <s v="00bfbeb5-3807-4afa-a66f-244ca100b986"/>
    <x v="0"/>
    <x v="1"/>
    <x v="1"/>
    <s v="в аренде"/>
    <s v="иное"/>
    <n v="612260"/>
    <n v="678"/>
    <n v="1665692"/>
    <n v="20821.34"/>
    <n v="16"/>
    <n v="35.265240640000002"/>
    <n v="13"/>
    <n v="310289"/>
    <n v="650870"/>
    <n v="0"/>
    <n v="1.7231595720818138"/>
    <n v="0.90279627163781628"/>
    <n v="0.40074137090909095"/>
    <n v="0.2857142857142857"/>
    <n v="0"/>
    <n v="138807.66666666666"/>
    <n v="0.15000136880047452"/>
  </r>
  <r>
    <n v="1947"/>
    <s v="0969ef37-1387-4cf2-bf5a-569fb3510066"/>
    <x v="0"/>
    <x v="1"/>
    <x v="0"/>
    <s v="в ипотеке"/>
    <s v="консолидация кредитов"/>
    <n v="782716"/>
    <n v="703"/>
    <n v="2510755"/>
    <n v="36405.9"/>
    <n v="20.8"/>
    <n v="35.265240640000002"/>
    <n v="8"/>
    <n v="448305"/>
    <n v="650496"/>
    <n v="0"/>
    <n v="2.6936134616695204"/>
    <n v="0.93608521970705727"/>
    <n v="0.40074137090909095"/>
    <n v="0.16666666666666666"/>
    <n v="0"/>
    <n v="209229.58333333334"/>
    <n v="0.17399977297665442"/>
  </r>
  <r>
    <n v="943"/>
    <s v="7c06a279-9653-4185-961e-39d5fe242e4d"/>
    <x v="1"/>
    <x v="1"/>
    <x v="3"/>
    <s v="в аренде"/>
    <s v="консолидация кредитов"/>
    <n v="349360"/>
    <n v="0"/>
    <n v="1168044"/>
    <n v="17254.66"/>
    <n v="19.899999999999999"/>
    <n v="35.265240640000002"/>
    <n v="17"/>
    <n v="497135"/>
    <n v="650452"/>
    <n v="0"/>
    <n v="0.226396022704801"/>
    <n v="0"/>
    <n v="0.40074137090909095"/>
    <n v="0.38095238095238093"/>
    <n v="0"/>
    <n v="97337"/>
    <n v="0.17726722623462815"/>
  </r>
  <r>
    <n v="237"/>
    <s v="7a4ecabe-6d54-4609-a0f0-17b20b1622a9"/>
    <x v="0"/>
    <x v="0"/>
    <x v="1"/>
    <s v="в ипотеке"/>
    <s v="консолидация кредитов"/>
    <n v="398464"/>
    <n v="715"/>
    <n v="975004"/>
    <n v="15356.37"/>
    <n v="20.5"/>
    <n v="35.265240640000002"/>
    <n v="13"/>
    <n v="326857"/>
    <n v="650276"/>
    <n v="0"/>
    <n v="0.50595888816166223"/>
    <n v="0.95206391478029295"/>
    <n v="0.40074137090909095"/>
    <n v="0.2857142857142857"/>
    <n v="0"/>
    <n v="81250.333333333328"/>
    <n v="0.18900070153558346"/>
  </r>
  <r>
    <n v="391"/>
    <s v="f4f1de27-a30b-41c6-9357-79a73a23ed12"/>
    <x v="0"/>
    <x v="0"/>
    <x v="1"/>
    <s v="в ипотеке"/>
    <s v="консолидация кредитов"/>
    <n v="332552"/>
    <n v="0"/>
    <n v="1168044"/>
    <n v="18093.32"/>
    <n v="26.9"/>
    <n v="35.265240640000002"/>
    <n v="9"/>
    <n v="324539"/>
    <n v="650122"/>
    <n v="0"/>
    <n v="0.13070335728856353"/>
    <n v="0"/>
    <n v="0.40074137090909095"/>
    <n v="0.19047619047619047"/>
    <n v="0"/>
    <n v="97337"/>
    <n v="0.18588327152059339"/>
  </r>
  <r>
    <n v="907"/>
    <s v="f822a943-eda5-4a79-bf70-ff28e86d47f5"/>
    <x v="0"/>
    <x v="0"/>
    <x v="9"/>
    <s v="в аренде"/>
    <s v="консолидация кредитов"/>
    <n v="614108"/>
    <n v="682"/>
    <n v="1444722"/>
    <n v="39489.03"/>
    <n v="14.2"/>
    <n v="35.265240640000002"/>
    <n v="14"/>
    <n v="343425"/>
    <n v="649770"/>
    <n v="0"/>
    <n v="1.7336807551904052"/>
    <n v="0.90812250332889477"/>
    <n v="0.40074137090909095"/>
    <n v="0.30952380952380953"/>
    <n v="0"/>
    <n v="120393.5"/>
    <n v="0.32799968436834215"/>
  </r>
  <r>
    <n v="573"/>
    <s v="a1c84742-4e01-4a1a-ada3-029775d773a7"/>
    <x v="1"/>
    <x v="1"/>
    <x v="0"/>
    <s v="в собственности"/>
    <s v="консолидация кредитов"/>
    <n v="214698"/>
    <n v="0"/>
    <n v="1168044"/>
    <n v="10241.19"/>
    <n v="29.9"/>
    <n v="35.265240640000002"/>
    <n v="9"/>
    <n v="297540"/>
    <n v="648824"/>
    <n v="0"/>
    <n v="-0.54027257024387643"/>
    <n v="0"/>
    <n v="0.40074137090909095"/>
    <n v="0.19047619047619047"/>
    <n v="0"/>
    <n v="97337"/>
    <n v="0.10521374194807731"/>
  </r>
  <r>
    <n v="1242"/>
    <s v="22435cfd-b071-455f-901a-dd2a9d3eda3c"/>
    <x v="1"/>
    <x v="0"/>
    <x v="5"/>
    <s v="в ипотеке"/>
    <s v="консолидация кредитов"/>
    <n v="366014"/>
    <n v="726"/>
    <n v="1072493"/>
    <n v="21271.07"/>
    <n v="15"/>
    <n v="35.265240640000002"/>
    <n v="16"/>
    <n v="156997"/>
    <n v="646932"/>
    <n v="0"/>
    <n v="0.32121192286198913"/>
    <n v="0.96671105193075901"/>
    <n v="0.40074137090909095"/>
    <n v="0.35714285714285715"/>
    <n v="0"/>
    <n v="89374.416666666672"/>
    <n v="0.23799953939093307"/>
  </r>
  <r>
    <n v="598"/>
    <s v="e821735e-ec9d-46d7-a8c6-4142629d7045"/>
    <x v="1"/>
    <x v="1"/>
    <x v="0"/>
    <s v="в аренде"/>
    <s v="консолидация кредитов"/>
    <n v="341308"/>
    <n v="741"/>
    <n v="669503"/>
    <n v="9317.2199999999993"/>
    <n v="11.4"/>
    <n v="35.265240640000002"/>
    <n v="6"/>
    <n v="379601"/>
    <n v="646404"/>
    <n v="0"/>
    <n v="0.18055372487450921"/>
    <n v="0.98668442077230356"/>
    <n v="0.40074137090909095"/>
    <n v="0.11904761904761904"/>
    <n v="0"/>
    <n v="55791.916666666664"/>
    <n v="0.1669994607940517"/>
  </r>
  <r>
    <n v="1454"/>
    <s v="4a369b32-499f-4112-adf5-0f739ffbf8bb"/>
    <x v="0"/>
    <x v="1"/>
    <x v="1"/>
    <s v="в аренде"/>
    <s v="консолидация кредитов"/>
    <n v="585266"/>
    <n v="706"/>
    <n v="1273000"/>
    <n v="20686.439999999999"/>
    <n v="16.399999999999999"/>
    <n v="35.265240640000002"/>
    <n v="12"/>
    <n v="505343"/>
    <n v="645854"/>
    <n v="0"/>
    <n v="1.5694751473884585"/>
    <n v="0.94007989347536614"/>
    <n v="0.40074137090909095"/>
    <n v="0.26190476190476192"/>
    <n v="0"/>
    <n v="106083.33333333333"/>
    <n v="0.19500179104477611"/>
  </r>
  <r>
    <n v="1347"/>
    <s v="1f8a2969-be14-4b17-9ed0-bf7d9465c962"/>
    <x v="0"/>
    <x v="0"/>
    <x v="8"/>
    <s v="в ипотеке"/>
    <s v="ремонт жилья"/>
    <n v="642246"/>
    <n v="691"/>
    <n v="1207830"/>
    <n v="12581.42"/>
    <n v="16.899999999999999"/>
    <n v="35.265240640000002"/>
    <n v="7"/>
    <n v="129276"/>
    <n v="645194"/>
    <n v="0"/>
    <n v="1.893878293236698"/>
    <n v="0.92010652463382159"/>
    <n v="0.40074137090909095"/>
    <n v="0.14285714285714285"/>
    <n v="0"/>
    <n v="100652.5"/>
    <n v="0.12499858423784804"/>
  </r>
  <r>
    <n v="1646"/>
    <s v="0f6d5e13-d94d-4174-a035-caa2518c017d"/>
    <x v="0"/>
    <x v="1"/>
    <x v="1"/>
    <s v="в аренде"/>
    <s v="консолидация кредитов"/>
    <n v="309594.52439999999"/>
    <n v="740"/>
    <n v="1305262"/>
    <n v="27693.45"/>
    <n v="20.3"/>
    <n v="35.265240640000002"/>
    <n v="5"/>
    <n v="439584"/>
    <n v="643478"/>
    <n v="0"/>
    <n v="-1.2411115481956205E-10"/>
    <n v="0.98535286284953394"/>
    <n v="0.40074137090909095"/>
    <n v="9.5238095238095233E-2"/>
    <n v="0"/>
    <n v="108771.83333333333"/>
    <n v="0.2546012984366357"/>
  </r>
  <r>
    <n v="320"/>
    <s v="78d34582-bfa9-4905-87f6-e2388392350e"/>
    <x v="0"/>
    <x v="1"/>
    <x v="8"/>
    <s v="в ипотеке"/>
    <s v="консолидация кредитов"/>
    <n v="155210"/>
    <n v="744"/>
    <n v="1053265"/>
    <n v="17466.509999999998"/>
    <n v="13.3"/>
    <n v="35.265240640000002"/>
    <n v="8"/>
    <n v="492841"/>
    <n v="640464"/>
    <n v="0"/>
    <n v="-0.87895446459663307"/>
    <n v="0.99067909454061254"/>
    <n v="0.40074137090909095"/>
    <n v="0.16666666666666666"/>
    <n v="0"/>
    <n v="87772.083333333328"/>
    <n v="0.1989984666726797"/>
  </r>
  <r>
    <n v="153"/>
    <s v="45f8e491-a49a-478d-8ec0-68d6fbd10c90"/>
    <x v="1"/>
    <x v="0"/>
    <x v="1"/>
    <s v="в ипотеке"/>
    <s v="консолидация кредитов"/>
    <n v="332684"/>
    <n v="722"/>
    <n v="881087"/>
    <n v="12702.26"/>
    <n v="14.5"/>
    <n v="35.265240640000002"/>
    <n v="9"/>
    <n v="472226"/>
    <n v="640266"/>
    <n v="0"/>
    <n v="0.13145487036774864"/>
    <n v="0.96138482023968042"/>
    <n v="0.40074137090909095"/>
    <n v="0.19047619047619047"/>
    <n v="0"/>
    <n v="73423.916666666672"/>
    <n v="0.17299894335065663"/>
  </r>
  <r>
    <n v="413"/>
    <s v="0ec4572c-0882-4245-b2a1-7015771148b7"/>
    <x v="1"/>
    <x v="1"/>
    <x v="6"/>
    <s v="в аренде"/>
    <s v="консолидация кредитов"/>
    <n v="224312"/>
    <n v="700"/>
    <n v="678034"/>
    <n v="13052.24"/>
    <n v="12.8"/>
    <n v="64"/>
    <n v="13"/>
    <n v="240863"/>
    <n v="639650"/>
    <n v="0"/>
    <n v="-0.48553736764322747"/>
    <n v="0.93209054593874829"/>
    <n v="0.72727272727272729"/>
    <n v="0.2857142857142857"/>
    <n v="0"/>
    <n v="56502.833333333336"/>
    <n v="0.23100151319845316"/>
  </r>
  <r>
    <n v="217"/>
    <s v="f2679b6f-e5c8-4af8-8027-b2933a535741"/>
    <x v="1"/>
    <x v="1"/>
    <x v="1"/>
    <s v="в ипотеке"/>
    <s v="консолидация кредитов"/>
    <n v="269170"/>
    <n v="714"/>
    <n v="1259206"/>
    <n v="15110.51"/>
    <n v="10.199999999999999"/>
    <n v="35.265240640000002"/>
    <n v="9"/>
    <n v="392730"/>
    <n v="639584"/>
    <n v="1"/>
    <n v="-0.23014817290015394"/>
    <n v="0.95073235685752333"/>
    <n v="0.40074137090909095"/>
    <n v="0.19047619047619047"/>
    <n v="0.14285714285714285"/>
    <n v="104933.83333333333"/>
    <n v="0.14400036213296316"/>
  </r>
  <r>
    <n v="1078"/>
    <s v="ed884917-1142-4286-8c3e-5b2704bd25c8"/>
    <x v="0"/>
    <x v="0"/>
    <x v="7"/>
    <s v="в аренде"/>
    <s v="иное"/>
    <n v="309594.52439999999"/>
    <n v="702"/>
    <n v="1532920"/>
    <n v="12442.15"/>
    <n v="15"/>
    <n v="76"/>
    <n v="9"/>
    <n v="256652"/>
    <n v="639078"/>
    <n v="0"/>
    <n v="-1.2411115481956205E-10"/>
    <n v="0.93475366178428765"/>
    <n v="0.86363636363636365"/>
    <n v="0.19047619047619047"/>
    <n v="0"/>
    <n v="127743.33333333333"/>
    <n v="9.7399603371343582E-2"/>
  </r>
  <r>
    <n v="1938"/>
    <s v="e11932bb-38c9-4a31-b470-cf101a5bd5a5"/>
    <x v="0"/>
    <x v="1"/>
    <x v="6"/>
    <s v="в аренде"/>
    <s v="бизнес"/>
    <n v="66836"/>
    <n v="715"/>
    <n v="692550"/>
    <n v="11831.11"/>
    <n v="28.3"/>
    <n v="35.265240640000002"/>
    <n v="10"/>
    <n v="423605"/>
    <n v="638660"/>
    <n v="0"/>
    <n v="-1.3820924711110649"/>
    <n v="0.95206391478029295"/>
    <n v="0.40074137090909095"/>
    <n v="0.21428571428571427"/>
    <n v="0"/>
    <n v="57712.5"/>
    <n v="0.20500082304526751"/>
  </r>
  <r>
    <n v="58"/>
    <s v="b6f9e737-6609-45fd-8d6c-37b1b64c45df"/>
    <x v="0"/>
    <x v="1"/>
    <x v="9"/>
    <s v="в ипотеке"/>
    <s v="консолидация кредитов"/>
    <n v="669372"/>
    <n v="725"/>
    <n v="2158210"/>
    <n v="34711.29"/>
    <n v="9.1999999999999993"/>
    <n v="35.265240640000002"/>
    <n v="17"/>
    <n v="496052"/>
    <n v="638176"/>
    <n v="0"/>
    <n v="2.0483142310092384"/>
    <n v="0.96537949400798939"/>
    <n v="0.40074137090909095"/>
    <n v="0.38095238095238093"/>
    <n v="0"/>
    <n v="179850.83333333334"/>
    <n v="0.19300044017959328"/>
  </r>
  <r>
    <n v="206"/>
    <s v="2bac8213-2ea9-4aa7-9112-8cc72cbb616e"/>
    <x v="1"/>
    <x v="1"/>
    <x v="1"/>
    <s v="в ипотеке"/>
    <s v="консолидация кредитов"/>
    <n v="432256"/>
    <n v="737"/>
    <n v="2053216"/>
    <n v="16305.8"/>
    <n v="17.399999999999999"/>
    <n v="35.265240640000002"/>
    <n v="11"/>
    <n v="316331"/>
    <n v="638088"/>
    <n v="0"/>
    <n v="0.69834623643305072"/>
    <n v="0.98135818908122507"/>
    <n v="0.40074137090909095"/>
    <n v="0.23809523809523808"/>
    <n v="0"/>
    <n v="171101.33333333334"/>
    <n v="9.5299082025466386E-2"/>
  </r>
  <r>
    <n v="1493"/>
    <s v="db573cbd-d6ca-4847-bc94-0e0f5114cf63"/>
    <x v="0"/>
    <x v="0"/>
    <x v="3"/>
    <s v="в аренде"/>
    <s v="консолидация кредитов"/>
    <n v="258500"/>
    <n v="0"/>
    <n v="1168044"/>
    <n v="28031.27"/>
    <n v="14.5"/>
    <n v="35.265240640000002"/>
    <n v="16"/>
    <n v="34713"/>
    <n v="638066"/>
    <n v="0"/>
    <n v="-0.29089548013428373"/>
    <n v="0"/>
    <n v="0.40074137090909095"/>
    <n v="0.35714285714285715"/>
    <n v="0"/>
    <n v="97337"/>
    <n v="0.28798165137614679"/>
  </r>
  <r>
    <n v="1893"/>
    <s v="90b6a3db-4808-4131-a0d1-5dbbb66af4d4"/>
    <x v="0"/>
    <x v="0"/>
    <x v="9"/>
    <s v="в ипотеке"/>
    <s v="консолидация кредитов"/>
    <n v="474144"/>
    <n v="657"/>
    <n v="1139601"/>
    <n v="23457.02"/>
    <n v="18.7"/>
    <n v="23"/>
    <n v="19"/>
    <n v="270921"/>
    <n v="637582"/>
    <n v="0"/>
    <n v="0.93682638689445918"/>
    <n v="0.87483355525965378"/>
    <n v="0.26136363636363635"/>
    <n v="0.42857142857142855"/>
    <n v="0"/>
    <n v="94966.75"/>
    <n v="0.24700245085780023"/>
  </r>
  <r>
    <n v="1014"/>
    <s v="d05e0fef-0b8a-4f1b-bffe-24f3fe30bf42"/>
    <x v="0"/>
    <x v="1"/>
    <x v="7"/>
    <s v="в собственности"/>
    <s v="консолидация кредитов"/>
    <n v="178508"/>
    <n v="739"/>
    <n v="2312604"/>
    <n v="21777.040000000001"/>
    <n v="21.3"/>
    <n v="18"/>
    <n v="9"/>
    <n v="134216"/>
    <n v="636878"/>
    <n v="0"/>
    <n v="-0.74631240612046101"/>
    <n v="0.98402130492676432"/>
    <n v="0.20454545454545456"/>
    <n v="0.19047619047619047"/>
    <n v="0"/>
    <n v="192717"/>
    <n v="0.11300009859016071"/>
  </r>
  <r>
    <n v="1591"/>
    <s v="fa54d330-b6a8-4c39-b245-9527bb483378"/>
    <x v="0"/>
    <x v="0"/>
    <x v="6"/>
    <s v="в ипотеке"/>
    <s v="консолидация кредитов"/>
    <n v="558866"/>
    <n v="685"/>
    <n v="1835989"/>
    <n v="27233.84"/>
    <n v="26.6"/>
    <n v="35.265240640000002"/>
    <n v="12"/>
    <n v="427177"/>
    <n v="635778"/>
    <n v="0"/>
    <n v="1.4191725315514363"/>
    <n v="0.91211717709720375"/>
    <n v="0.40074137090909095"/>
    <n v="0.26190476190476192"/>
    <n v="0"/>
    <n v="152999.08333333334"/>
    <n v="0.17800002069729176"/>
  </r>
  <r>
    <n v="1674"/>
    <s v="75cdaf88-6cad-4a52-9264-53dae3afdb4d"/>
    <x v="0"/>
    <x v="1"/>
    <x v="4"/>
    <s v="в ипотеке"/>
    <s v="консолидация кредитов"/>
    <n v="268664"/>
    <n v="740"/>
    <n v="1102171"/>
    <n v="27462.41"/>
    <n v="13.2"/>
    <n v="35.265240640000002"/>
    <n v="13"/>
    <n v="194313"/>
    <n v="635558"/>
    <n v="0"/>
    <n v="-0.23302897303703018"/>
    <n v="0.98535286284953394"/>
    <n v="0.40074137090909095"/>
    <n v="0.2857142857142857"/>
    <n v="0"/>
    <n v="91847.583333333328"/>
    <n v="0.29899981037425227"/>
  </r>
  <r>
    <n v="901"/>
    <s v="79c14eee-bde2-4138-8d04-a4f4567e85c3"/>
    <x v="0"/>
    <x v="1"/>
    <x v="1"/>
    <s v="в ипотеке"/>
    <s v="консолидация кредитов"/>
    <n v="485782"/>
    <n v="0"/>
    <n v="1168044"/>
    <n v="21325.41"/>
    <n v="12.7"/>
    <n v="35.265240640000002"/>
    <n v="8"/>
    <n v="423339"/>
    <n v="634128"/>
    <n v="0"/>
    <n v="1.0030847900426132"/>
    <n v="0"/>
    <n v="0.40074137090909095"/>
    <n v="0.16666666666666666"/>
    <n v="0"/>
    <n v="97337"/>
    <n v="0.21908842475112239"/>
  </r>
  <r>
    <n v="1752"/>
    <s v="4ccbe775-c172-4f1f-8642-3831c4be2f2f"/>
    <x v="0"/>
    <x v="0"/>
    <x v="1"/>
    <s v="в ипотеке"/>
    <s v="консолидация кредитов"/>
    <n v="550330"/>
    <n v="733"/>
    <n v="1996197"/>
    <n v="7535.78"/>
    <n v="39.9"/>
    <n v="35.265240640000002"/>
    <n v="5"/>
    <n v="245423"/>
    <n v="631488"/>
    <n v="0"/>
    <n v="1.3705746857641325"/>
    <n v="0.97603195739014648"/>
    <n v="0.40074137090909095"/>
    <n v="9.5238095238095233E-2"/>
    <n v="0"/>
    <n v="166349.75"/>
    <n v="4.5300819508295023E-2"/>
  </r>
  <r>
    <n v="1261"/>
    <s v="32b9f205-1f85-4fc9-ace0-8e0e52ee309d"/>
    <x v="0"/>
    <x v="0"/>
    <x v="1"/>
    <s v="в ипотеке"/>
    <s v="консолидация кредитов"/>
    <n v="693660"/>
    <n v="673"/>
    <n v="2957863"/>
    <n v="55460.05"/>
    <n v="21.3"/>
    <n v="37"/>
    <n v="22"/>
    <n v="350151"/>
    <n v="630542"/>
    <n v="0"/>
    <n v="2.1865926375792988"/>
    <n v="0.89613848202396806"/>
    <n v="0.42045454545454547"/>
    <n v="0.5"/>
    <n v="0"/>
    <n v="246488.58333333334"/>
    <n v="0.22500048176673498"/>
  </r>
  <r>
    <n v="737"/>
    <s v="1a445b1c-32a7-49c6-82a0-3e9742e02635"/>
    <x v="1"/>
    <x v="1"/>
    <x v="3"/>
    <s v="в аренде"/>
    <s v="консолидация кредитов"/>
    <n v="623436"/>
    <n v="0"/>
    <n v="1168044"/>
    <n v="17820.099999999999"/>
    <n v="15"/>
    <n v="35.265240640000002"/>
    <n v="27"/>
    <n v="448647"/>
    <n v="630454"/>
    <n v="0"/>
    <n v="1.7867876794528197"/>
    <n v="0"/>
    <n v="0.40074137090909095"/>
    <n v="0.61904761904761907"/>
    <n v="0"/>
    <n v="97337"/>
    <n v="0.18307632246730429"/>
  </r>
  <r>
    <n v="263"/>
    <s v="01af6fa9-b03b-4271-ad41-68144af5174c"/>
    <x v="1"/>
    <x v="0"/>
    <x v="1"/>
    <s v="в ипотеке"/>
    <s v="консолидация кредитов"/>
    <n v="581592"/>
    <n v="0"/>
    <n v="1168044"/>
    <n v="20455.02"/>
    <n v="17.5"/>
    <n v="35.265240640000002"/>
    <n v="13"/>
    <n v="363983"/>
    <n v="629970"/>
    <n v="0"/>
    <n v="1.5485580333511395"/>
    <n v="0"/>
    <n v="0.40074137090909095"/>
    <n v="0.2857142857142857"/>
    <n v="0"/>
    <n v="97337"/>
    <n v="0.21014639859457349"/>
  </r>
  <r>
    <n v="1288"/>
    <s v="02a92d8a-0508-40eb-9bb5-a9c6fc1019cd"/>
    <x v="0"/>
    <x v="0"/>
    <x v="7"/>
    <s v="в аренде"/>
    <s v="консолидация кредитов"/>
    <n v="453530"/>
    <n v="667"/>
    <n v="1506472"/>
    <n v="16571.23"/>
    <n v="18.7"/>
    <n v="50"/>
    <n v="12"/>
    <n v="353875"/>
    <n v="628430"/>
    <n v="0"/>
    <n v="0.81946509436171777"/>
    <n v="0.88814913448735022"/>
    <n v="0.56818181818181823"/>
    <n v="0.26190476190476192"/>
    <n v="0"/>
    <n v="125539.33333333333"/>
    <n v="0.13200030269397639"/>
  </r>
  <r>
    <n v="1558"/>
    <s v="3bbee81c-510a-490a-84fe-a3a2e42ba220"/>
    <x v="0"/>
    <x v="1"/>
    <x v="4"/>
    <s v="в ипотеке"/>
    <s v="консолидация кредитов"/>
    <n v="309594.52439999999"/>
    <n v="744"/>
    <n v="1232283"/>
    <n v="11193.28"/>
    <n v="14"/>
    <n v="35.265240640000002"/>
    <n v="7"/>
    <n v="203984"/>
    <n v="628188"/>
    <n v="0"/>
    <n v="-1.2411115481956205E-10"/>
    <n v="0.99067909454061254"/>
    <n v="0.40074137090909095"/>
    <n v="0.14285714285714285"/>
    <n v="0"/>
    <n v="102690.25"/>
    <n v="0.10900041630047644"/>
  </r>
  <r>
    <n v="1802"/>
    <s v="29911bdf-fafc-49a2-a45c-a854ff0f444f"/>
    <x v="0"/>
    <x v="1"/>
    <x v="8"/>
    <s v="в ипотеке"/>
    <s v="консолидация кредитов"/>
    <n v="433466"/>
    <n v="748"/>
    <n v="947720"/>
    <n v="12162.47"/>
    <n v="15.9"/>
    <n v="58"/>
    <n v="11"/>
    <n v="255683"/>
    <n v="627198"/>
    <n v="0"/>
    <n v="0.70523510632558084"/>
    <n v="0.99600532623169102"/>
    <n v="0.65909090909090906"/>
    <n v="0.23809523809523808"/>
    <n v="0"/>
    <n v="78976.666666666672"/>
    <n v="0.15400080192461907"/>
  </r>
  <r>
    <n v="405"/>
    <s v="023fa202-c60a-4d28-9961-3fe45d280800"/>
    <x v="0"/>
    <x v="0"/>
    <x v="1"/>
    <s v="в ипотеке"/>
    <s v="консолидация кредитов"/>
    <n v="260436"/>
    <n v="734"/>
    <n v="1244272"/>
    <n v="11924.21"/>
    <n v="28.4"/>
    <n v="26"/>
    <n v="12"/>
    <n v="189696"/>
    <n v="625812"/>
    <n v="0"/>
    <n v="-0.27987328830623542"/>
    <n v="0.9773635153129161"/>
    <n v="0.29545454545454547"/>
    <n v="0.26190476190476192"/>
    <n v="0"/>
    <n v="103689.33333333333"/>
    <n v="0.114999389201075"/>
  </r>
  <r>
    <n v="597"/>
    <s v="9ed1cd35-8374-43b8-a683-961004917032"/>
    <x v="0"/>
    <x v="0"/>
    <x v="1"/>
    <s v="в ипотеке"/>
    <s v="консолидация кредитов"/>
    <n v="483604"/>
    <n v="731"/>
    <n v="1213853"/>
    <n v="20938.759999999998"/>
    <n v="31.3"/>
    <n v="49"/>
    <n v="17"/>
    <n v="310802"/>
    <n v="624800"/>
    <n v="0"/>
    <n v="0.99068482423605886"/>
    <n v="0.97336884154460723"/>
    <n v="0.55681818181818177"/>
    <n v="0.38095238095238093"/>
    <n v="0"/>
    <n v="101154.41666666667"/>
    <n v="0.20699798080986739"/>
  </r>
  <r>
    <n v="768"/>
    <s v="e17ed1a4-1a75-43fa-bffb-be294a3f77c4"/>
    <x v="0"/>
    <x v="0"/>
    <x v="9"/>
    <s v="в ипотеке"/>
    <s v="консолидация кредитов"/>
    <n v="309594.52439999999"/>
    <n v="704"/>
    <n v="1139658"/>
    <n v="14815.63"/>
    <n v="21.9"/>
    <n v="25"/>
    <n v="17"/>
    <n v="489782"/>
    <n v="624580"/>
    <n v="0"/>
    <n v="-1.2411115481956205E-10"/>
    <n v="0.93741677762982689"/>
    <n v="0.28409090909090912"/>
    <n v="0.38095238095238093"/>
    <n v="0"/>
    <n v="94971.5"/>
    <n v="0.15600080024007201"/>
  </r>
  <r>
    <n v="1477"/>
    <s v="f0701754-e783-414c-83de-af8cd9d920ed"/>
    <x v="1"/>
    <x v="1"/>
    <x v="1"/>
    <s v="в ипотеке"/>
    <s v="консолидация кредитов"/>
    <n v="162580"/>
    <n v="0"/>
    <n v="1168044"/>
    <n v="21805.35"/>
    <n v="29"/>
    <n v="40"/>
    <n v="13"/>
    <n v="281371"/>
    <n v="624140"/>
    <n v="0"/>
    <n v="-0.83699498434213104"/>
    <n v="0"/>
    <n v="0.45454545454545453"/>
    <n v="0.2857142857142857"/>
    <n v="0"/>
    <n v="97337"/>
    <n v="0.2240191294163576"/>
  </r>
  <r>
    <n v="585"/>
    <s v="f5bfeb48-47d2-49fc-b1b0-753356004cc5"/>
    <x v="0"/>
    <x v="1"/>
    <x v="1"/>
    <s v="в ипотеке"/>
    <s v="консолидация кредитов"/>
    <n v="309594.52439999999"/>
    <n v="733"/>
    <n v="1381528"/>
    <n v="13009.49"/>
    <n v="18.399999999999999"/>
    <n v="35.265240640000002"/>
    <n v="8"/>
    <n v="411464"/>
    <n v="622776"/>
    <n v="0"/>
    <n v="-1.2411115481956205E-10"/>
    <n v="0.97603195739014648"/>
    <n v="0.40074137090909095"/>
    <n v="0.16666666666666666"/>
    <n v="0"/>
    <n v="115127.33333333333"/>
    <n v="0.11300088018483882"/>
  </r>
  <r>
    <n v="808"/>
    <s v="a76f88e5-205d-4172-a260-a02d31dc975c"/>
    <x v="0"/>
    <x v="0"/>
    <x v="2"/>
    <s v="в ипотеке"/>
    <s v="консолидация кредитов"/>
    <n v="520454"/>
    <n v="716"/>
    <n v="1323825"/>
    <n v="24049.63"/>
    <n v="12.8"/>
    <n v="35.265240640000002"/>
    <n v="9"/>
    <n v="441009"/>
    <n v="622732"/>
    <n v="0"/>
    <n v="1.200482225508569"/>
    <n v="0.95339547270306257"/>
    <n v="0.40074137090909095"/>
    <n v="0.19047619047619047"/>
    <n v="0"/>
    <n v="110318.75"/>
    <n v="0.21800129171151778"/>
  </r>
  <r>
    <n v="332"/>
    <s v="58e605ce-de2a-4851-9126-022c7591fc2f"/>
    <x v="0"/>
    <x v="1"/>
    <x v="8"/>
    <s v="в аренде"/>
    <s v="консолидация кредитов"/>
    <n v="170962"/>
    <n v="710"/>
    <n v="598082"/>
    <n v="7426.15"/>
    <n v="12.8"/>
    <n v="5"/>
    <n v="14"/>
    <n v="117211"/>
    <n v="622534"/>
    <n v="0"/>
    <n v="-0.78927390381387652"/>
    <n v="0.94540612516644473"/>
    <n v="5.6818181818181816E-2"/>
    <n v="0.30952380952380953"/>
    <n v="0"/>
    <n v="49840.166666666664"/>
    <n v="0.14899930109918039"/>
  </r>
  <r>
    <n v="929"/>
    <s v="5a12f723-b483-4929-aaaf-30c2e840476c"/>
    <x v="0"/>
    <x v="1"/>
    <x v="4"/>
    <s v="в аренде"/>
    <s v="консолидация кредитов"/>
    <n v="151096"/>
    <n v="747"/>
    <n v="1134642"/>
    <n v="18437.98"/>
    <n v="16.5"/>
    <n v="35.265240640000002"/>
    <n v="8"/>
    <n v="101004"/>
    <n v="622072"/>
    <n v="1"/>
    <n v="-0.90237662223123571"/>
    <n v="0.9946737683089214"/>
    <n v="0.40074137090909095"/>
    <n v="0.16666666666666666"/>
    <n v="0.14285714285714285"/>
    <n v="94553.5"/>
    <n v="0.19500050236109714"/>
  </r>
  <r>
    <n v="189"/>
    <s v="9a378a11-d17c-486f-bdc8-2ce117215d6b"/>
    <x v="0"/>
    <x v="1"/>
    <x v="1"/>
    <s v="в ипотеке"/>
    <s v="ремонт жилья"/>
    <n v="263450"/>
    <n v="0"/>
    <n v="1168044"/>
    <n v="7319.18"/>
    <n v="16.899999999999999"/>
    <n v="35.265240640000002"/>
    <n v="17"/>
    <n v="169100"/>
    <n v="621610"/>
    <n v="1"/>
    <n v="-0.26271373966484207"/>
    <n v="0"/>
    <n v="0.40074137090909095"/>
    <n v="0.38095238095238093"/>
    <n v="0.14285714285714285"/>
    <n v="97337"/>
    <n v="7.5194222135467503E-2"/>
  </r>
  <r>
    <n v="896"/>
    <s v="da105bec-b959-451e-9830-0f01afb1a940"/>
    <x v="0"/>
    <x v="1"/>
    <x v="2"/>
    <s v="в ипотеке"/>
    <s v="консолидация кредитов"/>
    <n v="401038"/>
    <n v="714"/>
    <n v="1421941"/>
    <n v="10356.52"/>
    <n v="15.3"/>
    <n v="58"/>
    <n v="22"/>
    <n v="357485"/>
    <n v="621500"/>
    <n v="0"/>
    <n v="0.52061339320577193"/>
    <n v="0.95073235685752333"/>
    <n v="0.65909090909090906"/>
    <n v="0.5"/>
    <n v="0"/>
    <n v="118495.08333333333"/>
    <n v="8.7400419567337892E-2"/>
  </r>
  <r>
    <n v="56"/>
    <s v="48e551b4-6a6f-4450-bf3c-f0ee9bcb266e"/>
    <x v="1"/>
    <x v="1"/>
    <x v="1"/>
    <s v="в ипотеке"/>
    <s v="консолидация кредитов"/>
    <n v="176198"/>
    <n v="736"/>
    <n v="1902090"/>
    <n v="28372.89"/>
    <n v="15.4"/>
    <n v="7"/>
    <n v="9"/>
    <n v="206872"/>
    <n v="620554"/>
    <n v="0"/>
    <n v="-0.75946388500620043"/>
    <n v="0.98002663115845534"/>
    <n v="7.9545454545454544E-2"/>
    <n v="0.19047619047619047"/>
    <n v="0"/>
    <n v="158507.5"/>
    <n v="0.1790002996703626"/>
  </r>
  <r>
    <n v="199"/>
    <s v="c68e4653-01eb-4e55-88c3-80b151fa9c90"/>
    <x v="1"/>
    <x v="1"/>
    <x v="7"/>
    <s v="в аренде"/>
    <s v="консолидация кредитов"/>
    <n v="304590"/>
    <n v="746"/>
    <n v="1202510"/>
    <n v="28960.18"/>
    <n v="19.7"/>
    <n v="35.265240640000002"/>
    <n v="9"/>
    <n v="314830"/>
    <n v="619982"/>
    <n v="0"/>
    <n v="-2.8492163318815822E-2"/>
    <n v="0.99334221038615178"/>
    <n v="0.40074137090909095"/>
    <n v="0.19047619047619047"/>
    <n v="0"/>
    <n v="100209.16666666667"/>
    <n v="0.28899731395165112"/>
  </r>
  <r>
    <n v="108"/>
    <s v="455d606b-6b1e-4222-9b90-987c55d001e6"/>
    <x v="0"/>
    <x v="1"/>
    <x v="7"/>
    <s v="в ипотеке"/>
    <s v="консолидация кредитов"/>
    <n v="541310"/>
    <n v="722"/>
    <n v="1682982"/>
    <n v="52733.36"/>
    <n v="17.899999999999999"/>
    <n v="35"/>
    <n v="13"/>
    <n v="356288"/>
    <n v="619432"/>
    <n v="0"/>
    <n v="1.3192212920198165"/>
    <n v="0.96138482023968042"/>
    <n v="0.39772727272727271"/>
    <n v="0.2857142857142857"/>
    <n v="0"/>
    <n v="140248.5"/>
    <n v="0.37599945810472124"/>
  </r>
  <r>
    <n v="1981"/>
    <s v="3190471a-ea53-44f5-b0bf-8a5e1bc8c948"/>
    <x v="0"/>
    <x v="1"/>
    <x v="1"/>
    <s v="в аренде"/>
    <s v="консолидация кредитов"/>
    <n v="255156"/>
    <n v="737"/>
    <n v="862277"/>
    <n v="8622.77"/>
    <n v="38.299999999999997"/>
    <n v="73"/>
    <n v="11"/>
    <n v="297654"/>
    <n v="618772"/>
    <n v="1"/>
    <n v="-0.30993381147363991"/>
    <n v="0.98135818908122507"/>
    <n v="0.82954545454545459"/>
    <n v="0.23809523809523808"/>
    <n v="0.14285714285714285"/>
    <n v="71856.416666666672"/>
    <n v="0.12"/>
  </r>
  <r>
    <n v="1386"/>
    <s v="68f48b57-2a62-4da7-8e4f-b53aae8c1a4d"/>
    <x v="1"/>
    <x v="0"/>
    <x v="2"/>
    <s v="в собственности"/>
    <s v="ремонт жилья"/>
    <n v="780560"/>
    <n v="614"/>
    <n v="1637135"/>
    <n v="43383.839999999997"/>
    <n v="25.7"/>
    <n v="30"/>
    <n v="10"/>
    <n v="265354"/>
    <n v="618200"/>
    <n v="1"/>
    <n v="2.6813387480428301"/>
    <n v="0.81757656458055927"/>
    <n v="0.34090909090909088"/>
    <n v="0.21428571428571427"/>
    <n v="0.14285714285714285"/>
    <n v="136427.91666666666"/>
    <n v="0.3179982591539488"/>
  </r>
  <r>
    <n v="1694"/>
    <s v="afe5a05c-8165-4767-82e8-28d0b6e55136"/>
    <x v="0"/>
    <x v="1"/>
    <x v="7"/>
    <s v="в ипотеке"/>
    <s v="консолидация кредитов"/>
    <n v="240240"/>
    <n v="743"/>
    <n v="1400566"/>
    <n v="19689.7"/>
    <n v="22.1"/>
    <n v="6"/>
    <n v="11"/>
    <n v="203889"/>
    <n v="618002"/>
    <n v="1"/>
    <n v="-0.39485478942155744"/>
    <n v="0.98934753661784292"/>
    <n v="6.8181818181818177E-2"/>
    <n v="0.23809523809523808"/>
    <n v="0.14285714285714285"/>
    <n v="116713.83333333333"/>
    <n v="0.16870065387850341"/>
  </r>
  <r>
    <n v="519"/>
    <s v="13e096cd-097c-4b51-8c32-c57776e6d263"/>
    <x v="0"/>
    <x v="1"/>
    <x v="6"/>
    <s v="в ипотеке"/>
    <s v="консолидация кредитов"/>
    <n v="268752"/>
    <n v="747"/>
    <n v="812364"/>
    <n v="6654.56"/>
    <n v="15.3"/>
    <n v="35.265240640000002"/>
    <n v="9"/>
    <n v="278103"/>
    <n v="615692"/>
    <n v="0"/>
    <n v="-0.23252796431757344"/>
    <n v="0.9946737683089214"/>
    <n v="0.40074137090909095"/>
    <n v="0.19047619047619047"/>
    <n v="0"/>
    <n v="67697"/>
    <n v="9.8299186079146797E-2"/>
  </r>
  <r>
    <n v="1213"/>
    <s v="38d74813-5774-4e82-95e0-fb3ef557e599"/>
    <x v="0"/>
    <x v="0"/>
    <x v="5"/>
    <s v="в аренде"/>
    <s v="консолидация кредитов"/>
    <n v="486002"/>
    <n v="688"/>
    <n v="1217957"/>
    <n v="24866.63"/>
    <n v="18"/>
    <n v="35.265240640000002"/>
    <n v="12"/>
    <n v="511917"/>
    <n v="614240"/>
    <n v="0"/>
    <n v="1.0043373118412551"/>
    <n v="0.91611185086551261"/>
    <n v="0.40074137090909095"/>
    <n v="0.26190476190476192"/>
    <n v="0"/>
    <n v="101496.41666666667"/>
    <n v="0.2450000779994696"/>
  </r>
  <r>
    <n v="1389"/>
    <s v="9fb1ad76-eeb4-4e22-9533-4b94d89edf02"/>
    <x v="0"/>
    <x v="0"/>
    <x v="2"/>
    <s v="в ипотеке"/>
    <s v="консолидация кредитов"/>
    <n v="444840"/>
    <n v="728"/>
    <n v="916275"/>
    <n v="10995.3"/>
    <n v="7.8"/>
    <n v="35.265240640000002"/>
    <n v="8"/>
    <n v="354692"/>
    <n v="613910"/>
    <n v="0"/>
    <n v="0.76999048331536457"/>
    <n v="0.96937416777629826"/>
    <n v="0.40074137090909095"/>
    <n v="0.16666666666666666"/>
    <n v="0"/>
    <n v="76356.25"/>
    <n v="0.14399999999999999"/>
  </r>
  <r>
    <n v="1101"/>
    <s v="a9d21c1b-d737-4ede-b121-958b02aea759"/>
    <x v="0"/>
    <x v="1"/>
    <x v="5"/>
    <s v="в аренде"/>
    <s v="бизнес"/>
    <n v="437580"/>
    <n v="747"/>
    <n v="982566"/>
    <n v="17931.82"/>
    <n v="14.1"/>
    <n v="72"/>
    <n v="11"/>
    <n v="78926"/>
    <n v="613360"/>
    <n v="0"/>
    <n v="0.72865726396018349"/>
    <n v="0.9946737683089214"/>
    <n v="0.81818181818181823"/>
    <n v="0.23809523809523808"/>
    <n v="0"/>
    <n v="81880.5"/>
    <n v="0.21899988397725953"/>
  </r>
  <r>
    <n v="79"/>
    <s v="47e5d0b1-228e-4fae-a0a5-22f4b9f8ad7d"/>
    <x v="0"/>
    <x v="1"/>
    <x v="9"/>
    <s v="в ипотеке"/>
    <s v="консолидация кредитов"/>
    <n v="433312"/>
    <n v="736"/>
    <n v="1010401"/>
    <n v="22228.86"/>
    <n v="16.100000000000001"/>
    <n v="11"/>
    <n v="19"/>
    <n v="201780"/>
    <n v="613228"/>
    <n v="0"/>
    <n v="0.70435834106653161"/>
    <n v="0.98002663115845534"/>
    <n v="0.125"/>
    <n v="0.42857142857142855"/>
    <n v="0"/>
    <n v="84200.083333333328"/>
    <n v="0.26400045130596667"/>
  </r>
  <r>
    <n v="1300"/>
    <s v="82e6f16a-2597-4559-8eea-5229fe35d6e5"/>
    <x v="0"/>
    <x v="1"/>
    <x v="8"/>
    <s v="в аренде"/>
    <s v="консолидация кредитов"/>
    <n v="394900"/>
    <n v="747"/>
    <n v="1686269"/>
    <n v="15878.87"/>
    <n v="9.1"/>
    <n v="54"/>
    <n v="12"/>
    <n v="8987"/>
    <n v="611688"/>
    <n v="0"/>
    <n v="0.48566803502366429"/>
    <n v="0.9946737683089214"/>
    <n v="0.61363636363636365"/>
    <n v="0.26190476190476192"/>
    <n v="0"/>
    <n v="140522.41666666666"/>
    <n v="0.11299883944969635"/>
  </r>
  <r>
    <n v="411"/>
    <s v="1a7fbc55-d351-48ef-b7eb-d1680fb416cd"/>
    <x v="1"/>
    <x v="0"/>
    <x v="2"/>
    <s v="в аренде"/>
    <s v="консолидация кредитов"/>
    <n v="444752"/>
    <n v="706"/>
    <n v="1920520"/>
    <n v="43371.68"/>
    <n v="16.100000000000001"/>
    <n v="72"/>
    <n v="22"/>
    <n v="353362"/>
    <n v="611578"/>
    <n v="0"/>
    <n v="0.76948947459590789"/>
    <n v="0.94007989347536614"/>
    <n v="0.81818181818181823"/>
    <n v="0.5"/>
    <n v="0"/>
    <n v="160043.33333333334"/>
    <n v="0.27099960427384251"/>
  </r>
  <r>
    <n v="257"/>
    <s v="70f10338-c42a-442b-8d27-fd47fe3f6d39"/>
    <x v="0"/>
    <x v="1"/>
    <x v="1"/>
    <s v="в ипотеке"/>
    <s v="консолидация кредитов"/>
    <n v="117854"/>
    <n v="709"/>
    <n v="848958"/>
    <n v="15069.09"/>
    <n v="15.4"/>
    <n v="35.265240640000002"/>
    <n v="10"/>
    <n v="404073"/>
    <n v="609994"/>
    <n v="0"/>
    <n v="-1.0916326660060196"/>
    <n v="0.94407456724367511"/>
    <n v="0.40074137090909095"/>
    <n v="0.21428571428571427"/>
    <n v="0"/>
    <n v="70746.5"/>
    <n v="0.21300120854035182"/>
  </r>
  <r>
    <n v="965"/>
    <s v="480ecd21-b00e-4bf9-8547-7b5269d05ede"/>
    <x v="0"/>
    <x v="0"/>
    <x v="1"/>
    <s v="в ипотеке"/>
    <s v="ремонт жилья"/>
    <n v="269104"/>
    <n v="715"/>
    <n v="1297567"/>
    <n v="13624.52"/>
    <n v="20.3"/>
    <n v="48"/>
    <n v="20"/>
    <n v="182020"/>
    <n v="609158"/>
    <n v="1"/>
    <n v="-0.23052392943974651"/>
    <n v="0.95206391478029295"/>
    <n v="0.54545454545454541"/>
    <n v="0.45238095238095238"/>
    <n v="0.14285714285714285"/>
    <n v="108130.58333333333"/>
    <n v="0.12600061499714466"/>
  </r>
  <r>
    <n v="972"/>
    <s v="d11855a2-35f1-4370-bf82-1e1e7fe6d817"/>
    <x v="0"/>
    <x v="1"/>
    <x v="3"/>
    <s v="в ипотеке"/>
    <s v="консолидация кредитов"/>
    <n v="87252"/>
    <n v="746"/>
    <n v="1789667"/>
    <n v="16121.88"/>
    <n v="14.6"/>
    <n v="35.265240640000002"/>
    <n v="9"/>
    <n v="315609"/>
    <n v="609070"/>
    <n v="0"/>
    <n v="-1.2658584481971011"/>
    <n v="0.99334221038615178"/>
    <n v="0.40074137090909095"/>
    <n v="0.19047619047619047"/>
    <n v="0"/>
    <n v="149138.91666666666"/>
    <n v="0.10809975263554616"/>
  </r>
  <r>
    <n v="730"/>
    <s v="2158463f-c6e7-4985-86ea-c38e06b924f7"/>
    <x v="0"/>
    <x v="1"/>
    <x v="1"/>
    <s v="в ипотеке"/>
    <s v="консолидация кредитов"/>
    <n v="259270"/>
    <n v="741"/>
    <n v="1306193"/>
    <n v="33090.21"/>
    <n v="21"/>
    <n v="35.265240640000002"/>
    <n v="10"/>
    <n v="498579"/>
    <n v="607046"/>
    <n v="0"/>
    <n v="-0.28651165383903726"/>
    <n v="0.98668442077230356"/>
    <n v="0.40074137090909095"/>
    <n v="0.21428571428571427"/>
    <n v="0"/>
    <n v="108849.41666666667"/>
    <n v="0.30399988363128572"/>
  </r>
  <r>
    <n v="305"/>
    <s v="d959a0ee-3b70-4344-a4ec-faecafd20145"/>
    <x v="0"/>
    <x v="0"/>
    <x v="1"/>
    <s v="в ипотеке"/>
    <s v="консолидация кредитов"/>
    <n v="628474"/>
    <n v="676"/>
    <n v="1235741"/>
    <n v="26568.46"/>
    <n v="26.5"/>
    <n v="7"/>
    <n v="12"/>
    <n v="252871"/>
    <n v="603702"/>
    <n v="0"/>
    <n v="1.8154704286417183"/>
    <n v="0.90013315579227693"/>
    <n v="7.9545454545454544E-2"/>
    <n v="0.26190476190476192"/>
    <n v="0"/>
    <n v="102978.41666666667"/>
    <n v="0.2580002767570227"/>
  </r>
  <r>
    <n v="1918"/>
    <s v="1c7ced74-b1c5-4728-b25c-f69ddfa5a060"/>
    <x v="0"/>
    <x v="1"/>
    <x v="10"/>
    <s v="в ипотеке"/>
    <s v="консолидация кредитов"/>
    <n v="225192"/>
    <n v="710"/>
    <n v="1166904"/>
    <n v="10307.69"/>
    <n v="20.100000000000001"/>
    <n v="45"/>
    <n v="14"/>
    <n v="431319"/>
    <n v="603174"/>
    <n v="0"/>
    <n v="-0.48052728044866005"/>
    <n v="0.94540612516644473"/>
    <n v="0.51136363636363635"/>
    <n v="0.30952380952380953"/>
    <n v="0"/>
    <n v="97242"/>
    <n v="0.10600039077764753"/>
  </r>
  <r>
    <n v="1170"/>
    <s v="c33eb25a-f3ea-438f-b348-2d5fbb68b761"/>
    <x v="1"/>
    <x v="0"/>
    <x v="1"/>
    <s v="в ипотеке"/>
    <s v="консолидация кредитов"/>
    <n v="668976"/>
    <n v="691"/>
    <n v="2311008"/>
    <n v="35242.910000000003"/>
    <n v="30"/>
    <n v="14"/>
    <n v="13"/>
    <n v="184889"/>
    <n v="601326"/>
    <n v="0"/>
    <n v="2.0460596917716831"/>
    <n v="0.92010652463382159"/>
    <n v="0.15909090909090909"/>
    <n v="0.2857142857142857"/>
    <n v="0"/>
    <n v="192584"/>
    <n v="0.18300019731649567"/>
  </r>
  <r>
    <n v="387"/>
    <s v="faa524e8-2e89-414e-9a18-3042d1ef9166"/>
    <x v="0"/>
    <x v="1"/>
    <x v="1"/>
    <s v="в ипотеке"/>
    <s v="консолидация кредитов"/>
    <n v="328350"/>
    <n v="745"/>
    <n v="1343243"/>
    <n v="11529.39"/>
    <n v="19.399999999999999"/>
    <n v="35.265240640000002"/>
    <n v="7"/>
    <n v="373958"/>
    <n v="600578"/>
    <n v="0"/>
    <n v="0.10678019093450415"/>
    <n v="0.99201065246338216"/>
    <n v="0.40074137090909095"/>
    <n v="0.14285714285714285"/>
    <n v="0"/>
    <n v="111936.91666666667"/>
    <n v="0.10299899571410384"/>
  </r>
  <r>
    <n v="667"/>
    <s v="fce04ba9-317f-4df7-a5f9-a1bd69e006d3"/>
    <x v="0"/>
    <x v="1"/>
    <x v="10"/>
    <s v="в аренде"/>
    <s v="консолидация кредитов"/>
    <n v="318538"/>
    <n v="749"/>
    <n v="1623892"/>
    <n v="5264.14"/>
    <n v="16.8"/>
    <n v="35.265240640000002"/>
    <n v="6"/>
    <n v="213199"/>
    <n v="599192"/>
    <n v="0"/>
    <n v="5.0917718715077574E-2"/>
    <n v="0.99733688415446076"/>
    <n v="0.40074137090909095"/>
    <n v="0.11904761904761904"/>
    <n v="0"/>
    <n v="135324.33333333334"/>
    <n v="3.8900173164225206E-2"/>
  </r>
  <r>
    <n v="1668"/>
    <s v="b1e73481-ba55-4b0f-bb94-f5221888d790"/>
    <x v="0"/>
    <x v="1"/>
    <x v="6"/>
    <s v="в ипотеке"/>
    <s v="консолидация кредитов"/>
    <n v="445456"/>
    <n v="745"/>
    <n v="2885340"/>
    <n v="53859.68"/>
    <n v="15.6"/>
    <n v="35.265240640000002"/>
    <n v="13"/>
    <n v="261231"/>
    <n v="598972"/>
    <n v="0"/>
    <n v="0.77349754435156182"/>
    <n v="0.99201065246338216"/>
    <n v="0.40074137090909095"/>
    <n v="0.2857142857142857"/>
    <n v="0"/>
    <n v="240445"/>
    <n v="0.224"/>
  </r>
  <r>
    <n v="1683"/>
    <s v="b4775d32-426f-4619-a30c-67a3ae73d1a0"/>
    <x v="1"/>
    <x v="0"/>
    <x v="9"/>
    <s v="в ипотеке"/>
    <s v="консолидация кредитов"/>
    <n v="335060"/>
    <n v="681"/>
    <n v="1936955"/>
    <n v="20983.599999999999"/>
    <n v="17.5"/>
    <n v="35.265240640000002"/>
    <n v="13"/>
    <n v="381691"/>
    <n v="598862"/>
    <n v="1"/>
    <n v="0.14498210579308063"/>
    <n v="0.90679094540612515"/>
    <n v="0.40074137090909095"/>
    <n v="0.2857142857142857"/>
    <n v="0.14285714285714285"/>
    <n v="161412.91666666666"/>
    <n v="0.12999950953945755"/>
  </r>
  <r>
    <n v="1586"/>
    <s v="8c6678d2-f486-428d-9ea2-a9a54ffb5246"/>
    <x v="0"/>
    <x v="1"/>
    <x v="4"/>
    <s v="в ипотеке"/>
    <s v="консолидация кредитов"/>
    <n v="522456"/>
    <n v="735"/>
    <n v="2068055"/>
    <n v="44290.71"/>
    <n v="24.5"/>
    <n v="39"/>
    <n v="16"/>
    <n v="392502"/>
    <n v="598774"/>
    <n v="0"/>
    <n v="1.2118801738762099"/>
    <n v="0.97869507323568572"/>
    <n v="0.44318181818181818"/>
    <n v="0.35714285714285715"/>
    <n v="0"/>
    <n v="172337.91666666666"/>
    <n v="0.25699921907299372"/>
  </r>
  <r>
    <n v="1854"/>
    <s v="b0bba69d-dc08-4e12-9098-cf375be2b9ee"/>
    <x v="1"/>
    <x v="0"/>
    <x v="9"/>
    <s v="в ипотеке"/>
    <s v="консолидация кредитов"/>
    <n v="380314"/>
    <n v="0"/>
    <n v="1168044"/>
    <n v="32346.36"/>
    <n v="17.5"/>
    <n v="35.265240640000002"/>
    <n v="12"/>
    <n v="380893"/>
    <n v="598422"/>
    <n v="0"/>
    <n v="0.40262583977370953"/>
    <n v="0"/>
    <n v="0.40074137090909095"/>
    <n v="0.26190476190476192"/>
    <n v="0"/>
    <n v="97337"/>
    <n v="0.33231309779426116"/>
  </r>
  <r>
    <n v="1111"/>
    <s v="28918fca-f642-469b-a04d-c7f1082de76e"/>
    <x v="0"/>
    <x v="1"/>
    <x v="8"/>
    <s v="в собственности"/>
    <s v="консолидация кредитов"/>
    <n v="44748"/>
    <n v="736"/>
    <n v="734274"/>
    <n v="10035.040000000001"/>
    <n v="8.3000000000000007"/>
    <n v="35.265240640000002"/>
    <n v="9"/>
    <n v="97052"/>
    <n v="597784"/>
    <n v="0"/>
    <n v="-1.5078456596947067"/>
    <n v="0.98002663115845534"/>
    <n v="0.40074137090909095"/>
    <n v="0.19047619047619047"/>
    <n v="0"/>
    <n v="61189.5"/>
    <n v="0.16399937897841951"/>
  </r>
  <r>
    <n v="1089"/>
    <s v="08d428d5-00d2-4bbe-9b66-430831f65972"/>
    <x v="0"/>
    <x v="1"/>
    <x v="5"/>
    <s v="в собственности"/>
    <s v="консолидация кредитов"/>
    <n v="216304"/>
    <n v="0"/>
    <n v="1168044"/>
    <n v="34123.620000000003"/>
    <n v="27"/>
    <n v="34"/>
    <n v="18"/>
    <n v="372058"/>
    <n v="596706"/>
    <n v="0"/>
    <n v="-0.53112916111379094"/>
    <n v="0"/>
    <n v="0.38636363636363635"/>
    <n v="0.40476190476190477"/>
    <n v="0"/>
    <n v="97337"/>
    <n v="0.35057193050946711"/>
  </r>
  <r>
    <n v="1830"/>
    <s v="403b7303-92f1-456a-955b-9f3b5f066459"/>
    <x v="1"/>
    <x v="0"/>
    <x v="1"/>
    <s v="в ипотеке"/>
    <s v="консолидация кредитов"/>
    <n v="446952"/>
    <n v="0"/>
    <n v="1168044"/>
    <n v="31668.44"/>
    <n v="21.5"/>
    <n v="36"/>
    <n v="13"/>
    <n v="298813"/>
    <n v="596530"/>
    <n v="0"/>
    <n v="0.78201469258232637"/>
    <n v="0"/>
    <n v="0.40909090909090912"/>
    <n v="0.2857142857142857"/>
    <n v="0"/>
    <n v="97337"/>
    <n v="0.3253484286550849"/>
  </r>
  <r>
    <n v="1688"/>
    <s v="0ac9c1a1-94b9-4894-af59-6a34ebcf14a1"/>
    <x v="0"/>
    <x v="1"/>
    <x v="9"/>
    <s v="в аренде"/>
    <s v="консолидация кредитов"/>
    <n v="309594.52439999999"/>
    <n v="745"/>
    <n v="1042188"/>
    <n v="20496.25"/>
    <n v="14"/>
    <n v="35.265240640000002"/>
    <n v="17"/>
    <n v="148333"/>
    <n v="596376"/>
    <n v="0"/>
    <n v="-1.2411115481956205E-10"/>
    <n v="0.99201065246338216"/>
    <n v="0.40074137090909095"/>
    <n v="0.38095238095238093"/>
    <n v="0"/>
    <n v="86849"/>
    <n v="0.2359986873769416"/>
  </r>
  <r>
    <n v="68"/>
    <s v="fef3362a-2732-4520-ab83-4ce52074aa4e"/>
    <x v="1"/>
    <x v="0"/>
    <x v="8"/>
    <s v="в ипотеке"/>
    <s v="консолидация кредитов"/>
    <n v="751520"/>
    <n v="0"/>
    <n v="1168044"/>
    <n v="27204.01"/>
    <n v="20.5"/>
    <n v="48"/>
    <n v="19"/>
    <n v="483968"/>
    <n v="594880"/>
    <n v="0"/>
    <n v="2.5160058706221058"/>
    <n v="0"/>
    <n v="0.54545454545454541"/>
    <n v="0.42857142857142855"/>
    <n v="0"/>
    <n v="97337"/>
    <n v="0.27948272496584031"/>
  </r>
  <r>
    <n v="1624"/>
    <s v="4c4f7973-829d-48bd-91db-1f96ce1d6f24"/>
    <x v="1"/>
    <x v="1"/>
    <x v="9"/>
    <s v="в аренде"/>
    <s v="консолидация кредитов"/>
    <n v="265716"/>
    <n v="719"/>
    <n v="658312"/>
    <n v="11959.36"/>
    <n v="27.5"/>
    <n v="35.265240640000002"/>
    <n v="9"/>
    <n v="397119"/>
    <n v="594858"/>
    <n v="0"/>
    <n v="-0.24981276513883099"/>
    <n v="0.95739014647137155"/>
    <n v="0.40074137090909095"/>
    <n v="0.19047619047619047"/>
    <n v="0"/>
    <n v="54859.333333333336"/>
    <n v="0.21800046178711613"/>
  </r>
  <r>
    <n v="1029"/>
    <s v="84afbad5-a16f-4af3-b4d8-37d475b540fe"/>
    <x v="1"/>
    <x v="0"/>
    <x v="1"/>
    <s v="в ипотеке"/>
    <s v="консолидация кредитов"/>
    <n v="523204"/>
    <n v="739"/>
    <n v="1694439"/>
    <n v="28240.65"/>
    <n v="19.600000000000001"/>
    <n v="35.265240640000002"/>
    <n v="10"/>
    <n v="339055"/>
    <n v="594836"/>
    <n v="0"/>
    <n v="1.2161387479915922"/>
    <n v="0.98402130492676432"/>
    <n v="0.40074137090909095"/>
    <n v="0.21428571428571427"/>
    <n v="0"/>
    <n v="141203.25"/>
    <n v="0.2"/>
  </r>
  <r>
    <n v="821"/>
    <s v="018d5599-8c09-4c98-95ab-6d450dc6e416"/>
    <x v="0"/>
    <x v="1"/>
    <x v="1"/>
    <s v="в ипотеке"/>
    <s v="консолидация кредитов"/>
    <n v="435512"/>
    <n v="745"/>
    <n v="1128372"/>
    <n v="16925.580000000002"/>
    <n v="27"/>
    <n v="35.265240640000002"/>
    <n v="9"/>
    <n v="242801"/>
    <n v="594396"/>
    <n v="0"/>
    <n v="0.71688355905295009"/>
    <n v="0.99201065246338216"/>
    <n v="0.40074137090909095"/>
    <n v="0.19047619047619047"/>
    <n v="0"/>
    <n v="94031"/>
    <n v="0.18000000000000002"/>
  </r>
  <r>
    <n v="187"/>
    <s v="b5c327ed-2316-4b1e-98e4-5e0a31943bef"/>
    <x v="0"/>
    <x v="1"/>
    <x v="7"/>
    <s v="в аренде"/>
    <s v="иное"/>
    <n v="309594.52439999999"/>
    <n v="736"/>
    <n v="1111367"/>
    <n v="16577.88"/>
    <n v="13.5"/>
    <n v="77"/>
    <n v="8"/>
    <n v="378746"/>
    <n v="594242"/>
    <n v="0"/>
    <n v="-1.2411115481956205E-10"/>
    <n v="0.98002663115845534"/>
    <n v="0.875"/>
    <n v="0.16666666666666666"/>
    <n v="0"/>
    <n v="92613.916666666672"/>
    <n v="0.17899988032756056"/>
  </r>
  <r>
    <n v="176"/>
    <s v="1eefc01a-2551-44c9-8305-0fd083e770ac"/>
    <x v="0"/>
    <x v="0"/>
    <x v="1"/>
    <s v="в аренде"/>
    <s v="консолидация кредитов"/>
    <n v="405856"/>
    <n v="708"/>
    <n v="1155751"/>
    <n v="32264.85"/>
    <n v="22.7"/>
    <n v="35.265240640000002"/>
    <n v="13"/>
    <n v="338181"/>
    <n v="594198"/>
    <n v="0"/>
    <n v="0.54804362059602851"/>
    <n v="0.94274300932090549"/>
    <n v="0.40074137090909095"/>
    <n v="0.2857142857142857"/>
    <n v="0"/>
    <n v="96312.583333333328"/>
    <n v="0.33500139735981194"/>
  </r>
  <r>
    <n v="1140"/>
    <s v="93e27a0a-2578-4e93-be99-ee7d6bbc55f5"/>
    <x v="0"/>
    <x v="1"/>
    <x v="5"/>
    <s v="в аренде"/>
    <s v="консолидация кредитов"/>
    <n v="440000"/>
    <n v="680"/>
    <n v="1425000"/>
    <n v="6234.47"/>
    <n v="8.8000000000000007"/>
    <n v="35.265240640000002"/>
    <n v="7"/>
    <n v="361703"/>
    <n v="594066"/>
    <n v="0"/>
    <n v="0.74243500374524385"/>
    <n v="0.90545938748335553"/>
    <n v="0.40074137090909095"/>
    <n v="0.14285714285714285"/>
    <n v="0"/>
    <n v="118750"/>
    <n v="5.25008E-2"/>
  </r>
  <r>
    <n v="1418"/>
    <s v="59d3bc3f-9409-4911-b987-cb2ae9b89ccc"/>
    <x v="0"/>
    <x v="0"/>
    <x v="6"/>
    <s v="в аренде"/>
    <s v="консолидация кредитов"/>
    <n v="411730"/>
    <n v="725"/>
    <n v="2621164"/>
    <n v="18020.55"/>
    <n v="16"/>
    <n v="35.265240640000002"/>
    <n v="3"/>
    <n v="117762"/>
    <n v="592856"/>
    <n v="0"/>
    <n v="0.58148595261976588"/>
    <n v="0.96537949400798939"/>
    <n v="0.40074137090909095"/>
    <n v="4.7619047619047616E-2"/>
    <n v="0"/>
    <n v="218430.33333333334"/>
    <n v="8.250021746063961E-2"/>
  </r>
  <r>
    <n v="1896"/>
    <s v="50511f43-9a8f-4e9b-8e69-0f7cbcd7fbea"/>
    <x v="0"/>
    <x v="1"/>
    <x v="9"/>
    <s v="в собственности"/>
    <s v="консолидация кредитов"/>
    <n v="440660"/>
    <n v="0"/>
    <n v="1168044"/>
    <n v="17442.95"/>
    <n v="12.1"/>
    <n v="15"/>
    <n v="9"/>
    <n v="273885"/>
    <n v="592746"/>
    <n v="0"/>
    <n v="0.74619256914116938"/>
    <n v="0"/>
    <n v="0.17045454545454544"/>
    <n v="0.19047619047619047"/>
    <n v="0"/>
    <n v="97337"/>
    <n v="0.17920163966425923"/>
  </r>
  <r>
    <n v="1908"/>
    <s v="69a39e2e-a3cc-45fc-b256-a72aac52e928"/>
    <x v="0"/>
    <x v="0"/>
    <x v="1"/>
    <s v="в ипотеке"/>
    <s v="иное"/>
    <n v="343200"/>
    <n v="726"/>
    <n v="1389375"/>
    <n v="16440.89"/>
    <n v="23.2"/>
    <n v="35.265240640000002"/>
    <n v="7"/>
    <n v="355661"/>
    <n v="591690"/>
    <n v="0"/>
    <n v="0.19132541234282915"/>
    <n v="0.96671105193075901"/>
    <n v="0.40074137090909095"/>
    <n v="0.14285714285714285"/>
    <n v="0"/>
    <n v="115781.25"/>
    <n v="0.14199958974358973"/>
  </r>
  <r>
    <n v="1106"/>
    <s v="b7f6c39f-26a9-4c99-b4ab-7a8222835753"/>
    <x v="0"/>
    <x v="0"/>
    <x v="6"/>
    <s v="в ипотеке"/>
    <s v="ремонт жилья"/>
    <n v="577764"/>
    <n v="715"/>
    <n v="1135098"/>
    <n v="10688.83"/>
    <n v="17.8"/>
    <n v="34"/>
    <n v="4"/>
    <n v="46987"/>
    <n v="591448"/>
    <n v="0"/>
    <n v="1.5267641540547714"/>
    <n v="0.95206391478029295"/>
    <n v="0.38636363636363635"/>
    <n v="7.1428571428571425E-2"/>
    <n v="0"/>
    <n v="94591.5"/>
    <n v="0.11299989956814302"/>
  </r>
  <r>
    <n v="109"/>
    <s v="8823b7a8-9c0b-4f2d-a1dc-ffcb37ee4efb"/>
    <x v="0"/>
    <x v="0"/>
    <x v="8"/>
    <s v="в ипотеке"/>
    <s v="консолидация кредитов"/>
    <n v="311872"/>
    <n v="680"/>
    <n v="1063810"/>
    <n v="28191.06"/>
    <n v="12.2"/>
    <n v="35.265240640000002"/>
    <n v="10"/>
    <n v="391723"/>
    <n v="591338"/>
    <n v="0"/>
    <n v="1.2966308216229468E-2"/>
    <n v="0.90545938748335553"/>
    <n v="0.40074137090909095"/>
    <n v="0.21428571428571427"/>
    <n v="0"/>
    <n v="88650.833333333328"/>
    <n v="0.31800107161993219"/>
  </r>
  <r>
    <n v="1373"/>
    <s v="77da2104-80fc-4d65-a095-65dea123fe10"/>
    <x v="0"/>
    <x v="1"/>
    <x v="10"/>
    <s v="в ипотеке"/>
    <s v="консолидация кредитов"/>
    <n v="309594.52439999999"/>
    <n v="689"/>
    <n v="2072026"/>
    <n v="25382.29"/>
    <n v="17.5"/>
    <n v="25"/>
    <n v="15"/>
    <n v="344147"/>
    <n v="591228"/>
    <n v="0"/>
    <n v="-1.2411115481956205E-10"/>
    <n v="0.91744340878828234"/>
    <n v="0.28409090909090912"/>
    <n v="0.33333333333333331"/>
    <n v="0"/>
    <n v="172668.83333333334"/>
    <n v="0.14699983494415611"/>
  </r>
  <r>
    <n v="1311"/>
    <s v="60715bc6-ea96-44d4-bb93-3a67e777d397"/>
    <x v="0"/>
    <x v="0"/>
    <x v="5"/>
    <s v="в собственности"/>
    <s v="консолидация кредитов"/>
    <n v="306130"/>
    <n v="714"/>
    <n v="1605158"/>
    <n v="18191.55"/>
    <n v="13.5"/>
    <n v="18"/>
    <n v="15"/>
    <n v="271757"/>
    <n v="590370"/>
    <n v="0"/>
    <n v="-1.9724510728322861E-2"/>
    <n v="0.95073235685752333"/>
    <n v="0.20454545454545456"/>
    <n v="0.33333333333333331"/>
    <n v="0"/>
    <n v="133763.16666666666"/>
    <n v="0.13599820080017044"/>
  </r>
  <r>
    <n v="1042"/>
    <s v="db4a19fb-f3b0-4098-bc2b-23c7bc4d8d76"/>
    <x v="1"/>
    <x v="1"/>
    <x v="2"/>
    <s v="в ипотеке"/>
    <s v="консолидация кредитов"/>
    <n v="367796"/>
    <n v="710"/>
    <n v="1172566"/>
    <n v="34101.96"/>
    <n v="11.5"/>
    <n v="35.265240640000002"/>
    <n v="12"/>
    <n v="338352"/>
    <n v="590018"/>
    <n v="0"/>
    <n v="0.33135734943098816"/>
    <n v="0.94540612516644473"/>
    <n v="0.40074137090909095"/>
    <n v="0.26190476190476192"/>
    <n v="0"/>
    <n v="97713.833333333328"/>
    <n v="0.34899828239945557"/>
  </r>
  <r>
    <n v="349"/>
    <s v="c98e31fb-7471-4a58-9cb7-a04c8104abd8"/>
    <x v="0"/>
    <x v="0"/>
    <x v="7"/>
    <s v="в аренде"/>
    <s v="консолидация кредитов"/>
    <n v="533698"/>
    <n v="699"/>
    <n v="1853298"/>
    <n v="30270.61"/>
    <n v="21.6"/>
    <n v="72"/>
    <n v="18"/>
    <n v="342209"/>
    <n v="589644"/>
    <n v="0"/>
    <n v="1.2758840377868086"/>
    <n v="0.93075898801597867"/>
    <n v="0.81818181818181823"/>
    <n v="0.40476190476190477"/>
    <n v="0"/>
    <n v="154441.5"/>
    <n v="0.19600049209571263"/>
  </r>
  <r>
    <n v="1825"/>
    <s v="fc5d0f5f-ffed-42eb-a5a1-6dcb145b1ea5"/>
    <x v="0"/>
    <x v="1"/>
    <x v="8"/>
    <s v="в ипотеке"/>
    <s v="консолидация кредитов"/>
    <n v="57552"/>
    <n v="739"/>
    <n v="439622"/>
    <n v="11796.53"/>
    <n v="18.5"/>
    <n v="35.265240640000002"/>
    <n v="9"/>
    <n v="237063"/>
    <n v="589072"/>
    <n v="0"/>
    <n v="-1.4349488910137511"/>
    <n v="0.98402130492676432"/>
    <n v="0.40074137090909095"/>
    <n v="0.19047619047619047"/>
    <n v="0"/>
    <n v="36635.166666666664"/>
    <n v="0.3220001728757888"/>
  </r>
  <r>
    <n v="1931"/>
    <s v="6a6d91c6-e8ff-4ad2-9207-78f886ccba91"/>
    <x v="1"/>
    <x v="1"/>
    <x v="1"/>
    <s v="в аренде"/>
    <s v="консолидация кредитов"/>
    <n v="261734"/>
    <n v="742"/>
    <n v="941830"/>
    <n v="13421.03"/>
    <n v="17.2"/>
    <n v="35.265240640000002"/>
    <n v="9"/>
    <n v="295830"/>
    <n v="588566"/>
    <n v="0"/>
    <n v="-0.2724834096942485"/>
    <n v="0.98801597869507318"/>
    <n v="0.40074137090909095"/>
    <n v="0.19047619047619047"/>
    <n v="0"/>
    <n v="78485.833333333328"/>
    <n v="0.17099939479523907"/>
  </r>
  <r>
    <n v="247"/>
    <s v="597d860d-c890-4f31-b476-f8996bb8fdc4"/>
    <x v="0"/>
    <x v="1"/>
    <x v="2"/>
    <s v="в ипотеке"/>
    <s v="консолидация кредитов"/>
    <n v="204248"/>
    <n v="737"/>
    <n v="779893"/>
    <n v="10788.39"/>
    <n v="23"/>
    <n v="35.265240640000002"/>
    <n v="10"/>
    <n v="225663"/>
    <n v="588522"/>
    <n v="0"/>
    <n v="-0.59976735567936434"/>
    <n v="0.98135818908122507"/>
    <n v="0.40074137090909095"/>
    <n v="0.21428571428571427"/>
    <n v="0"/>
    <n v="64991.083333333336"/>
    <n v="0.16599800229005773"/>
  </r>
  <r>
    <n v="1902"/>
    <s v="70b37d05-48fc-4079-8567-f09dfe69d22d"/>
    <x v="0"/>
    <x v="1"/>
    <x v="5"/>
    <s v="в собственности"/>
    <s v="консолидация кредитов"/>
    <n v="264946"/>
    <n v="746"/>
    <n v="858078"/>
    <n v="11155.09"/>
    <n v="13.7"/>
    <n v="35.265240640000002"/>
    <n v="11"/>
    <n v="57437"/>
    <n v="588522"/>
    <n v="0"/>
    <n v="-0.25419659143407747"/>
    <n v="0.99334221038615178"/>
    <n v="0.40074137090909095"/>
    <n v="0.23809523809523808"/>
    <n v="0"/>
    <n v="71506.5"/>
    <n v="0.15600106284044107"/>
  </r>
  <r>
    <n v="287"/>
    <s v="e18f7cf9-0093-4946-a878-e239f14f2db7"/>
    <x v="0"/>
    <x v="1"/>
    <x v="10"/>
    <s v="в собственности"/>
    <s v="консолидация кредитов"/>
    <n v="416834"/>
    <n v="0"/>
    <n v="1168044"/>
    <n v="17525.79"/>
    <n v="9.6999999999999993"/>
    <n v="35.265240640000002"/>
    <n v="13"/>
    <n v="219849"/>
    <n v="587884"/>
    <n v="0"/>
    <n v="0.61054445834825688"/>
    <n v="0"/>
    <n v="0.40074137090909095"/>
    <n v="0.2857142857142857"/>
    <n v="0"/>
    <n v="97337"/>
    <n v="0.18005270349404648"/>
  </r>
  <r>
    <n v="143"/>
    <s v="cf4d223b-958a-4a31-8b82-09ae3996fd0c"/>
    <x v="0"/>
    <x v="1"/>
    <x v="9"/>
    <s v="в ипотеке"/>
    <s v="консолидация кредитов"/>
    <n v="223256"/>
    <n v="740"/>
    <n v="804916"/>
    <n v="6774.64"/>
    <n v="34.4"/>
    <n v="7"/>
    <n v="13"/>
    <n v="308142"/>
    <n v="587818"/>
    <n v="0"/>
    <n v="-0.49154947227670837"/>
    <n v="0.98535286284953394"/>
    <n v="7.9545454545454544E-2"/>
    <n v="0.2857142857142857"/>
    <n v="0"/>
    <n v="67076.333333333328"/>
    <n v="0.10099896138230574"/>
  </r>
  <r>
    <n v="937"/>
    <s v="c7179b65-9565-4c66-9a4d-03895d76e770"/>
    <x v="0"/>
    <x v="0"/>
    <x v="1"/>
    <s v="в ипотеке"/>
    <s v="консолидация кредитов"/>
    <n v="616484"/>
    <n v="0"/>
    <n v="1168044"/>
    <n v="22659.78"/>
    <n v="20.6"/>
    <n v="35.265240640000002"/>
    <n v="10"/>
    <n v="407474"/>
    <n v="587554"/>
    <n v="0"/>
    <n v="1.7472079906157372"/>
    <n v="0"/>
    <n v="0.40074137090909095"/>
    <n v="0.21428571428571427"/>
    <n v="0"/>
    <n v="97337"/>
    <n v="0.23279718914698419"/>
  </r>
  <r>
    <n v="1748"/>
    <s v="85d23b5e-2312-4e0a-89e6-3ffb241653d1"/>
    <x v="0"/>
    <x v="1"/>
    <x v="1"/>
    <s v="в ипотеке"/>
    <s v="иное"/>
    <n v="359876"/>
    <n v="718"/>
    <n v="961571"/>
    <n v="24199.35"/>
    <n v="16.600000000000001"/>
    <n v="37"/>
    <n v="15"/>
    <n v="305900"/>
    <n v="587378"/>
    <n v="0"/>
    <n v="0.28626656467988149"/>
    <n v="0.95605858854860182"/>
    <n v="0.42045454545454547"/>
    <n v="0.33333333333333331"/>
    <n v="0"/>
    <n v="80130.916666666672"/>
    <n v="0.30199766839890135"/>
  </r>
  <r>
    <n v="655"/>
    <s v="78d2100e-deb0-46af-b422-98b4ce2c301f"/>
    <x v="0"/>
    <x v="0"/>
    <x v="8"/>
    <s v="в собственности"/>
    <s v="консолидация кредитов"/>
    <n v="523292"/>
    <n v="713"/>
    <n v="1788945"/>
    <n v="33542.6"/>
    <n v="16.8"/>
    <n v="26"/>
    <n v="13"/>
    <n v="303601"/>
    <n v="586850"/>
    <n v="0"/>
    <n v="1.216639756711049"/>
    <n v="0.94940079893475371"/>
    <n v="0.29545454545454547"/>
    <n v="0.2857142857142857"/>
    <n v="0"/>
    <n v="149078.75"/>
    <n v="0.22499920344113428"/>
  </r>
  <r>
    <n v="681"/>
    <s v="3ffb0266-65fa-410d-a65a-569ac504ec01"/>
    <x v="0"/>
    <x v="1"/>
    <x v="4"/>
    <s v="в ипотеке"/>
    <s v="путешествие"/>
    <n v="111914"/>
    <n v="701"/>
    <n v="1063183"/>
    <n v="7964.99"/>
    <n v="13.3"/>
    <n v="35.265240640000002"/>
    <n v="14"/>
    <n v="154508"/>
    <n v="586586"/>
    <n v="1"/>
    <n v="-1.1254507545693495"/>
    <n v="0.93342210386151803"/>
    <n v="0.40074137090909095"/>
    <n v="0.30952380952380953"/>
    <n v="0.14285714285714285"/>
    <n v="88598.583333333328"/>
    <n v="8.9899744446628668E-2"/>
  </r>
  <r>
    <n v="609"/>
    <s v="dc327cb6-0187-492e-966d-6fc1882ba662"/>
    <x v="0"/>
    <x v="1"/>
    <x v="0"/>
    <s v="в ипотеке"/>
    <s v="иное"/>
    <n v="122870"/>
    <n v="687"/>
    <n v="2548432"/>
    <n v="52667.62"/>
    <n v="13.5"/>
    <n v="50"/>
    <n v="17"/>
    <n v="363318"/>
    <n v="585926"/>
    <n v="0"/>
    <n v="-1.0630751689969853"/>
    <n v="0.91478029294274299"/>
    <n v="0.56818181818181823"/>
    <n v="0.38095238095238093"/>
    <n v="0"/>
    <n v="212369.33333333334"/>
    <n v="0.24800011928903734"/>
  </r>
  <r>
    <n v="1531"/>
    <s v="0e467f42-e276-4bee-a032-de91fc0571c2"/>
    <x v="0"/>
    <x v="1"/>
    <x v="1"/>
    <s v="в аренде"/>
    <s v="консолидация кредитов"/>
    <n v="352418"/>
    <n v="745"/>
    <n v="1512305"/>
    <n v="8204.39"/>
    <n v="25.9"/>
    <n v="35.265240640000002"/>
    <n v="9"/>
    <n v="283708"/>
    <n v="585574"/>
    <n v="0"/>
    <n v="0.24380607570592272"/>
    <n v="0.99201065246338216"/>
    <n v="0.40074137090909095"/>
    <n v="0.19047619047619047"/>
    <n v="0"/>
    <n v="126025.41666666667"/>
    <n v="6.5101074188077132E-2"/>
  </r>
  <r>
    <n v="1828"/>
    <s v="b7abee8b-5086-4a38-a008-815e365aa8b3"/>
    <x v="0"/>
    <x v="1"/>
    <x v="1"/>
    <s v="в ипотеке"/>
    <s v="консолидация кредитов"/>
    <n v="448624"/>
    <n v="0"/>
    <n v="1168044"/>
    <n v="19010.830000000002"/>
    <n v="21.4"/>
    <n v="35.265240640000002"/>
    <n v="8"/>
    <n v="389348"/>
    <n v="585464"/>
    <n v="0"/>
    <n v="0.7915338582520044"/>
    <n v="0"/>
    <n v="0.40074137090909095"/>
    <n v="0.16666666666666666"/>
    <n v="0"/>
    <n v="97337"/>
    <n v="0.19530938902986533"/>
  </r>
  <r>
    <n v="1409"/>
    <s v="9c015267-04ee-4b5f-bed8-0e10f6ea36ea"/>
    <x v="0"/>
    <x v="1"/>
    <x v="7"/>
    <s v="в собственности"/>
    <s v="консолидация кредитов"/>
    <n v="120164"/>
    <n v="737"/>
    <n v="741228"/>
    <n v="7288.59"/>
    <n v="11.9"/>
    <n v="35.265240640000002"/>
    <n v="19"/>
    <n v="196213"/>
    <n v="584078"/>
    <n v="0"/>
    <n v="-1.07848118712028"/>
    <n v="0.98135818908122507"/>
    <n v="0.40074137090909095"/>
    <n v="0.42857142857142855"/>
    <n v="0"/>
    <n v="61769"/>
    <n v="0.11799753921870194"/>
  </r>
  <r>
    <n v="1312"/>
    <s v="f606379c-7a3e-4a8d-b5cb-5284c6997ba1"/>
    <x v="0"/>
    <x v="1"/>
    <x v="5"/>
    <s v="в ипотеке"/>
    <s v="консолидация кредитов"/>
    <n v="266860"/>
    <n v="0"/>
    <n v="1168044"/>
    <n v="29336"/>
    <n v="10"/>
    <n v="17"/>
    <n v="21"/>
    <n v="119966"/>
    <n v="583682"/>
    <n v="0"/>
    <n v="-0.24329965178589338"/>
    <n v="0"/>
    <n v="0.19318181818181818"/>
    <n v="0.47619047619047616"/>
    <n v="0"/>
    <n v="97337"/>
    <n v="0.30138590669529575"/>
  </r>
  <r>
    <n v="1773"/>
    <s v="5d789cde-6e92-4d61-a1a8-da8dd8c3668e"/>
    <x v="0"/>
    <x v="1"/>
    <x v="3"/>
    <s v="в аренде"/>
    <s v="консолидация кредитов"/>
    <n v="80102"/>
    <n v="747"/>
    <n v="1479530"/>
    <n v="12452.6"/>
    <n v="15.2"/>
    <n v="35.265240640000002"/>
    <n v="7"/>
    <n v="198778"/>
    <n v="582692"/>
    <n v="0"/>
    <n v="-1.3065654066529613"/>
    <n v="0.9946737683089214"/>
    <n v="0.40074137090909095"/>
    <n v="0.14285714285714285"/>
    <n v="0"/>
    <n v="123294.16666666667"/>
    <n v="0.10099910106587903"/>
  </r>
  <r>
    <n v="350"/>
    <s v="78975426-c4c4-4fe8-87d9-2f067a3130cf"/>
    <x v="0"/>
    <x v="1"/>
    <x v="5"/>
    <s v="в аренде"/>
    <s v="консолидация кредитов"/>
    <n v="316514"/>
    <n v="0"/>
    <n v="1168044"/>
    <n v="12437.59"/>
    <n v="16.899999999999999"/>
    <n v="35.265240640000002"/>
    <n v="13"/>
    <n v="413060"/>
    <n v="582560"/>
    <n v="0"/>
    <n v="3.9394518167572536E-2"/>
    <n v="0"/>
    <n v="0.40074137090909095"/>
    <n v="0.2857142857142857"/>
    <n v="0"/>
    <n v="97337"/>
    <n v="0.12777864532500488"/>
  </r>
  <r>
    <n v="1596"/>
    <s v="a75fc3a1-677e-408b-bc43-8cd272905092"/>
    <x v="1"/>
    <x v="0"/>
    <x v="5"/>
    <s v="в ипотеке"/>
    <s v="консолидация кредитов"/>
    <n v="239360"/>
    <n v="730"/>
    <n v="563787"/>
    <n v="9819.2000000000007"/>
    <n v="9"/>
    <n v="35.265240640000002"/>
    <n v="23"/>
    <n v="145578"/>
    <n v="581218"/>
    <n v="0"/>
    <n v="-0.39986487661612485"/>
    <n v="0.9720372836218375"/>
    <n v="0.40074137090909095"/>
    <n v="0.52380952380952384"/>
    <n v="0"/>
    <n v="46982.25"/>
    <n v="0.20899807906177334"/>
  </r>
  <r>
    <n v="577"/>
    <s v="97ecbf72-0752-41c3-8b1e-c1502f1df5d4"/>
    <x v="0"/>
    <x v="0"/>
    <x v="1"/>
    <s v="в ипотеке"/>
    <s v="консолидация кредитов"/>
    <n v="309594.52439999999"/>
    <n v="727"/>
    <n v="1857060"/>
    <n v="33427.08"/>
    <n v="15.3"/>
    <n v="35.265240640000002"/>
    <n v="13"/>
    <n v="443954"/>
    <n v="580844"/>
    <n v="0"/>
    <n v="-1.2411115481956205E-10"/>
    <n v="0.96804260985352863"/>
    <n v="0.40074137090909095"/>
    <n v="0.2857142857142857"/>
    <n v="0"/>
    <n v="154755"/>
    <n v="0.216"/>
  </r>
  <r>
    <n v="1506"/>
    <s v="b5b425c5-c4b6-48c4-95e3-53792305f6ed"/>
    <x v="0"/>
    <x v="1"/>
    <x v="3"/>
    <s v="в аренде"/>
    <s v="консолидация кредитов"/>
    <n v="267586"/>
    <n v="722"/>
    <n v="1315237"/>
    <n v="25318.26"/>
    <n v="13.9"/>
    <n v="35.265240640000002"/>
    <n v="7"/>
    <n v="458793"/>
    <n v="578688"/>
    <n v="0"/>
    <n v="-0.23916632985037528"/>
    <n v="0.96138482023968042"/>
    <n v="0.40074137090909095"/>
    <n v="0.14285714285714285"/>
    <n v="0"/>
    <n v="109603.08333333333"/>
    <n v="0.23099952327983472"/>
  </r>
  <r>
    <n v="268"/>
    <s v="2ea0bc45-2e41-4932-af65-e4ed6e8554cf"/>
    <x v="0"/>
    <x v="1"/>
    <x v="1"/>
    <s v="в ипотеке"/>
    <s v="консолидация кредитов"/>
    <n v="178046"/>
    <n v="716"/>
    <n v="2815781"/>
    <n v="18537.349999999999"/>
    <n v="22.5"/>
    <n v="35.265240640000002"/>
    <n v="9"/>
    <n v="486248"/>
    <n v="578666"/>
    <n v="0"/>
    <n v="-0.74894270189760892"/>
    <n v="0.95339547270306257"/>
    <n v="0.40074137090909095"/>
    <n v="0.19047619047619047"/>
    <n v="0"/>
    <n v="234648.41666666666"/>
    <n v="7.9000533067024745E-2"/>
  </r>
  <r>
    <n v="1191"/>
    <s v="3237ac11-f53e-47f2-b08b-5997a79c1506"/>
    <x v="0"/>
    <x v="1"/>
    <x v="1"/>
    <s v="в ипотеке"/>
    <s v="консолидация кредитов"/>
    <n v="309594.52439999999"/>
    <n v="741"/>
    <n v="1874920"/>
    <n v="42341.88"/>
    <n v="13.1"/>
    <n v="27"/>
    <n v="12"/>
    <n v="429837"/>
    <n v="577390"/>
    <n v="0"/>
    <n v="-1.2411115481956205E-10"/>
    <n v="0.98668442077230356"/>
    <n v="0.30681818181818182"/>
    <n v="0.26190476190476192"/>
    <n v="0"/>
    <n v="156243.33333333334"/>
    <n v="0.27099959464937168"/>
  </r>
  <r>
    <n v="1879"/>
    <s v="6d28365f-17e9-4206-bb3f-0613285ad791"/>
    <x v="0"/>
    <x v="1"/>
    <x v="1"/>
    <s v="в ипотеке"/>
    <s v="консолидация кредитов"/>
    <n v="309594.52439999999"/>
    <n v="730"/>
    <n v="965770"/>
    <n v="23822.2"/>
    <n v="20.9"/>
    <n v="35.265240640000002"/>
    <n v="15"/>
    <n v="462555"/>
    <n v="577126"/>
    <n v="0"/>
    <n v="-1.2411115481956205E-10"/>
    <n v="0.9720372836218375"/>
    <n v="0.40074137090909095"/>
    <n v="0.33333333333333331"/>
    <n v="0"/>
    <n v="80480.833333333328"/>
    <n v="0.29599842612630339"/>
  </r>
  <r>
    <n v="1359"/>
    <s v="74643cfc-8bf9-48ce-a5e6-55a5f21ccbdc"/>
    <x v="1"/>
    <x v="0"/>
    <x v="5"/>
    <s v="в собственности"/>
    <s v="иное"/>
    <n v="348524"/>
    <n v="0"/>
    <n v="1168044"/>
    <n v="16963.2"/>
    <n v="15.9"/>
    <n v="35.265240640000002"/>
    <n v="12"/>
    <n v="328301"/>
    <n v="576818"/>
    <n v="0"/>
    <n v="0.22163643986996195"/>
    <n v="0"/>
    <n v="0.40074137090909095"/>
    <n v="0.26190476190476192"/>
    <n v="0"/>
    <n v="97337"/>
    <n v="0.17427288698028501"/>
  </r>
  <r>
    <n v="1328"/>
    <s v="6201f781-d2a6-4bbf-8f5b-afa83c412559"/>
    <x v="0"/>
    <x v="1"/>
    <x v="8"/>
    <s v="в ипотеке"/>
    <s v="консолидация кредитов"/>
    <n v="269478"/>
    <n v="715"/>
    <n v="930905"/>
    <n v="26143.05"/>
    <n v="20.8"/>
    <n v="76"/>
    <n v="16"/>
    <n v="265772"/>
    <n v="575212"/>
    <n v="1"/>
    <n v="-0.22839464238205534"/>
    <n v="0.95206391478029295"/>
    <n v="0.86363636363636365"/>
    <n v="0.35714285714285715"/>
    <n v="0.14285714285714285"/>
    <n v="77575.416666666672"/>
    <n v="0.33700173487090518"/>
  </r>
  <r>
    <n v="1714"/>
    <s v="ea91b8ee-58bb-416f-a519-8dad286fb595"/>
    <x v="1"/>
    <x v="1"/>
    <x v="5"/>
    <s v="в аренде"/>
    <s v="консолидация кредитов"/>
    <n v="549890"/>
    <n v="713"/>
    <n v="1082791"/>
    <n v="18226.89"/>
    <n v="32.4"/>
    <n v="5"/>
    <n v="13"/>
    <n v="173831"/>
    <n v="575102"/>
    <n v="1"/>
    <n v="1.3680696421668488"/>
    <n v="0.94940079893475371"/>
    <n v="5.6818181818181816E-2"/>
    <n v="0.2857142857142857"/>
    <n v="0.14285714285714285"/>
    <n v="90232.583333333328"/>
    <n v="0.20199898225973434"/>
  </r>
  <r>
    <n v="1092"/>
    <s v="282cc900-5994-4524-842d-7434fd38fc50"/>
    <x v="0"/>
    <x v="1"/>
    <x v="3"/>
    <s v="в аренде"/>
    <s v="иное"/>
    <n v="360404"/>
    <n v="738"/>
    <n v="875444"/>
    <n v="14809.36"/>
    <n v="10.1"/>
    <n v="35.265240640000002"/>
    <n v="10"/>
    <n v="235277"/>
    <n v="574750"/>
    <n v="0"/>
    <n v="0.28927261699662193"/>
    <n v="0.9826897470039947"/>
    <n v="0.40074137090909095"/>
    <n v="0.21428571428571427"/>
    <n v="0"/>
    <n v="72953.666666666672"/>
    <n v="0.20299678791561768"/>
  </r>
  <r>
    <n v="1459"/>
    <s v="2f77b396-4687-4189-9781-dd7edec088d1"/>
    <x v="0"/>
    <x v="0"/>
    <x v="7"/>
    <s v="в ипотеке"/>
    <s v="консолидация кредитов"/>
    <n v="434236"/>
    <n v="728"/>
    <n v="1828237"/>
    <n v="19166.060000000001"/>
    <n v="12.7"/>
    <n v="35.265240640000002"/>
    <n v="8"/>
    <n v="356307"/>
    <n v="574596"/>
    <n v="0"/>
    <n v="0.70961893262082731"/>
    <n v="0.96937416777629826"/>
    <n v="0.40074137090909095"/>
    <n v="0.16666666666666666"/>
    <n v="0"/>
    <n v="152353.08333333334"/>
    <n v="0.1258002764411835"/>
  </r>
  <r>
    <n v="1173"/>
    <s v="575d5aba-ad45-49a1-9b21-19026bd6c2c7"/>
    <x v="1"/>
    <x v="1"/>
    <x v="1"/>
    <s v="в ипотеке"/>
    <s v="иное"/>
    <n v="60962"/>
    <n v="746"/>
    <n v="285893"/>
    <n v="5396.38"/>
    <n v="10.4"/>
    <n v="35.265240640000002"/>
    <n v="5"/>
    <n v="144818"/>
    <n v="574222"/>
    <n v="0"/>
    <n v="-1.4155348031348023"/>
    <n v="0.99334221038615178"/>
    <n v="0.40074137090909095"/>
    <n v="9.5238095238095233E-2"/>
    <n v="0"/>
    <n v="23824.416666666668"/>
    <n v="0.22650628032165879"/>
  </r>
  <r>
    <n v="1696"/>
    <s v="208fecb9-40fb-47aa-8e3b-e5d28faceea9"/>
    <x v="0"/>
    <x v="1"/>
    <x v="9"/>
    <s v="в ипотеке"/>
    <s v="консолидация кредитов"/>
    <n v="224730"/>
    <n v="747"/>
    <n v="873392"/>
    <n v="3879.42"/>
    <n v="10.9"/>
    <n v="35.265240640000002"/>
    <n v="17"/>
    <n v="116033"/>
    <n v="574112"/>
    <n v="0"/>
    <n v="-0.48315757622580796"/>
    <n v="0.9946737683089214"/>
    <n v="0.40074137090909095"/>
    <n v="0.38095238095238093"/>
    <n v="0"/>
    <n v="72782.666666666672"/>
    <n v="5.3301427079707621E-2"/>
  </r>
  <r>
    <n v="1751"/>
    <s v="1fab6177-f5c3-4f5d-8d6a-76fceb9054bb"/>
    <x v="0"/>
    <x v="0"/>
    <x v="0"/>
    <s v="в аренде"/>
    <s v="консолидация кредитов"/>
    <n v="402336"/>
    <n v="696"/>
    <n v="1544320"/>
    <n v="23035.98"/>
    <n v="12.2"/>
    <n v="35.265240640000002"/>
    <n v="9"/>
    <n v="324216"/>
    <n v="574002"/>
    <n v="0"/>
    <n v="0.52800327181775886"/>
    <n v="0.92676431424766981"/>
    <n v="0.40074137090909095"/>
    <n v="0.19047619047619047"/>
    <n v="0"/>
    <n v="128693.33333333333"/>
    <n v="0.17899901574803151"/>
  </r>
  <r>
    <n v="1337"/>
    <s v="c85e8ff9-0e5e-482c-9ad6-35acd16cdeab"/>
    <x v="0"/>
    <x v="1"/>
    <x v="5"/>
    <s v="в собственности"/>
    <s v="консолидация кредитов"/>
    <n v="327008"/>
    <n v="737"/>
    <n v="941355"/>
    <n v="3749.84"/>
    <n v="5.7"/>
    <n v="35.265240640000002"/>
    <n v="10"/>
    <n v="192223"/>
    <n v="573650"/>
    <n v="0"/>
    <n v="9.9139807962788859E-2"/>
    <n v="0.98135818908122507"/>
    <n v="0.40074137090909095"/>
    <n v="0.21428571428571427"/>
    <n v="0"/>
    <n v="78446.25"/>
    <n v="4.7801392673327281E-2"/>
  </r>
  <r>
    <n v="1085"/>
    <s v="bfadb5c4-7647-4ca7-a0bf-2aadae01e80c"/>
    <x v="1"/>
    <x v="1"/>
    <x v="7"/>
    <s v="в ипотеке"/>
    <s v="консолидация кредитов"/>
    <n v="120472"/>
    <n v="0"/>
    <n v="1168044"/>
    <n v="15783.49"/>
    <n v="15.6"/>
    <n v="35.265240640000002"/>
    <n v="15"/>
    <n v="208202"/>
    <n v="572616"/>
    <n v="0"/>
    <n v="-1.0767276566021815"/>
    <n v="0"/>
    <n v="0.40074137090909095"/>
    <n v="0.33333333333333331"/>
    <n v="0"/>
    <n v="97337"/>
    <n v="0.16215303533086081"/>
  </r>
  <r>
    <n v="1909"/>
    <s v="c36b7534-1046-46a9-941b-c6fbd137676a"/>
    <x v="0"/>
    <x v="1"/>
    <x v="3"/>
    <s v="в аренде"/>
    <s v="консолидация кредитов"/>
    <n v="194920"/>
    <n v="740"/>
    <n v="1253145"/>
    <n v="19423.7"/>
    <n v="12"/>
    <n v="20"/>
    <n v="13"/>
    <n v="215517"/>
    <n v="572374"/>
    <n v="0"/>
    <n v="-0.65287427994177882"/>
    <n v="0.98535286284953394"/>
    <n v="0.22727272727272727"/>
    <n v="0.2857142857142857"/>
    <n v="0"/>
    <n v="104428.75"/>
    <n v="0.18599954514441666"/>
  </r>
  <r>
    <n v="554"/>
    <s v="e2ff8f23-4dfe-4e67-91d6-0576fdf3d3fe"/>
    <x v="0"/>
    <x v="1"/>
    <x v="0"/>
    <s v="в собственности"/>
    <s v="консолидация кредитов"/>
    <n v="109714"/>
    <n v="744"/>
    <n v="1629744"/>
    <n v="4875.59"/>
    <n v="14.5"/>
    <n v="35.265240640000002"/>
    <n v="6"/>
    <n v="188423"/>
    <n v="571142"/>
    <n v="0"/>
    <n v="-1.1379759725557681"/>
    <n v="0.99067909454061254"/>
    <n v="0.40074137090909095"/>
    <n v="0.11904761904761904"/>
    <n v="0"/>
    <n v="135812"/>
    <n v="3.5899552322327923E-2"/>
  </r>
  <r>
    <n v="1833"/>
    <s v="f14d8042-6d7c-4f87-bfb1-e1e6758db9c3"/>
    <x v="0"/>
    <x v="0"/>
    <x v="3"/>
    <s v="в аренде"/>
    <s v="консолидация кредитов"/>
    <n v="529848"/>
    <n v="694"/>
    <n v="1151172"/>
    <n v="27819.99"/>
    <n v="18.3"/>
    <n v="35.265240640000002"/>
    <n v="9"/>
    <n v="376029"/>
    <n v="570658"/>
    <n v="0"/>
    <n v="1.253964906310576"/>
    <n v="0.92410119840213045"/>
    <n v="0.40074137090909095"/>
    <n v="0.19047619047619047"/>
    <n v="0"/>
    <n v="95931"/>
    <n v="0.29000000000000004"/>
  </r>
  <r>
    <n v="1644"/>
    <s v="4143f442-9590-4552-9eb3-baf1ca0326a9"/>
    <x v="1"/>
    <x v="0"/>
    <x v="7"/>
    <s v="в ипотеке"/>
    <s v="консолидация кредитов"/>
    <n v="352000"/>
    <n v="716"/>
    <n v="1140000"/>
    <n v="6726"/>
    <n v="25.8"/>
    <n v="35.265240640000002"/>
    <n v="22"/>
    <n v="185117"/>
    <n v="570064"/>
    <n v="1"/>
    <n v="0.24142628428850321"/>
    <n v="0.95339547270306257"/>
    <n v="0.40074137090909095"/>
    <n v="0.5"/>
    <n v="0.14285714285714285"/>
    <n v="95000"/>
    <n v="7.0800000000000002E-2"/>
  </r>
  <r>
    <n v="1093"/>
    <s v="1a450add-37fa-45e6-be63-976ef50d98c4"/>
    <x v="1"/>
    <x v="1"/>
    <x v="3"/>
    <s v="в ипотеке"/>
    <s v="консолидация кредитов"/>
    <n v="250866"/>
    <n v="741"/>
    <n v="965105"/>
    <n v="8444.74"/>
    <n v="10.8"/>
    <n v="35.265240640000002"/>
    <n v="10"/>
    <n v="285361"/>
    <n v="569690"/>
    <n v="0"/>
    <n v="-0.33435798654715598"/>
    <n v="0.98668442077230356"/>
    <n v="0.40074137090909095"/>
    <n v="0.21428571428571427"/>
    <n v="0"/>
    <n v="80425.416666666672"/>
    <n v="0.1050008859139679"/>
  </r>
  <r>
    <n v="285"/>
    <s v="30e80eb8-22e8-43b1-a927-6c98e5d1ff3c"/>
    <x v="0"/>
    <x v="1"/>
    <x v="6"/>
    <s v="в ипотеке"/>
    <s v="консолидация кредитов"/>
    <n v="249568"/>
    <n v="0"/>
    <n v="1168044"/>
    <n v="12209.21"/>
    <n v="14.1"/>
    <n v="35.265240640000002"/>
    <n v="17"/>
    <n v="300048"/>
    <n v="569536"/>
    <n v="0"/>
    <n v="-0.34174786515914291"/>
    <n v="0"/>
    <n v="0.40074137090909095"/>
    <n v="0.38095238095238093"/>
    <n v="0"/>
    <n v="97337"/>
    <n v="0.12543236384930703"/>
  </r>
  <r>
    <n v="1280"/>
    <s v="f4c5fe16-e3e8-43cb-8253-1d28c25770e7"/>
    <x v="0"/>
    <x v="1"/>
    <x v="1"/>
    <s v="в ипотеке"/>
    <s v="консолидация кредитов"/>
    <n v="191092"/>
    <n v="728"/>
    <n v="1875490"/>
    <n v="20161.47"/>
    <n v="15.6"/>
    <n v="14"/>
    <n v="12"/>
    <n v="231914"/>
    <n v="568942"/>
    <n v="0"/>
    <n v="-0.67466815923814705"/>
    <n v="0.96937416777629826"/>
    <n v="0.15909090909090909"/>
    <n v="0.26190476190476192"/>
    <n v="0"/>
    <n v="156290.83333333334"/>
    <n v="0.12899969607942458"/>
  </r>
  <r>
    <n v="1046"/>
    <s v="8cc45685-d0d8-4a7f-945b-5d703cd36dda"/>
    <x v="1"/>
    <x v="1"/>
    <x v="0"/>
    <s v="в аренде"/>
    <s v="консолидация кредитов"/>
    <n v="348722"/>
    <n v="0"/>
    <n v="1168044"/>
    <n v="5872.9"/>
    <n v="19"/>
    <n v="72"/>
    <n v="10"/>
    <n v="340860"/>
    <n v="568678"/>
    <n v="0"/>
    <n v="0.22276370948873961"/>
    <n v="0"/>
    <n v="0.81818181818181823"/>
    <n v="0.21428571428571427"/>
    <n v="0"/>
    <n v="97337"/>
    <n v="6.0335740776888538E-2"/>
  </r>
  <r>
    <n v="1602"/>
    <s v="cc3cdc8d-b2ec-48c3-8c50-5e597443296e"/>
    <x v="0"/>
    <x v="0"/>
    <x v="5"/>
    <s v="в аренде"/>
    <s v="консолидация кредитов"/>
    <n v="326744"/>
    <n v="724"/>
    <n v="1693071"/>
    <n v="27653.55"/>
    <n v="15.2"/>
    <n v="4"/>
    <n v="9"/>
    <n v="333621"/>
    <n v="568106"/>
    <n v="0"/>
    <n v="9.7636781804418635E-2"/>
    <n v="0.96404793608521966"/>
    <n v="4.5454545454545456E-2"/>
    <n v="0.19047619047619047"/>
    <n v="0"/>
    <n v="141089.25"/>
    <n v="0.19600040399959601"/>
  </r>
  <r>
    <n v="564"/>
    <s v="3b667742-8ffe-490d-98c8-36a4a320be23"/>
    <x v="1"/>
    <x v="1"/>
    <x v="2"/>
    <s v="в аренде"/>
    <s v="консолидация кредитов"/>
    <n v="560956"/>
    <n v="664"/>
    <n v="1637059"/>
    <n v="44746.33"/>
    <n v="17.600000000000001"/>
    <n v="8"/>
    <n v="13"/>
    <n v="380779"/>
    <n v="567446"/>
    <n v="0"/>
    <n v="1.4310714886385338"/>
    <n v="0.88415446071904125"/>
    <n v="9.0909090909090912E-2"/>
    <n v="0.2857142857142857"/>
    <n v="0"/>
    <n v="136421.58333333334"/>
    <n v="0.32800037139773214"/>
  </r>
  <r>
    <n v="933"/>
    <s v="1efb32da-81dc-489e-b01f-163afdb79fb0"/>
    <x v="0"/>
    <x v="1"/>
    <x v="1"/>
    <s v="в аренде"/>
    <s v="консолидация кредитов"/>
    <n v="220968"/>
    <n v="0"/>
    <n v="1168044"/>
    <n v="8667.23"/>
    <n v="30.4"/>
    <n v="35.265240640000002"/>
    <n v="6"/>
    <n v="333260"/>
    <n v="565818"/>
    <n v="3"/>
    <n v="-0.50457569898258359"/>
    <n v="0"/>
    <n v="0.40074137090909095"/>
    <n v="0.11904761904761904"/>
    <n v="0.42857142857142855"/>
    <n v="97337"/>
    <n v="8.9043529182119843E-2"/>
  </r>
  <r>
    <n v="1006"/>
    <s v="70187894-7f5b-4101-90d4-62c4b925c1f0"/>
    <x v="0"/>
    <x v="1"/>
    <x v="1"/>
    <s v="в ипотеке"/>
    <s v="консолидация кредитов"/>
    <n v="67584"/>
    <n v="716"/>
    <n v="856140"/>
    <n v="9417.5400000000009"/>
    <n v="12.3"/>
    <n v="48"/>
    <n v="9"/>
    <n v="198265"/>
    <n v="565422"/>
    <n v="0"/>
    <n v="-1.3778338969956827"/>
    <n v="0.95339547270306257"/>
    <n v="0.54545454545454541"/>
    <n v="0.19047619047619047"/>
    <n v="0"/>
    <n v="71345"/>
    <n v="0.13200000000000001"/>
  </r>
  <r>
    <n v="1507"/>
    <s v="3af35d63-33c0-4d72-868d-e485331e0da6"/>
    <x v="0"/>
    <x v="1"/>
    <x v="2"/>
    <s v="в аренде"/>
    <s v="консолидация кредитов"/>
    <n v="342144"/>
    <n v="696"/>
    <n v="671593"/>
    <n v="10577.49"/>
    <n v="8.4"/>
    <n v="35.265240640000002"/>
    <n v="4"/>
    <n v="186181"/>
    <n v="564344"/>
    <n v="0"/>
    <n v="0.18531330770934826"/>
    <n v="0.92676431424766981"/>
    <n v="0.40074137090909095"/>
    <n v="7.1428571428571425E-2"/>
    <n v="0"/>
    <n v="55966.083333333336"/>
    <n v="0.18899821767052366"/>
  </r>
  <r>
    <n v="1455"/>
    <s v="57df5806-e920-48df-842e-361487781af6"/>
    <x v="0"/>
    <x v="1"/>
    <x v="6"/>
    <s v="в аренде"/>
    <s v="консолидация кредитов"/>
    <n v="265320"/>
    <n v="744"/>
    <n v="916560"/>
    <n v="13137.36"/>
    <n v="9.5"/>
    <n v="35.265240640000002"/>
    <n v="8"/>
    <n v="183198"/>
    <n v="564168"/>
    <n v="0"/>
    <n v="-0.25206730437638636"/>
    <n v="0.99067909454061254"/>
    <n v="0.40074137090909095"/>
    <n v="0.16666666666666666"/>
    <n v="0"/>
    <n v="76380"/>
    <n v="0.17200000000000001"/>
  </r>
  <r>
    <n v="814"/>
    <s v="c5b34502-10c1-46e6-b4fb-bfd3ecb95d1e"/>
    <x v="0"/>
    <x v="1"/>
    <x v="9"/>
    <s v="в аренде"/>
    <s v="консолидация кредитов"/>
    <n v="79530"/>
    <n v="691"/>
    <n v="953990"/>
    <n v="27029.78"/>
    <n v="19"/>
    <n v="42"/>
    <n v="10"/>
    <n v="371906"/>
    <n v="563640"/>
    <n v="0"/>
    <n v="-1.3098219633294301"/>
    <n v="0.92010652463382159"/>
    <n v="0.47727272727272729"/>
    <n v="0.21428571428571427"/>
    <n v="0"/>
    <n v="79499.166666666672"/>
    <n v="0.34000079665405292"/>
  </r>
  <r>
    <n v="908"/>
    <s v="ee7af071-be80-42a0-a5c7-0a3c39b2e3db"/>
    <x v="0"/>
    <x v="1"/>
    <x v="7"/>
    <s v="в ипотеке"/>
    <s v="ремонт жилья"/>
    <n v="214896"/>
    <n v="726"/>
    <n v="2301337"/>
    <n v="20328.48"/>
    <n v="14.8"/>
    <n v="35.265240640000002"/>
    <n v="18"/>
    <n v="190779"/>
    <n v="563508"/>
    <n v="1"/>
    <n v="-0.53914530062509869"/>
    <n v="0.96671105193075901"/>
    <n v="0.40074137090909095"/>
    <n v="0.40476190476190477"/>
    <n v="0.14285714285714285"/>
    <n v="191778.08333333334"/>
    <n v="0.10600001651214054"/>
  </r>
  <r>
    <n v="885"/>
    <s v="2b374e0f-e505-479c-9f67-77ca8b1a5261"/>
    <x v="0"/>
    <x v="0"/>
    <x v="2"/>
    <s v="в аренде"/>
    <s v="крупная покупка"/>
    <n v="132022"/>
    <n v="695"/>
    <n v="665076"/>
    <n v="6983.26"/>
    <n v="23"/>
    <n v="35.265240640000002"/>
    <n v="5"/>
    <n v="286634"/>
    <n v="563486"/>
    <n v="0"/>
    <n v="-1.0109702621734842"/>
    <n v="0.92543275632490019"/>
    <n v="0.40074137090909095"/>
    <n v="9.5238095238095233E-2"/>
    <n v="0"/>
    <n v="55423"/>
    <n v="0.12599931436407269"/>
  </r>
  <r>
    <n v="372"/>
    <s v="17f9fb19-deb1-4746-a388-491b55556cc3"/>
    <x v="0"/>
    <x v="1"/>
    <x v="1"/>
    <s v="в ипотеке"/>
    <s v="консолидация кредитов"/>
    <n v="662310"/>
    <n v="699"/>
    <n v="1258389"/>
    <n v="13213.17"/>
    <n v="17.5"/>
    <n v="64"/>
    <n v="8"/>
    <n v="302309"/>
    <n v="562782"/>
    <n v="1"/>
    <n v="2.0081082812728348"/>
    <n v="0.93075898801597867"/>
    <n v="0.72727272727272729"/>
    <n v="0.16666666666666666"/>
    <n v="0.14285714285714285"/>
    <n v="104865.75"/>
    <n v="0.12600081532816959"/>
  </r>
  <r>
    <n v="1704"/>
    <s v="a8821e0c-35c7-4279-a9e9-96984c838262"/>
    <x v="0"/>
    <x v="1"/>
    <x v="3"/>
    <s v="в собственности"/>
    <s v="консолидация кредитов"/>
    <n v="172040"/>
    <n v="731"/>
    <n v="612902"/>
    <n v="11134.19"/>
    <n v="9.8000000000000007"/>
    <n v="29"/>
    <n v="29"/>
    <n v="98648"/>
    <n v="562628"/>
    <n v="0"/>
    <n v="-0.78313654700053148"/>
    <n v="0.97336884154460723"/>
    <n v="0.32954545454545453"/>
    <n v="0.66666666666666663"/>
    <n v="0"/>
    <n v="51075.166666666664"/>
    <n v="0.21799615599231201"/>
  </r>
  <r>
    <n v="195"/>
    <s v="67d9a806-c23d-45fc-8c49-aec86224c66f"/>
    <x v="0"/>
    <x v="1"/>
    <x v="2"/>
    <s v="в ипотеке"/>
    <s v="консолидация кредитов"/>
    <n v="437668"/>
    <n v="749"/>
    <n v="2683693"/>
    <n v="5993.55"/>
    <n v="21.5"/>
    <n v="35.265240640000002"/>
    <n v="7"/>
    <n v="326496"/>
    <n v="562584"/>
    <n v="0"/>
    <n v="0.72915827267964028"/>
    <n v="0.99733688415446076"/>
    <n v="0.40074137090909095"/>
    <n v="0.14285714285714285"/>
    <n v="0"/>
    <n v="223641.08333333334"/>
    <n v="2.6799861235990853E-2"/>
  </r>
  <r>
    <n v="629"/>
    <s v="cdd7fa9b-100c-46e4-807c-5fd55a682c95"/>
    <x v="0"/>
    <x v="0"/>
    <x v="9"/>
    <s v="в аренде"/>
    <s v="бизнес"/>
    <n v="776864"/>
    <n v="724"/>
    <n v="1380179"/>
    <n v="11593.42"/>
    <n v="12.8"/>
    <n v="35.265240640000002"/>
    <n v="15"/>
    <n v="42750"/>
    <n v="562474"/>
    <n v="0"/>
    <n v="2.6602963818256473"/>
    <n v="0.96404793608521966"/>
    <n v="0.40074137090909095"/>
    <n v="0.33333333333333331"/>
    <n v="0"/>
    <n v="115014.91666666667"/>
    <n v="0.10079927313775966"/>
  </r>
  <r>
    <n v="77"/>
    <s v="55012e48-1a72-4609-b289-cd25b03f1aea"/>
    <x v="0"/>
    <x v="1"/>
    <x v="7"/>
    <s v="в ипотеке"/>
    <s v="консолидация кредитов"/>
    <n v="389884"/>
    <n v="657"/>
    <n v="4776125"/>
    <n v="42985.22"/>
    <n v="21.5"/>
    <n v="4"/>
    <n v="14"/>
    <n v="237500"/>
    <n v="562386"/>
    <n v="1"/>
    <n v="0.45711053801463009"/>
    <n v="0.87483355525965378"/>
    <n v="4.5454545454545456E-2"/>
    <n v="0.30952380952380953"/>
    <n v="0.14285714285714285"/>
    <n v="398010.41666666669"/>
    <n v="0.10800023868722029"/>
  </r>
  <r>
    <n v="846"/>
    <s v="6e89cd20-19f4-4bc7-9e70-590c34a9acdd"/>
    <x v="0"/>
    <x v="1"/>
    <x v="5"/>
    <s v="в аренде"/>
    <s v="консолидация кредитов"/>
    <n v="294316"/>
    <n v="0"/>
    <n v="1168044"/>
    <n v="22443.94"/>
    <n v="15.7"/>
    <n v="42"/>
    <n v="8"/>
    <n v="306888"/>
    <n v="560494"/>
    <n v="0"/>
    <n v="-8.6984931315390299E-2"/>
    <n v="0"/>
    <n v="0.47727272727272729"/>
    <n v="0.16666666666666666"/>
    <n v="0"/>
    <n v="97337"/>
    <n v="0.23057973843451102"/>
  </r>
  <r>
    <n v="1084"/>
    <s v="e01e2fc6-3811-48e3-ab85-95e125b4a617"/>
    <x v="0"/>
    <x v="0"/>
    <x v="8"/>
    <s v="в аренде"/>
    <s v="консолидация кредитов"/>
    <n v="367598"/>
    <n v="708"/>
    <n v="821712"/>
    <n v="22870.87"/>
    <n v="9.9"/>
    <n v="35.265240640000002"/>
    <n v="12"/>
    <n v="262295"/>
    <n v="560340"/>
    <n v="0"/>
    <n v="0.33023007981221048"/>
    <n v="0.94274300932090549"/>
    <n v="0.40074137090909095"/>
    <n v="0.26190476190476192"/>
    <n v="0"/>
    <n v="68476"/>
    <n v="0.33399833518312982"/>
  </r>
  <r>
    <n v="168"/>
    <s v="ab77813a-d625-4f19-9772-f17d6654656c"/>
    <x v="0"/>
    <x v="0"/>
    <x v="3"/>
    <s v="в ипотеке"/>
    <s v="консолидация кредитов"/>
    <n v="768394"/>
    <n v="651"/>
    <n v="1651252"/>
    <n v="19264.669999999998"/>
    <n v="29.2"/>
    <n v="30"/>
    <n v="6"/>
    <n v="421420"/>
    <n v="559592"/>
    <n v="0"/>
    <n v="2.6120742925779359"/>
    <n v="0.86684420772303594"/>
    <n v="0.34090909090909088"/>
    <n v="0.11904761904761904"/>
    <n v="0"/>
    <n v="137604.33333333334"/>
    <n v="0.14000046025682328"/>
  </r>
  <r>
    <n v="209"/>
    <s v="50d18312-05f4-44c6-8b25-5afe86526d33"/>
    <x v="0"/>
    <x v="1"/>
    <x v="3"/>
    <s v="в аренде"/>
    <s v="консолидация кредитов"/>
    <n v="171842"/>
    <n v="724"/>
    <n v="612199"/>
    <n v="6734.17"/>
    <n v="11.8"/>
    <n v="35.265240640000002"/>
    <n v="12"/>
    <n v="330714"/>
    <n v="558228"/>
    <n v="0"/>
    <n v="-0.78426381661930911"/>
    <n v="0.96404793608521966"/>
    <n v="0.40074137090909095"/>
    <n v="0.26190476190476192"/>
    <n v="0"/>
    <n v="51016.583333333336"/>
    <n v="0.13199962757208031"/>
  </r>
  <r>
    <n v="1555"/>
    <s v="20cec3d1-26e8-4b68-9d5e-92c9482ef377"/>
    <x v="1"/>
    <x v="1"/>
    <x v="1"/>
    <s v="в ипотеке"/>
    <s v="консолидация кредитов"/>
    <n v="172370"/>
    <n v="742"/>
    <n v="800166"/>
    <n v="20737.740000000002"/>
    <n v="25.5"/>
    <n v="35.265240640000002"/>
    <n v="11"/>
    <n v="289180"/>
    <n v="558052"/>
    <n v="0"/>
    <n v="-0.78125776430256866"/>
    <n v="0.98801597869507318"/>
    <n v="0.40074137090909095"/>
    <n v="0.23809523809523808"/>
    <n v="0"/>
    <n v="66680.5"/>
    <n v="0.31100156717481126"/>
  </r>
  <r>
    <n v="1561"/>
    <s v="359d092f-2884-4cad-adec-5c3bfe2fbf76"/>
    <x v="0"/>
    <x v="0"/>
    <x v="7"/>
    <s v="в аренде"/>
    <s v="консолидация кредитов"/>
    <n v="360998"/>
    <n v="729"/>
    <n v="2319672"/>
    <n v="17126.98"/>
    <n v="23.4"/>
    <n v="7"/>
    <n v="9"/>
    <n v="175864"/>
    <n v="557898"/>
    <n v="0"/>
    <n v="0.29265442585295492"/>
    <n v="0.97070572569906788"/>
    <n v="7.9545454545454544E-2"/>
    <n v="0.19047619047619047"/>
    <n v="0"/>
    <n v="193306"/>
    <n v="8.8600353843129545E-2"/>
  </r>
  <r>
    <n v="255"/>
    <s v="ee5e2ea2-6641-428d-9770-455672dfdd17"/>
    <x v="0"/>
    <x v="0"/>
    <x v="10"/>
    <s v="в ипотеке"/>
    <s v="иное"/>
    <n v="541794"/>
    <n v="674"/>
    <n v="1538145"/>
    <n v="12766.67"/>
    <n v="33.700000000000003"/>
    <n v="64"/>
    <n v="9"/>
    <n v="300029"/>
    <n v="557634"/>
    <n v="0"/>
    <n v="1.3219768399768286"/>
    <n v="0.89747003994673769"/>
    <n v="0.72727272727272729"/>
    <n v="0.19047619047619047"/>
    <n v="0"/>
    <n v="128178.75"/>
    <n v="9.960051880674449E-2"/>
  </r>
  <r>
    <n v="758"/>
    <s v="3c31ad7c-1a67-40c3-b071-62c404235918"/>
    <x v="0"/>
    <x v="1"/>
    <x v="0"/>
    <s v="в аренде"/>
    <s v="консолидация кредитов"/>
    <n v="267454"/>
    <n v="0"/>
    <n v="1168044"/>
    <n v="19455.810000000001"/>
    <n v="13.8"/>
    <n v="35.265240640000002"/>
    <n v="17"/>
    <n v="434302"/>
    <n v="557502"/>
    <n v="0"/>
    <n v="-0.23991784292956039"/>
    <n v="0"/>
    <n v="0.40074137090909095"/>
    <n v="0.38095238095238093"/>
    <n v="0"/>
    <n v="97337"/>
    <n v="0.19988092914308023"/>
  </r>
  <r>
    <n v="1763"/>
    <s v="b7bd8b48-bd4f-4574-bed3-ccfc89c24233"/>
    <x v="0"/>
    <x v="1"/>
    <x v="7"/>
    <s v="в ипотеке"/>
    <s v="консолидация кредитов"/>
    <n v="396484"/>
    <n v="723"/>
    <n v="1141368"/>
    <n v="23968.69"/>
    <n v="17"/>
    <n v="44"/>
    <n v="24"/>
    <n v="248938"/>
    <n v="557502"/>
    <n v="0"/>
    <n v="0.49468619197388564"/>
    <n v="0.96271637816245004"/>
    <n v="0.5"/>
    <n v="0.54761904761904767"/>
    <n v="0"/>
    <n v="95114"/>
    <n v="0.25199960047942466"/>
  </r>
  <r>
    <n v="1150"/>
    <s v="49a5379c-0655-427c-864a-7fb82f46f7b0"/>
    <x v="0"/>
    <x v="1"/>
    <x v="1"/>
    <s v="в аренде"/>
    <s v="консолидация кредитов"/>
    <n v="155782"/>
    <n v="0"/>
    <n v="1168044"/>
    <n v="5823.69"/>
    <n v="19"/>
    <n v="35.265240640000002"/>
    <n v="13"/>
    <n v="62472"/>
    <n v="556490"/>
    <n v="0"/>
    <n v="-0.87569790792016422"/>
    <n v="0"/>
    <n v="0.40074137090909095"/>
    <n v="0.2857142857142857"/>
    <n v="0"/>
    <n v="97337"/>
    <n v="5.9830177630294745E-2"/>
  </r>
  <r>
    <n v="754"/>
    <s v="d37a7231-7dce-491a-bdb6-4688d55711e1"/>
    <x v="0"/>
    <x v="1"/>
    <x v="3"/>
    <s v="в аренде"/>
    <s v="приобретение жилья"/>
    <n v="345136"/>
    <n v="703"/>
    <n v="1117770"/>
    <n v="6967.49"/>
    <n v="13.5"/>
    <n v="35.265240640000002"/>
    <n v="8"/>
    <n v="300846"/>
    <n v="556468"/>
    <n v="0"/>
    <n v="0.20234760417087744"/>
    <n v="0.93608521970705727"/>
    <n v="0.40074137090909095"/>
    <n v="0.16666666666666666"/>
    <n v="0"/>
    <n v="93147.5"/>
    <n v="7.4800611932687402E-2"/>
  </r>
  <r>
    <n v="960"/>
    <s v="cd85fc71-a410-492e-a260-dfd660a31b30"/>
    <x v="0"/>
    <x v="1"/>
    <x v="8"/>
    <s v="в аренде"/>
    <s v="консолидация кредитов"/>
    <n v="312818"/>
    <n v="740"/>
    <n v="1088111"/>
    <n v="20220.75"/>
    <n v="11.3"/>
    <n v="35.265240640000002"/>
    <n v="6"/>
    <n v="356117"/>
    <n v="556468"/>
    <n v="0"/>
    <n v="1.8352151950389427E-2"/>
    <n v="0.98535286284953394"/>
    <n v="0.40074137090909095"/>
    <n v="0.11904761904761904"/>
    <n v="0"/>
    <n v="90675.916666666672"/>
    <n v="0.2230002269988999"/>
  </r>
  <r>
    <n v="9"/>
    <s v="af534dea-d27e-4fd6-9de8-efaa52a78ec0"/>
    <x v="0"/>
    <x v="1"/>
    <x v="3"/>
    <s v="в аренде"/>
    <s v="консолидация кредитов"/>
    <n v="548746"/>
    <n v="678"/>
    <n v="2559110"/>
    <n v="18660.28"/>
    <n v="22.6"/>
    <n v="33"/>
    <n v="4"/>
    <n v="437171"/>
    <n v="555038"/>
    <n v="0"/>
    <n v="1.3615565288139111"/>
    <n v="0.90279627163781628"/>
    <n v="0.375"/>
    <n v="7.1428571428571425E-2"/>
    <n v="0"/>
    <n v="213259.16666666666"/>
    <n v="8.7500482589650305E-2"/>
  </r>
  <r>
    <n v="1755"/>
    <s v="295d68cc-7359-4604-96c2-2e0464dc5e5d"/>
    <x v="1"/>
    <x v="1"/>
    <x v="1"/>
    <s v="в ипотеке"/>
    <s v="консолидация кредитов"/>
    <n v="441408"/>
    <n v="738"/>
    <n v="868604"/>
    <n v="11943.21"/>
    <n v="28.8"/>
    <n v="35.265240640000002"/>
    <n v="7"/>
    <n v="327009"/>
    <n v="554378"/>
    <n v="0"/>
    <n v="0.75045114325655171"/>
    <n v="0.9826897470039947"/>
    <n v="0.40074137090909095"/>
    <n v="0.14285714285714285"/>
    <n v="0"/>
    <n v="72383.666666666672"/>
    <n v="0.16499868754921687"/>
  </r>
  <r>
    <n v="710"/>
    <s v="99448ea6-a7c8-4977-a08c-69bc343985a7"/>
    <x v="1"/>
    <x v="1"/>
    <x v="3"/>
    <s v="в ипотеке"/>
    <s v="консолидация кредитов"/>
    <n v="208604"/>
    <n v="0"/>
    <n v="1168044"/>
    <n v="20384.91"/>
    <n v="17.600000000000001"/>
    <n v="35.265240640000002"/>
    <n v="11"/>
    <n v="358720"/>
    <n v="553828"/>
    <n v="0"/>
    <n v="-0.57496742406625567"/>
    <n v="0"/>
    <n v="0.40074137090909095"/>
    <n v="0.23809523809523808"/>
    <n v="0"/>
    <n v="97337"/>
    <n v="0.2094261175092719"/>
  </r>
  <r>
    <n v="1733"/>
    <s v="6c85e576-941f-4976-be30-658881607d79"/>
    <x v="0"/>
    <x v="0"/>
    <x v="1"/>
    <s v="в ипотеке"/>
    <s v="консолидация кредитов"/>
    <n v="216062"/>
    <n v="724"/>
    <n v="2145898"/>
    <n v="33082.42"/>
    <n v="14.9"/>
    <n v="35.265240640000002"/>
    <n v="12"/>
    <n v="243352"/>
    <n v="553564"/>
    <n v="0"/>
    <n v="-0.53250693509229696"/>
    <n v="0.96404793608521966"/>
    <n v="0.40074137090909095"/>
    <n v="0.26190476190476192"/>
    <n v="0"/>
    <n v="178824.83333333334"/>
    <n v="0.18499902604876836"/>
  </r>
  <r>
    <n v="1554"/>
    <s v="3b11af3e-fe5a-497a-adbd-910ed6f6f306"/>
    <x v="0"/>
    <x v="1"/>
    <x v="2"/>
    <s v="в аренде"/>
    <s v="иное"/>
    <n v="756140"/>
    <n v="0"/>
    <n v="1168044"/>
    <n v="24208.85"/>
    <n v="9.5"/>
    <n v="35.265240640000002"/>
    <n v="11"/>
    <n v="248995"/>
    <n v="553366"/>
    <n v="0"/>
    <n v="2.5423088283935846"/>
    <n v="0"/>
    <n v="0.40074137090909095"/>
    <n v="0.23809523809523808"/>
    <n v="0"/>
    <n v="97337"/>
    <n v="0.24871169236775326"/>
  </r>
  <r>
    <n v="1932"/>
    <s v="e2f79824-9225-40cd-bac6-daa068722f29"/>
    <x v="0"/>
    <x v="1"/>
    <x v="8"/>
    <s v="в ипотеке"/>
    <s v="консолидация кредитов"/>
    <n v="323840"/>
    <n v="0"/>
    <n v="1168044"/>
    <n v="22577.89"/>
    <n v="23.3"/>
    <n v="35.265240640000002"/>
    <n v="16"/>
    <n v="360791"/>
    <n v="553322"/>
    <n v="0"/>
    <n v="8.1103494062346196E-2"/>
    <n v="0"/>
    <n v="0.40074137090909095"/>
    <n v="0.35714285714285715"/>
    <n v="0"/>
    <n v="97337"/>
    <n v="0.23195588522350186"/>
  </r>
  <r>
    <n v="1943"/>
    <s v="906f970d-681e-4bdd-ad4b-08a0ab9c89a6"/>
    <x v="0"/>
    <x v="0"/>
    <x v="1"/>
    <s v="в ипотеке"/>
    <s v="консолидация кредитов"/>
    <n v="309594.52439999999"/>
    <n v="689"/>
    <n v="845861"/>
    <n v="15578.1"/>
    <n v="32.799999999999997"/>
    <n v="35.265240640000002"/>
    <n v="10"/>
    <n v="412623"/>
    <n v="552354"/>
    <n v="0"/>
    <n v="-1.2411115481956205E-10"/>
    <n v="0.91744340878828234"/>
    <n v="0.40074137090909095"/>
    <n v="0.21428571428571427"/>
    <n v="0"/>
    <n v="70488.416666666672"/>
    <n v="0.22100226869426537"/>
  </r>
  <r>
    <n v="1462"/>
    <s v="5e4a0b86-f639-4aad-a38c-7646c7bb15d3"/>
    <x v="1"/>
    <x v="1"/>
    <x v="6"/>
    <s v="в аренде"/>
    <s v="бизнес"/>
    <n v="335258"/>
    <n v="737"/>
    <n v="1534516"/>
    <n v="25319.59"/>
    <n v="13.5"/>
    <n v="35.265240640000002"/>
    <n v="6"/>
    <n v="269211"/>
    <n v="551694"/>
    <n v="0"/>
    <n v="0.14610937541185828"/>
    <n v="0.98135818908122507"/>
    <n v="0.40074137090909095"/>
    <n v="0.11904761904761904"/>
    <n v="0"/>
    <n v="127876.33333333333"/>
    <n v="0.19800059432420386"/>
  </r>
  <r>
    <n v="179"/>
    <s v="c56cdb33-b1fd-4d8b-9b63-db54333910a8"/>
    <x v="0"/>
    <x v="1"/>
    <x v="3"/>
    <s v="в аренде"/>
    <s v="консолидация кредитов"/>
    <n v="216370"/>
    <n v="0"/>
    <n v="1168044"/>
    <n v="6446.89"/>
    <n v="8.1999999999999993"/>
    <n v="35.265240640000002"/>
    <n v="10"/>
    <n v="239970"/>
    <n v="551320"/>
    <n v="0"/>
    <n v="-0.53075340457419828"/>
    <n v="0"/>
    <n v="0.40074137090909095"/>
    <n v="0.21428571428571427"/>
    <n v="0"/>
    <n v="97337"/>
    <n v="6.6232676166308804E-2"/>
  </r>
  <r>
    <n v="1003"/>
    <s v="5c9ece92-1798-4d26-8813-1b2094ac4624"/>
    <x v="0"/>
    <x v="0"/>
    <x v="2"/>
    <s v="в собственности"/>
    <s v="консолидация кредитов"/>
    <n v="268928"/>
    <n v="0"/>
    <n v="1168044"/>
    <n v="16369.83"/>
    <n v="25"/>
    <n v="88"/>
    <n v="14"/>
    <n v="253688"/>
    <n v="551122"/>
    <n v="0"/>
    <n v="-0.23152594687865996"/>
    <n v="0"/>
    <n v="1"/>
    <n v="0.30952380952380953"/>
    <n v="0"/>
    <n v="97337"/>
    <n v="0.16817684950224479"/>
  </r>
  <r>
    <n v="1458"/>
    <s v="a76aab6a-4b42-46ab-8898-91351e25d969"/>
    <x v="1"/>
    <x v="0"/>
    <x v="1"/>
    <s v="в ипотеке"/>
    <s v="ремонт жилья"/>
    <n v="324258"/>
    <n v="695"/>
    <n v="896135"/>
    <n v="21133.7"/>
    <n v="28.2"/>
    <n v="35.265240640000002"/>
    <n v="15"/>
    <n v="109459"/>
    <n v="551034"/>
    <n v="1"/>
    <n v="8.3483285479765718E-2"/>
    <n v="0.92543275632490019"/>
    <n v="0.40074137090909095"/>
    <n v="0.33333333333333331"/>
    <n v="0.14285714285714285"/>
    <n v="74677.916666666672"/>
    <n v="0.28299798579455104"/>
  </r>
  <r>
    <n v="994"/>
    <s v="e3c0b9f3-6eda-4c0f-adc8-2e11dc28ec6f"/>
    <x v="0"/>
    <x v="1"/>
    <x v="2"/>
    <s v="в аренде"/>
    <s v="консолидация кредитов"/>
    <n v="168102"/>
    <n v="714"/>
    <n v="427272"/>
    <n v="13815.28"/>
    <n v="9.9"/>
    <n v="14"/>
    <n v="18"/>
    <n v="122227"/>
    <n v="550660"/>
    <n v="0"/>
    <n v="-0.80555668719622053"/>
    <n v="0.95073235685752333"/>
    <n v="0.15909090909090909"/>
    <n v="0.40476190476190477"/>
    <n v="0"/>
    <n v="35606"/>
    <n v="0.38800426894343654"/>
  </r>
  <r>
    <n v="1018"/>
    <s v="9305ecb1-87c6-4046-8326-fd16ca5e5800"/>
    <x v="0"/>
    <x v="0"/>
    <x v="7"/>
    <s v="в аренде"/>
    <s v="консолидация кредитов"/>
    <n v="510334"/>
    <n v="718"/>
    <n v="900239"/>
    <n v="15266.5"/>
    <n v="23.6"/>
    <n v="35.265240640000002"/>
    <n v="8"/>
    <n v="361665"/>
    <n v="549582"/>
    <n v="0"/>
    <n v="1.1428662227710438"/>
    <n v="0.95605858854860182"/>
    <n v="0.40074137090909095"/>
    <n v="0.16666666666666666"/>
    <n v="0"/>
    <n v="75019.916666666672"/>
    <n v="0.20349929296553471"/>
  </r>
  <r>
    <n v="760"/>
    <s v="d5e9db4d-98d3-49c6-98cb-c4feca082127"/>
    <x v="0"/>
    <x v="0"/>
    <x v="1"/>
    <s v="в ипотеке"/>
    <s v="иное"/>
    <n v="283426"/>
    <n v="738"/>
    <n v="1355688"/>
    <n v="9015.31"/>
    <n v="22.8"/>
    <n v="35.265240640000002"/>
    <n v="7"/>
    <n v="342665"/>
    <n v="549538"/>
    <n v="0"/>
    <n v="-0.14898476034816194"/>
    <n v="0.9826897470039947"/>
    <n v="0.40074137090909095"/>
    <n v="0.14285714285714285"/>
    <n v="0"/>
    <n v="112974"/>
    <n v="7.9799865455768573E-2"/>
  </r>
  <r>
    <n v="248"/>
    <s v="ce0e117f-d104-4681-82cb-4bbe32ca48dd"/>
    <x v="0"/>
    <x v="1"/>
    <x v="1"/>
    <s v="в собственности"/>
    <s v="консолидация кредитов"/>
    <n v="653334"/>
    <n v="722"/>
    <n v="2068891"/>
    <n v="29309.21"/>
    <n v="21.3"/>
    <n v="53"/>
    <n v="9"/>
    <n v="294291"/>
    <n v="548724"/>
    <n v="0"/>
    <n v="1.9570053918882473"/>
    <n v="0.96138482023968042"/>
    <n v="0.60227272727272729"/>
    <n v="0.19047619047619047"/>
    <n v="0"/>
    <n v="172407.58333333334"/>
    <n v="0.16999954081679508"/>
  </r>
  <r>
    <n v="724"/>
    <s v="a0bbfba5-c0a0-44b9-9ac2-e6404bd6607b"/>
    <x v="0"/>
    <x v="1"/>
    <x v="7"/>
    <s v="в аренде"/>
    <s v="консолидация кредитов"/>
    <n v="105798"/>
    <n v="722"/>
    <n v="628197"/>
    <n v="10312.82"/>
    <n v="14.5"/>
    <n v="35.265240640000002"/>
    <n v="14"/>
    <n v="149568"/>
    <n v="548042"/>
    <n v="1"/>
    <n v="-1.160270860571593"/>
    <n v="0.96138482023968042"/>
    <n v="0.40074137090909095"/>
    <n v="0.30952380952380953"/>
    <n v="0.14285714285714285"/>
    <n v="52349.75"/>
    <n v="0.19699845749024589"/>
  </r>
  <r>
    <n v="1552"/>
    <s v="68dcbeb3-fa40-459b-abbc-27190252dab6"/>
    <x v="0"/>
    <x v="1"/>
    <x v="5"/>
    <s v="в ипотеке"/>
    <s v="консолидация кредитов"/>
    <n v="324500"/>
    <n v="711"/>
    <n v="971508"/>
    <n v="19915.8"/>
    <n v="15.1"/>
    <n v="35.265240640000002"/>
    <n v="23"/>
    <n v="333431"/>
    <n v="547624"/>
    <n v="0"/>
    <n v="8.4861059458271756E-2"/>
    <n v="0.94673768308921435"/>
    <n v="0.40074137090909095"/>
    <n v="0.52380952380952384"/>
    <n v="0"/>
    <n v="80959"/>
    <n v="0.24599859187984041"/>
  </r>
  <r>
    <n v="1834"/>
    <s v="9df09a54-befe-4438-8c4a-55d78a7ee306"/>
    <x v="0"/>
    <x v="1"/>
    <x v="7"/>
    <s v="в ипотеке"/>
    <s v="консолидация кредитов"/>
    <n v="173932"/>
    <n v="0"/>
    <n v="1168044"/>
    <n v="12697.7"/>
    <n v="18.399999999999999"/>
    <n v="10"/>
    <n v="7"/>
    <n v="85937"/>
    <n v="546678"/>
    <n v="0"/>
    <n v="-0.77236485953221157"/>
    <n v="0"/>
    <n v="0.11363636363636363"/>
    <n v="0.14285714285714285"/>
    <n v="0"/>
    <n v="97337"/>
    <n v="0.13045090767128636"/>
  </r>
  <r>
    <n v="1330"/>
    <s v="4f1eb263-76e7-42e0-abb7-99358e951730"/>
    <x v="0"/>
    <x v="1"/>
    <x v="4"/>
    <s v="в аренде"/>
    <s v="бизнес"/>
    <n v="433752"/>
    <n v="724"/>
    <n v="5806362"/>
    <n v="28306.01"/>
    <n v="15.7"/>
    <n v="17"/>
    <n v="6"/>
    <n v="354559"/>
    <n v="546656"/>
    <n v="0"/>
    <n v="0.70686338466381526"/>
    <n v="0.96404793608521966"/>
    <n v="0.19318181818181818"/>
    <n v="0.11904761904761904"/>
    <n v="0"/>
    <n v="483863.5"/>
    <n v="5.8499990183181826E-2"/>
  </r>
  <r>
    <n v="1815"/>
    <s v="8d8f2eae-fe09-4cbe-bc84-3f9f9d374cf6"/>
    <x v="0"/>
    <x v="0"/>
    <x v="9"/>
    <s v="в аренде"/>
    <s v="консолидация кредитов"/>
    <n v="446908"/>
    <n v="685"/>
    <n v="1583935"/>
    <n v="27718.91"/>
    <n v="18.899999999999999"/>
    <n v="25"/>
    <n v="16"/>
    <n v="383401"/>
    <n v="546062"/>
    <n v="0"/>
    <n v="0.78176418822259797"/>
    <n v="0.91211717709720375"/>
    <n v="0.28409090909090912"/>
    <n v="0.35714285714285715"/>
    <n v="0"/>
    <n v="131994.58333333334"/>
    <n v="0.21000035986325194"/>
  </r>
  <r>
    <n v="1582"/>
    <s v="b28905eb-a713-4f51-88ca-e264d2667f54"/>
    <x v="0"/>
    <x v="1"/>
    <x v="1"/>
    <s v="в ипотеке"/>
    <s v="консолидация кредитов"/>
    <n v="438372"/>
    <n v="737"/>
    <n v="1703673"/>
    <n v="18314.48"/>
    <n v="18"/>
    <n v="14"/>
    <n v="17"/>
    <n v="287527"/>
    <n v="545776"/>
    <n v="0"/>
    <n v="0.73316634243529422"/>
    <n v="0.98135818908122507"/>
    <n v="0.15909090909090909"/>
    <n v="0.38095238095238093"/>
    <n v="0"/>
    <n v="141972.75"/>
    <n v="0.12899996654287529"/>
  </r>
  <r>
    <n v="984"/>
    <s v="176596bc-30a8-4b95-8cb2-f4ff24e3bd7e"/>
    <x v="1"/>
    <x v="1"/>
    <x v="4"/>
    <s v="в ипотеке"/>
    <s v="консолидация кредитов"/>
    <n v="179432"/>
    <n v="0"/>
    <n v="1168044"/>
    <n v="22775.11"/>
    <n v="15.7"/>
    <n v="68"/>
    <n v="27"/>
    <n v="307154"/>
    <n v="545468"/>
    <n v="0"/>
    <n v="-0.7410518145661652"/>
    <n v="0"/>
    <n v="0.77272727272727271"/>
    <n v="0.61904761904761907"/>
    <n v="0"/>
    <n v="97337"/>
    <n v="0.23398204177239898"/>
  </r>
  <r>
    <n v="1797"/>
    <s v="cf80b3b2-3622-46a0-8bf6-f92bf329c3c7"/>
    <x v="0"/>
    <x v="1"/>
    <x v="1"/>
    <s v="в собственности"/>
    <s v="консолидация кредитов"/>
    <n v="87934"/>
    <n v="729"/>
    <n v="1180964"/>
    <n v="23521.05"/>
    <n v="16.3"/>
    <n v="35.265240640000002"/>
    <n v="5"/>
    <n v="457254"/>
    <n v="545270"/>
    <n v="0"/>
    <n v="-1.2619756306213112"/>
    <n v="0.97070572569906788"/>
    <n v="0.40074137090909095"/>
    <n v="9.5238095238095233E-2"/>
    <n v="0"/>
    <n v="98413.666666666672"/>
    <n v="0.23900186627196085"/>
  </r>
  <r>
    <n v="1119"/>
    <s v="971bf336-dc0c-4087-801b-37622569659c"/>
    <x v="0"/>
    <x v="1"/>
    <x v="8"/>
    <s v="в аренде"/>
    <s v="приобретение автомобиля"/>
    <n v="121572"/>
    <n v="710"/>
    <n v="1349798"/>
    <n v="20809.560000000001"/>
    <n v="9.1"/>
    <n v="35.265240640000002"/>
    <n v="17"/>
    <n v="206986"/>
    <n v="544698"/>
    <n v="0"/>
    <n v="-1.0704650476089721"/>
    <n v="0.94540612516644473"/>
    <n v="0.40074137090909095"/>
    <n v="0.38095238095238093"/>
    <n v="0"/>
    <n v="112483.16666666667"/>
    <n v="0.18500154837983165"/>
  </r>
  <r>
    <n v="1556"/>
    <s v="54d6bb24-4e69-44e2-ba19-a846cf648335"/>
    <x v="0"/>
    <x v="0"/>
    <x v="4"/>
    <s v="в ипотеке"/>
    <s v="консолидация кредитов"/>
    <n v="671616"/>
    <n v="0"/>
    <n v="1168044"/>
    <n v="28013.599999999999"/>
    <n v="16.8"/>
    <n v="35.265240640000002"/>
    <n v="10"/>
    <n v="186561"/>
    <n v="544126"/>
    <n v="0"/>
    <n v="2.0610899533553853"/>
    <n v="0"/>
    <n v="0.40074137090909095"/>
    <n v="0.21428571428571427"/>
    <n v="0"/>
    <n v="97337"/>
    <n v="0.28780011711887565"/>
  </r>
  <r>
    <n v="124"/>
    <s v="453062fa-f96e-42e4-add5-d15c812fc141"/>
    <x v="1"/>
    <x v="0"/>
    <x v="3"/>
    <s v="в ипотеке"/>
    <s v="консолидация кредитов"/>
    <n v="663168"/>
    <n v="732"/>
    <n v="1527296"/>
    <n v="22145.83"/>
    <n v="17"/>
    <n v="32"/>
    <n v="8"/>
    <n v="331075"/>
    <n v="543774"/>
    <n v="0"/>
    <n v="2.0129931162875381"/>
    <n v="0.97470039946737685"/>
    <n v="0.36363636363636365"/>
    <n v="0.16666666666666666"/>
    <n v="0"/>
    <n v="127274.66666666667"/>
    <n v="0.17400029856687899"/>
  </r>
  <r>
    <n v="1276"/>
    <s v="84f6332f-91a2-47d0-9212-09c33c60ec63"/>
    <x v="0"/>
    <x v="1"/>
    <x v="2"/>
    <s v="в ипотеке"/>
    <s v="консолидация кредитов"/>
    <n v="331562"/>
    <n v="0"/>
    <n v="1168044"/>
    <n v="17562.080000000002"/>
    <n v="12.6"/>
    <n v="5"/>
    <n v="17"/>
    <n v="344014"/>
    <n v="543422"/>
    <n v="0"/>
    <n v="0.1250670091946752"/>
    <n v="0"/>
    <n v="5.6818181818181816E-2"/>
    <n v="0.38095238095238093"/>
    <n v="0"/>
    <n v="97337"/>
    <n v="0.18042553191489363"/>
  </r>
  <r>
    <n v="1546"/>
    <s v="f1a06b3f-5500-4988-b7dc-551304c90e22"/>
    <x v="0"/>
    <x v="0"/>
    <x v="3"/>
    <s v="в аренде"/>
    <s v="консолидация кредитов"/>
    <n v="460284"/>
    <n v="639"/>
    <n v="1211497"/>
    <n v="13225.52"/>
    <n v="9.4"/>
    <n v="35.265240640000002"/>
    <n v="14"/>
    <n v="91371"/>
    <n v="542564"/>
    <n v="1"/>
    <n v="0.85791751358002255"/>
    <n v="0.85086551264980026"/>
    <n v="0.40074137090909095"/>
    <n v="0.30952380952380953"/>
    <n v="0.14285714285714285"/>
    <n v="100958.08333333333"/>
    <n v="0.13100010978153476"/>
  </r>
  <r>
    <n v="1285"/>
    <s v="4c394e3d-b54a-499c-8dae-243317a60720"/>
    <x v="0"/>
    <x v="0"/>
    <x v="1"/>
    <s v="в аренде"/>
    <s v="консолидация кредитов"/>
    <n v="262460"/>
    <n v="696"/>
    <n v="793364"/>
    <n v="18049.240000000002"/>
    <n v="14"/>
    <n v="9"/>
    <n v="25"/>
    <n v="197220"/>
    <n v="542432"/>
    <n v="0"/>
    <n v="-0.26835008775873043"/>
    <n v="0.92676431424766981"/>
    <n v="0.10227272727272728"/>
    <n v="0.5714285714285714"/>
    <n v="0"/>
    <n v="66113.666666666672"/>
    <n v="0.27300316122233931"/>
  </r>
  <r>
    <n v="200"/>
    <s v="142ac1e6-9f6b-4656-b1c5-a3aeca3b3736"/>
    <x v="1"/>
    <x v="1"/>
    <x v="2"/>
    <s v="в ипотеке"/>
    <s v="консолидация кредитов"/>
    <n v="472362"/>
    <n v="732"/>
    <n v="1075058"/>
    <n v="22218.03"/>
    <n v="16.100000000000001"/>
    <n v="35.265240640000002"/>
    <n v="13"/>
    <n v="392369"/>
    <n v="542146"/>
    <n v="0"/>
    <n v="0.92668096032546021"/>
    <n v="0.97470039946737685"/>
    <n v="0.40074137090909095"/>
    <n v="0.2857142857142857"/>
    <n v="0"/>
    <n v="89588.166666666672"/>
    <n v="0.24800183804036616"/>
  </r>
  <r>
    <n v="74"/>
    <s v="a17de546-6b7f-4abf-9af4-99047eeda08a"/>
    <x v="0"/>
    <x v="0"/>
    <x v="1"/>
    <s v="в ипотеке"/>
    <s v="консолидация кредитов"/>
    <n v="311058"/>
    <n v="675"/>
    <n v="1343167"/>
    <n v="21378.799999999999"/>
    <n v="31.4"/>
    <n v="17"/>
    <n v="11"/>
    <n v="247912"/>
    <n v="541596"/>
    <n v="0"/>
    <n v="8.3319775612546165E-3"/>
    <n v="0.89880159786950731"/>
    <n v="0.19318181818181818"/>
    <n v="0.23809523809523808"/>
    <n v="0"/>
    <n v="111930.58333333333"/>
    <n v="0.19100052338986886"/>
  </r>
  <r>
    <n v="1391"/>
    <s v="2c433864-b08e-4dfa-850b-395a36e84950"/>
    <x v="0"/>
    <x v="0"/>
    <x v="6"/>
    <s v="в аренде"/>
    <s v="консолидация кредитов"/>
    <n v="371272"/>
    <n v="681"/>
    <n v="890929"/>
    <n v="18858.07"/>
    <n v="9.9"/>
    <n v="35.265240640000002"/>
    <n v="7"/>
    <n v="356307"/>
    <n v="541420"/>
    <n v="0"/>
    <n v="0.35114719384952942"/>
    <n v="0.90679094540612515"/>
    <n v="0.40074137090909095"/>
    <n v="0.14285714285714285"/>
    <n v="0"/>
    <n v="74244.083333333328"/>
    <n v="0.25400098099848584"/>
  </r>
  <r>
    <n v="958"/>
    <s v="3319838f-c476-40ed-b142-a5ad9a2813d7"/>
    <x v="0"/>
    <x v="1"/>
    <x v="1"/>
    <s v="в ипотеке"/>
    <s v="иное"/>
    <n v="155254"/>
    <n v="730"/>
    <n v="1448028"/>
    <n v="15928.46"/>
    <n v="18.7"/>
    <n v="35.265240640000002"/>
    <n v="14"/>
    <n v="282131"/>
    <n v="540870"/>
    <n v="1"/>
    <n v="-0.87870396023690467"/>
    <n v="0.9720372836218375"/>
    <n v="0.40074137090909095"/>
    <n v="0.30952380952380953"/>
    <n v="0.14285714285714285"/>
    <n v="120669"/>
    <n v="0.13200125964415052"/>
  </r>
  <r>
    <n v="1269"/>
    <s v="06eadc94-9408-4b48-9520-38864489871f"/>
    <x v="0"/>
    <x v="1"/>
    <x v="5"/>
    <s v="в аренде"/>
    <s v="консолидация кредитов"/>
    <n v="264748"/>
    <n v="744"/>
    <n v="1238458"/>
    <n v="11971.71"/>
    <n v="11.8"/>
    <n v="44"/>
    <n v="10"/>
    <n v="275443"/>
    <n v="540584"/>
    <n v="0"/>
    <n v="-0.25532386105285515"/>
    <n v="0.99067909454061254"/>
    <n v="0.5"/>
    <n v="0.21428571428571427"/>
    <n v="0"/>
    <n v="103204.83333333333"/>
    <n v="0.11599950906692032"/>
  </r>
  <r>
    <n v="571"/>
    <s v="2ef213c3-9919-4851-be10-8ccacecb9a4f"/>
    <x v="0"/>
    <x v="1"/>
    <x v="7"/>
    <s v="в аренде"/>
    <s v="приобретение жилья"/>
    <n v="150788"/>
    <n v="739"/>
    <n v="2009326"/>
    <n v="11787.98"/>
    <n v="31"/>
    <n v="35.265240640000002"/>
    <n v="4"/>
    <n v="51338"/>
    <n v="540320"/>
    <n v="0"/>
    <n v="-0.90413015274933428"/>
    <n v="0.98402130492676432"/>
    <n v="0.40074137090909095"/>
    <n v="7.1428571428571425E-2"/>
    <n v="0"/>
    <n v="167443.83333333334"/>
    <n v="7.0399606634264422E-2"/>
  </r>
  <r>
    <n v="1376"/>
    <s v="2fbbb212-4c9a-4469-a001-4096ab2ed7f7"/>
    <x v="1"/>
    <x v="1"/>
    <x v="1"/>
    <s v="в ипотеке"/>
    <s v="консолидация кредитов"/>
    <n v="204600"/>
    <n v="719"/>
    <n v="1007019"/>
    <n v="16028.4"/>
    <n v="16.100000000000001"/>
    <n v="35.265240640000002"/>
    <n v="13"/>
    <n v="347928"/>
    <n v="540012"/>
    <n v="0"/>
    <n v="-0.59776332080153738"/>
    <n v="0.95739014647137155"/>
    <n v="0.40074137090909095"/>
    <n v="0.2857142857142857"/>
    <n v="0"/>
    <n v="83918.25"/>
    <n v="0.19100016980811682"/>
  </r>
  <r>
    <n v="1949"/>
    <s v="a66452df-4938-44e9-bf48-1f5f61780dff"/>
    <x v="0"/>
    <x v="1"/>
    <x v="5"/>
    <s v="в ипотеке"/>
    <s v="консолидация кредитов"/>
    <n v="309594.52439999999"/>
    <n v="737"/>
    <n v="3451464"/>
    <n v="22233.23"/>
    <n v="16.899999999999999"/>
    <n v="24"/>
    <n v="9"/>
    <n v="374338"/>
    <n v="539770"/>
    <n v="0"/>
    <n v="-1.2411115481956205E-10"/>
    <n v="0.98135818908122507"/>
    <n v="0.27272727272727271"/>
    <n v="0.19047619047619047"/>
    <n v="0"/>
    <n v="287622"/>
    <n v="7.7300171753203861E-2"/>
  </r>
  <r>
    <n v="32"/>
    <s v="247c59e9-cf6b-40a7-ae35-d102b69991cc"/>
    <x v="0"/>
    <x v="1"/>
    <x v="3"/>
    <s v="в аренде"/>
    <s v="консолидация кредитов"/>
    <n v="334620"/>
    <n v="729"/>
    <n v="1348620"/>
    <n v="16913.990000000002"/>
    <n v="20"/>
    <n v="35.265240640000002"/>
    <n v="16"/>
    <n v="313177"/>
    <n v="539616"/>
    <n v="0"/>
    <n v="0.14247706219579692"/>
    <n v="0.97070572569906788"/>
    <n v="0.40074137090909095"/>
    <n v="0.35714285714285715"/>
    <n v="0"/>
    <n v="112385"/>
    <n v="0.15050042265426883"/>
  </r>
  <r>
    <n v="202"/>
    <s v="51e76175-9403-4871-a6e4-c5b5ea7a1412"/>
    <x v="0"/>
    <x v="1"/>
    <x v="7"/>
    <s v="в аренде"/>
    <s v="консолидация кредитов"/>
    <n v="149402"/>
    <n v="727"/>
    <n v="841491"/>
    <n v="18723.169999999998"/>
    <n v="8.6"/>
    <n v="35.265240640000002"/>
    <n v="14"/>
    <n v="163571"/>
    <n v="539572"/>
    <n v="0"/>
    <n v="-0.912021040080778"/>
    <n v="0.96804260985352863"/>
    <n v="0.40074137090909095"/>
    <n v="0.30952380952380953"/>
    <n v="0"/>
    <n v="70124.25"/>
    <n v="0.26699993226309016"/>
  </r>
  <r>
    <n v="1184"/>
    <s v="8cf8ffd1-870f-43f0-bec1-e4a5d3d5f70a"/>
    <x v="0"/>
    <x v="1"/>
    <x v="1"/>
    <s v="в ипотеке"/>
    <s v="иное"/>
    <n v="129844"/>
    <n v="735"/>
    <n v="2990144"/>
    <n v="33888.21"/>
    <n v="28.9"/>
    <n v="16"/>
    <n v="9"/>
    <n v="391400"/>
    <n v="538868"/>
    <n v="0"/>
    <n v="-1.0233702279800385"/>
    <n v="0.97869507323568572"/>
    <n v="0.18181818181818182"/>
    <n v="0.19047619047619047"/>
    <n v="0"/>
    <n v="249178.66666666666"/>
    <n v="0.13599964416429444"/>
  </r>
  <r>
    <n v="653"/>
    <s v="0e08ccde-bc5d-4523-8186-93ebf58083ac"/>
    <x v="0"/>
    <x v="1"/>
    <x v="5"/>
    <s v="в аренде"/>
    <s v="консолидация кредитов"/>
    <n v="389620"/>
    <n v="743"/>
    <n v="985530"/>
    <n v="20942.560000000001"/>
    <n v="13"/>
    <n v="35.265240640000002"/>
    <n v="18"/>
    <n v="294481"/>
    <n v="538670"/>
    <n v="0"/>
    <n v="0.45560751185625986"/>
    <n v="0.98934753661784292"/>
    <n v="0.40074137090909095"/>
    <n v="0.40476190476190477"/>
    <n v="0"/>
    <n v="82127.5"/>
    <n v="0.25500057836899942"/>
  </r>
  <r>
    <n v="1505"/>
    <s v="8a8fdc4a-6ccc-4b32-8414-20be994692ab"/>
    <x v="0"/>
    <x v="1"/>
    <x v="1"/>
    <s v="в ипотеке"/>
    <s v="консолидация кредитов"/>
    <n v="105842"/>
    <n v="0"/>
    <n v="1168044"/>
    <n v="10381.6"/>
    <n v="21"/>
    <n v="40"/>
    <n v="12"/>
    <n v="314811"/>
    <n v="538428"/>
    <n v="0"/>
    <n v="-1.1600203562118645"/>
    <n v="0"/>
    <n v="0.45454545454545453"/>
    <n v="0.26190476190476192"/>
    <n v="0"/>
    <n v="97337"/>
    <n v="0.10665625609994145"/>
  </r>
  <r>
    <n v="1589"/>
    <s v="94c8b781-f9eb-4dc1-932d-ab47ad51d042"/>
    <x v="0"/>
    <x v="1"/>
    <x v="1"/>
    <s v="в ипотеке"/>
    <s v="консолидация кредитов"/>
    <n v="324104"/>
    <n v="721"/>
    <n v="3358782"/>
    <n v="22084.080000000002"/>
    <n v="13.4"/>
    <n v="35.265240640000002"/>
    <n v="12"/>
    <n v="292429"/>
    <n v="538340"/>
    <n v="0"/>
    <n v="8.260652022071642E-2"/>
    <n v="0.96005326231691079"/>
    <n v="0.40074137090909095"/>
    <n v="0.26190476190476192"/>
    <n v="0"/>
    <n v="279898.5"/>
    <n v="7.890031565013747E-2"/>
  </r>
  <r>
    <n v="756"/>
    <s v="2f2aa20b-d173-4318-9435-85de7eee4f7f"/>
    <x v="0"/>
    <x v="0"/>
    <x v="1"/>
    <s v="в собственности"/>
    <s v="консолидация кредитов"/>
    <n v="446160"/>
    <n v="741"/>
    <n v="1541280"/>
    <n v="28256.799999999999"/>
    <n v="22.1"/>
    <n v="35.265240640000002"/>
    <n v="10"/>
    <n v="235885"/>
    <n v="537658"/>
    <n v="0"/>
    <n v="0.77750561410721575"/>
    <n v="0.98668442077230356"/>
    <n v="0.40074137090909095"/>
    <n v="0.21428571428571427"/>
    <n v="0"/>
    <n v="128440"/>
    <n v="0.22"/>
  </r>
  <r>
    <n v="627"/>
    <s v="f9dfd867-61a1-469b-840e-71d0c4a2e631"/>
    <x v="0"/>
    <x v="1"/>
    <x v="2"/>
    <s v="в ипотеке"/>
    <s v="консолидация кредитов"/>
    <n v="309594.52439999999"/>
    <n v="743"/>
    <n v="788101"/>
    <n v="14317.26"/>
    <n v="14.6"/>
    <n v="26"/>
    <n v="9"/>
    <n v="137750"/>
    <n v="537042"/>
    <n v="0"/>
    <n v="-1.2411115481956205E-10"/>
    <n v="0.98934753661784292"/>
    <n v="0.29545454545454547"/>
    <n v="0.19047619047619047"/>
    <n v="0"/>
    <n v="65675.083333333328"/>
    <n v="0.21800139829793391"/>
  </r>
  <r>
    <n v="1383"/>
    <s v="de668fb9-8638-4676-870f-d24a47bbc0f2"/>
    <x v="0"/>
    <x v="1"/>
    <x v="0"/>
    <s v="в аренде"/>
    <s v="консолидация кредитов"/>
    <n v="309594.52439999999"/>
    <n v="731"/>
    <n v="1688796"/>
    <n v="10948.94"/>
    <n v="9.6"/>
    <n v="37"/>
    <n v="12"/>
    <n v="379392"/>
    <n v="536382"/>
    <n v="0"/>
    <n v="-1.2411115481956205E-10"/>
    <n v="0.97336884154460723"/>
    <n v="0.42045454545454547"/>
    <n v="0.26190476190476192"/>
    <n v="0"/>
    <n v="140733"/>
    <n v="7.779937896584313E-2"/>
  </r>
  <r>
    <n v="628"/>
    <s v="919ec1ef-5fe8-465a-8b3e-8442108780b6"/>
    <x v="1"/>
    <x v="1"/>
    <x v="1"/>
    <s v="в ипотеке"/>
    <s v="консолидация кредитов"/>
    <n v="432520"/>
    <n v="745"/>
    <n v="1029477"/>
    <n v="17758.54"/>
    <n v="15.4"/>
    <n v="35.265240640000002"/>
    <n v="7"/>
    <n v="296286"/>
    <n v="536074"/>
    <n v="0"/>
    <n v="0.69984926259142088"/>
    <n v="0.99201065246338216"/>
    <n v="0.40074137090909095"/>
    <n v="0.14285714285714285"/>
    <n v="0"/>
    <n v="85789.75"/>
    <n v="0.20700071978295775"/>
  </r>
  <r>
    <n v="434"/>
    <s v="7c5ef5d9-ff25-4006-a399-cee0e175e54a"/>
    <x v="0"/>
    <x v="1"/>
    <x v="1"/>
    <s v="в ипотеке"/>
    <s v="консолидация кредитов"/>
    <n v="396286"/>
    <n v="741"/>
    <n v="2528767"/>
    <n v="17111.400000000001"/>
    <n v="28.9"/>
    <n v="4"/>
    <n v="11"/>
    <n v="174781"/>
    <n v="535414"/>
    <n v="0"/>
    <n v="0.49355892235510795"/>
    <n v="0.98668442077230356"/>
    <n v="4.5454545454545456E-2"/>
    <n v="0.23809523809523808"/>
    <n v="0"/>
    <n v="210730.58333333334"/>
    <n v="8.1200363655489022E-2"/>
  </r>
  <r>
    <n v="1368"/>
    <s v="5e0dbf17-0568-41fa-8534-d5336c6ed89a"/>
    <x v="1"/>
    <x v="1"/>
    <x v="6"/>
    <s v="в ипотеке"/>
    <s v="консолидация кредитов"/>
    <n v="644094"/>
    <n v="734"/>
    <n v="2225052"/>
    <n v="34859.11"/>
    <n v="19.399999999999999"/>
    <n v="35.265240640000002"/>
    <n v="20"/>
    <n v="413060"/>
    <n v="534402"/>
    <n v="0"/>
    <n v="1.9043994763452896"/>
    <n v="0.9773635153129161"/>
    <n v="0.40074137090909095"/>
    <n v="0.45238095238095238"/>
    <n v="0"/>
    <n v="185421"/>
    <n v="0.18799979506096937"/>
  </r>
  <r>
    <n v="1657"/>
    <s v="8bac7b01-376b-4d3c-8134-965683795f55"/>
    <x v="1"/>
    <x v="0"/>
    <x v="8"/>
    <s v="в аренде"/>
    <s v="консолидация кредитов"/>
    <n v="259512"/>
    <n v="713"/>
    <n v="1251359"/>
    <n v="25861.47"/>
    <n v="28.4"/>
    <n v="55"/>
    <n v="15"/>
    <n v="433276"/>
    <n v="534270"/>
    <n v="0"/>
    <n v="-0.28513387986053124"/>
    <n v="0.94940079893475371"/>
    <n v="0.625"/>
    <n v="0.33333333333333331"/>
    <n v="0"/>
    <n v="104279.91666666667"/>
    <n v="0.24800048587176021"/>
  </r>
  <r>
    <n v="1989"/>
    <s v="9e229a36-73ca-4eb3-bfde-bec3273ddd4c"/>
    <x v="0"/>
    <x v="1"/>
    <x v="1"/>
    <s v="в аренде"/>
    <s v="путешествие"/>
    <n v="218944"/>
    <n v="727"/>
    <n v="718542"/>
    <n v="11616.22"/>
    <n v="16.8"/>
    <n v="33"/>
    <n v="12"/>
    <n v="10564"/>
    <n v="532114"/>
    <n v="0"/>
    <n v="-0.5160988995300887"/>
    <n v="0.96804260985352863"/>
    <n v="0.375"/>
    <n v="0.26190476190476192"/>
    <n v="0"/>
    <n v="59878.5"/>
    <n v="0.19399650959860382"/>
  </r>
  <r>
    <n v="517"/>
    <s v="0c525c1d-15ec-499e-858d-4b32a5fa8a97"/>
    <x v="0"/>
    <x v="1"/>
    <x v="3"/>
    <s v="в ипотеке"/>
    <s v="консолидация кредитов"/>
    <n v="782408"/>
    <n v="0"/>
    <n v="1168044"/>
    <n v="69227.64"/>
    <n v="33.4"/>
    <n v="35.265240640000002"/>
    <n v="12"/>
    <n v="246658"/>
    <n v="531828"/>
    <n v="0"/>
    <n v="2.6918599311514217"/>
    <n v="0"/>
    <n v="0.40074137090909095"/>
    <n v="0.26190476190476192"/>
    <n v="0"/>
    <n v="97337"/>
    <n v="0.71121608432559047"/>
  </r>
  <r>
    <n v="1845"/>
    <s v="5baceee3-78d0-4ef7-af55-28b6dd72089d"/>
    <x v="0"/>
    <x v="0"/>
    <x v="9"/>
    <s v="в аренде"/>
    <s v="консолидация кредитов"/>
    <n v="448624"/>
    <n v="709"/>
    <n v="1356068"/>
    <n v="15594.82"/>
    <n v="23.4"/>
    <n v="35.265240640000002"/>
    <n v="6"/>
    <n v="219488"/>
    <n v="531696"/>
    <n v="0"/>
    <n v="0.7915338582520044"/>
    <n v="0.94407456724367511"/>
    <n v="0.40074137090909095"/>
    <n v="0.11904761904761904"/>
    <n v="0"/>
    <n v="113005.66666666667"/>
    <n v="0.13800033626632291"/>
  </r>
  <r>
    <n v="1514"/>
    <s v="65dd53bb-6b66-46c4-87c5-137dbed15bf6"/>
    <x v="1"/>
    <x v="1"/>
    <x v="1"/>
    <s v="в аренде"/>
    <s v="консолидация кредитов"/>
    <n v="193996"/>
    <n v="735"/>
    <n v="2233944"/>
    <n v="8246.9500000000007"/>
    <n v="16.5"/>
    <n v="16"/>
    <n v="14"/>
    <n v="285171"/>
    <n v="530860"/>
    <n v="0"/>
    <n v="-0.65813487149607464"/>
    <n v="0.97869507323568572"/>
    <n v="0.18181818181818182"/>
    <n v="0.30952380952380953"/>
    <n v="0"/>
    <n v="186162"/>
    <n v="4.4299857113696675E-2"/>
  </r>
  <r>
    <n v="1650"/>
    <s v="bc1b324c-f66d-4f60-a8ec-525fe6456ab4"/>
    <x v="0"/>
    <x v="1"/>
    <x v="6"/>
    <s v="в ипотеке"/>
    <s v="консолидация кредитов"/>
    <n v="436480"/>
    <n v="679"/>
    <n v="2261760"/>
    <n v="19790.400000000001"/>
    <n v="15.7"/>
    <n v="30"/>
    <n v="9"/>
    <n v="341145"/>
    <n v="530222"/>
    <n v="0"/>
    <n v="0.72239465496697419"/>
    <n v="0.9041278295605859"/>
    <n v="0.34090909090909088"/>
    <n v="0.19047619047619047"/>
    <n v="0"/>
    <n v="188480"/>
    <n v="0.10500000000000001"/>
  </r>
  <r>
    <n v="43"/>
    <s v="847e2dfa-a44c-4ec1-b05f-5d4a33e66885"/>
    <x v="0"/>
    <x v="0"/>
    <x v="0"/>
    <s v="в ипотеке"/>
    <s v="консолидация кредитов"/>
    <n v="327008"/>
    <n v="0"/>
    <n v="1168044"/>
    <n v="15419.45"/>
    <n v="16.7"/>
    <n v="24"/>
    <n v="13"/>
    <n v="268090"/>
    <n v="529738"/>
    <n v="0"/>
    <n v="9.9139807962788859E-2"/>
    <n v="0"/>
    <n v="0.27272727272727271"/>
    <n v="0.2857142857142857"/>
    <n v="0"/>
    <n v="97337"/>
    <n v="0.15841303923482336"/>
  </r>
  <r>
    <n v="1528"/>
    <s v="716fec9a-d973-48ec-b5f2-84f4dfe78298"/>
    <x v="0"/>
    <x v="0"/>
    <x v="6"/>
    <s v="в аренде"/>
    <s v="консолидация кредитов"/>
    <n v="309594.52439999999"/>
    <n v="713"/>
    <n v="2597870"/>
    <n v="19462.46"/>
    <n v="13.3"/>
    <n v="35.265240640000002"/>
    <n v="7"/>
    <n v="286729"/>
    <n v="529518"/>
    <n v="0"/>
    <n v="-1.2411115481956205E-10"/>
    <n v="0.94940079893475371"/>
    <n v="0.40074137090909095"/>
    <n v="0.14285714285714285"/>
    <n v="0"/>
    <n v="216489.16666666666"/>
    <n v="8.9900387625246839E-2"/>
  </r>
  <r>
    <n v="1431"/>
    <s v="9547beca-dd1e-4da8-8a3e-d121eabe920c"/>
    <x v="1"/>
    <x v="1"/>
    <x v="1"/>
    <s v="в ипотеке"/>
    <s v="консолидация кредитов"/>
    <n v="420684"/>
    <n v="746"/>
    <n v="810616"/>
    <n v="15469.04"/>
    <n v="17.100000000000001"/>
    <n v="7"/>
    <n v="10"/>
    <n v="235505"/>
    <n v="529474"/>
    <n v="0"/>
    <n v="0.63246358982448925"/>
    <n v="0.99334221038615178"/>
    <n v="7.9545454545454544E-2"/>
    <n v="0.21428571428571427"/>
    <n v="0"/>
    <n v="67551.333333333328"/>
    <n v="0.22899681230076882"/>
  </r>
  <r>
    <n v="914"/>
    <s v="f97a1cdd-7f92-4dc5-bccf-ebe1da480b0b"/>
    <x v="0"/>
    <x v="1"/>
    <x v="9"/>
    <s v="в ипотеке"/>
    <s v="приобретение жилья"/>
    <n v="225126"/>
    <n v="719"/>
    <n v="1788736"/>
    <n v="15055.03"/>
    <n v="19.3"/>
    <n v="61"/>
    <n v="21"/>
    <n v="329593"/>
    <n v="529320"/>
    <n v="0"/>
    <n v="-0.48090303698825265"/>
    <n v="0.95739014647137155"/>
    <n v="0.69318181818181823"/>
    <n v="0.47619047619047616"/>
    <n v="0"/>
    <n v="149061.33333333334"/>
    <n v="0.10099889530931339"/>
  </r>
  <r>
    <n v="1526"/>
    <s v="81e5428b-a03d-4f53-b150-00aef1d1ed68"/>
    <x v="1"/>
    <x v="1"/>
    <x v="6"/>
    <s v="в ипотеке"/>
    <s v="бизнес"/>
    <n v="431948"/>
    <n v="671"/>
    <n v="932615"/>
    <n v="10258.67"/>
    <n v="16.2"/>
    <n v="35.265240640000002"/>
    <n v="12"/>
    <n v="120194"/>
    <n v="529166"/>
    <n v="0"/>
    <n v="0.69659270591495215"/>
    <n v="0.89347536617842871"/>
    <n v="0.40074137090909095"/>
    <n v="0.26190476190476192"/>
    <n v="0"/>
    <n v="77717.916666666672"/>
    <n v="0.13199877763064072"/>
  </r>
  <r>
    <n v="637"/>
    <s v="d39c970b-ed77-43a5-9bdc-672aa33cbf39"/>
    <x v="0"/>
    <x v="1"/>
    <x v="3"/>
    <s v="в аренде"/>
    <s v="консолидация кредитов"/>
    <n v="309594.52439999999"/>
    <n v="691"/>
    <n v="1680417"/>
    <n v="22965.68"/>
    <n v="17.7"/>
    <n v="62"/>
    <n v="27"/>
    <n v="92720"/>
    <n v="528880"/>
    <n v="0"/>
    <n v="-1.2411115481956205E-10"/>
    <n v="0.92010652463382159"/>
    <n v="0.70454545454545459"/>
    <n v="0.61904761904761907"/>
    <n v="0"/>
    <n v="140034.75"/>
    <n v="0.16399986431939215"/>
  </r>
  <r>
    <n v="1852"/>
    <s v="366c3cf0-cf9a-4fbf-8e42-c3e6a16af8a8"/>
    <x v="0"/>
    <x v="1"/>
    <x v="1"/>
    <s v="в ипотеке"/>
    <s v="консолидация кредитов"/>
    <n v="144848"/>
    <n v="0"/>
    <n v="1168044"/>
    <n v="4193.1099999999997"/>
    <n v="12.3"/>
    <n v="26"/>
    <n v="7"/>
    <n v="123785"/>
    <n v="528880"/>
    <n v="1"/>
    <n v="-0.9379482413126643"/>
    <n v="0"/>
    <n v="0.29545454545454547"/>
    <n v="0.14285714285714285"/>
    <n v="0.14285714285714285"/>
    <n v="97337"/>
    <n v="4.3078274448565289E-2"/>
  </r>
  <r>
    <n v="669"/>
    <s v="ed13f60c-50b4-42f6-a7b0-e3dc666e645a"/>
    <x v="0"/>
    <x v="1"/>
    <x v="1"/>
    <s v="в ипотеке"/>
    <s v="консолидация кредитов"/>
    <n v="333036"/>
    <n v="727"/>
    <n v="1629858"/>
    <n v="7904.76"/>
    <n v="21"/>
    <n v="35.265240640000002"/>
    <n v="9"/>
    <n v="281979"/>
    <n v="528330"/>
    <n v="0"/>
    <n v="0.1334589052455756"/>
    <n v="0.96804260985352863"/>
    <n v="0.40074137090909095"/>
    <n v="0.19047619047619047"/>
    <n v="0"/>
    <n v="135821.5"/>
    <n v="5.8199622298384275E-2"/>
  </r>
  <r>
    <n v="930"/>
    <s v="36961187-b092-415f-9572-bcd46a1cfb9c"/>
    <x v="0"/>
    <x v="1"/>
    <x v="5"/>
    <s v="в ипотеке"/>
    <s v="консолидация кредитов"/>
    <n v="460570"/>
    <n v="0"/>
    <n v="1168044"/>
    <n v="26730.53"/>
    <n v="15.5"/>
    <n v="75"/>
    <n v="10"/>
    <n v="316673"/>
    <n v="528330"/>
    <n v="0"/>
    <n v="0.85954579191825697"/>
    <n v="0"/>
    <n v="0.85227272727272729"/>
    <n v="0.21428571428571427"/>
    <n v="0"/>
    <n v="97337"/>
    <n v="0.2746183876634784"/>
  </r>
  <r>
    <n v="520"/>
    <s v="f07498c8-c9ae-463f-8c8a-2736112aff77"/>
    <x v="0"/>
    <x v="1"/>
    <x v="0"/>
    <s v="в аренде"/>
    <s v="консолидация кредитов"/>
    <n v="147400"/>
    <n v="745"/>
    <n v="2314428"/>
    <n v="20058.3"/>
    <n v="19.8"/>
    <n v="35.265240640000002"/>
    <n v="8"/>
    <n v="40603"/>
    <n v="528198"/>
    <n v="0"/>
    <n v="-0.92341898844841885"/>
    <n v="0.99201065246338216"/>
    <n v="0.40074137090909095"/>
    <n v="0.16666666666666666"/>
    <n v="0"/>
    <n v="192869"/>
    <n v="0.10399960595015269"/>
  </r>
  <r>
    <n v="746"/>
    <s v="f4649e39-0bda-4aee-a665-18d1ea6cf9e7"/>
    <x v="0"/>
    <x v="1"/>
    <x v="6"/>
    <s v="в аренде"/>
    <s v="консолидация кредитов"/>
    <n v="214764"/>
    <n v="730"/>
    <n v="983041"/>
    <n v="12697.51"/>
    <n v="13.4"/>
    <n v="43"/>
    <n v="19"/>
    <n v="209741"/>
    <n v="527956"/>
    <n v="0"/>
    <n v="-0.53989681370428388"/>
    <n v="0.9720372836218375"/>
    <n v="0.48863636363636365"/>
    <n v="0.42857142857142855"/>
    <n v="0"/>
    <n v="81920.083333333328"/>
    <n v="0.15499874369431185"/>
  </r>
  <r>
    <n v="678"/>
    <s v="0ae12723-f0b0-42a7-aa49-a8253d1d3697"/>
    <x v="1"/>
    <x v="1"/>
    <x v="6"/>
    <s v="в ипотеке"/>
    <s v="консолидация кредитов"/>
    <n v="64592"/>
    <n v="686"/>
    <n v="1299581"/>
    <n v="35197.120000000003"/>
    <n v="24.2"/>
    <n v="35.265240640000002"/>
    <n v="20"/>
    <n v="271111"/>
    <n v="527582"/>
    <n v="0"/>
    <n v="-1.3948681934572118"/>
    <n v="0.91344873501997337"/>
    <n v="0.40074137090909095"/>
    <n v="0.45238095238095238"/>
    <n v="0"/>
    <n v="108298.41666666667"/>
    <n v="0.32500124270822672"/>
  </r>
  <r>
    <n v="1235"/>
    <s v="c5c7c00f-e785-4221-8204-e1959e5e6982"/>
    <x v="0"/>
    <x v="1"/>
    <x v="1"/>
    <s v="в аренде"/>
    <s v="консолидация кредитов"/>
    <n v="216106"/>
    <n v="742"/>
    <n v="1343794"/>
    <n v="23202.799999999999"/>
    <n v="21.5"/>
    <n v="25"/>
    <n v="10"/>
    <n v="316160"/>
    <n v="527494"/>
    <n v="0"/>
    <n v="-0.53225643073256856"/>
    <n v="0.98801597869507318"/>
    <n v="0.28409090909090912"/>
    <n v="0.21428571428571427"/>
    <n v="0"/>
    <n v="111982.83333333333"/>
    <n v="0.20719961541724402"/>
  </r>
  <r>
    <n v="1633"/>
    <s v="b1559fc5-f350-4930-ac2d-cfb347693b93"/>
    <x v="1"/>
    <x v="1"/>
    <x v="7"/>
    <s v="в ипотеке"/>
    <s v="иное"/>
    <n v="191686"/>
    <n v="710"/>
    <n v="1166334"/>
    <n v="13510.14"/>
    <n v="23.4"/>
    <n v="16"/>
    <n v="5"/>
    <n v="423282"/>
    <n v="527010"/>
    <n v="0"/>
    <n v="-0.67128635038181406"/>
    <n v="0.94540612516644473"/>
    <n v="0.18181818181818182"/>
    <n v="9.5238095238095233E-2"/>
    <n v="0"/>
    <n v="97194.5"/>
    <n v="0.1390010751637181"/>
  </r>
  <r>
    <n v="1160"/>
    <s v="2ab51ba5-4665-479a-a619-1557b539d63a"/>
    <x v="0"/>
    <x v="1"/>
    <x v="6"/>
    <s v="в аренде"/>
    <s v="путешествие"/>
    <n v="224752"/>
    <n v="0"/>
    <n v="1168044"/>
    <n v="1536.72"/>
    <n v="13.6"/>
    <n v="35.265240640000002"/>
    <n v="3"/>
    <n v="75107"/>
    <n v="526988"/>
    <n v="0"/>
    <n v="-0.48303232404594376"/>
    <n v="0"/>
    <n v="0.40074137090909095"/>
    <n v="4.7619047619047616E-2"/>
    <n v="0"/>
    <n v="97337"/>
    <n v="1.5787624438805388E-2"/>
  </r>
  <r>
    <n v="847"/>
    <s v="66124403-409b-42e0-b79c-61187746de84"/>
    <x v="0"/>
    <x v="1"/>
    <x v="9"/>
    <s v="в аренде"/>
    <s v="консолидация кредитов"/>
    <n v="220770"/>
    <n v="741"/>
    <n v="591071"/>
    <n v="12067.66"/>
    <n v="18.5"/>
    <n v="35.265240640000002"/>
    <n v="7"/>
    <n v="393585"/>
    <n v="525646"/>
    <n v="0"/>
    <n v="-0.50570296860136132"/>
    <n v="0.98668442077230356"/>
    <n v="0.40074137090909095"/>
    <n v="0.14285714285714285"/>
    <n v="0"/>
    <n v="49255.916666666664"/>
    <n v="0.24499919637403966"/>
  </r>
  <r>
    <n v="1548"/>
    <s v="8b07719a-4f23-4e50-9abb-dec1929755e3"/>
    <x v="0"/>
    <x v="1"/>
    <x v="5"/>
    <s v="в аренде"/>
    <s v="консолидация кредитов"/>
    <n v="309594.52439999999"/>
    <n v="694"/>
    <n v="741228"/>
    <n v="21371.96"/>
    <n v="9"/>
    <n v="35.265240640000002"/>
    <n v="10"/>
    <n v="244188"/>
    <n v="525536"/>
    <n v="0"/>
    <n v="-1.2411115481956205E-10"/>
    <n v="0.92410119840213045"/>
    <n v="0.40074137090909095"/>
    <n v="0.21428571428571427"/>
    <n v="0"/>
    <n v="61769"/>
    <n v="0.34599815441402643"/>
  </r>
  <r>
    <n v="1015"/>
    <s v="6bc91a19-3e02-4ac7-8951-914fa7c139c5"/>
    <x v="0"/>
    <x v="1"/>
    <x v="1"/>
    <s v="в ипотеке"/>
    <s v="консолидация кредитов"/>
    <n v="346258"/>
    <n v="742"/>
    <n v="1626058"/>
    <n v="4634.29"/>
    <n v="15"/>
    <n v="74"/>
    <n v="8"/>
    <n v="307724"/>
    <n v="525514"/>
    <n v="0"/>
    <n v="0.20873546534395088"/>
    <n v="0.98801597869507318"/>
    <n v="0.84090909090909094"/>
    <n v="0.16666666666666666"/>
    <n v="0"/>
    <n v="135504.83333333334"/>
    <n v="3.4200182281320837E-2"/>
  </r>
  <r>
    <n v="550"/>
    <s v="a19d9e8c-59ba-4947-b93c-d8a2fd69aa6e"/>
    <x v="0"/>
    <x v="1"/>
    <x v="2"/>
    <s v="в аренде"/>
    <s v="консолидация кредитов"/>
    <n v="110044"/>
    <n v="729"/>
    <n v="1478637"/>
    <n v="27601.49"/>
    <n v="17"/>
    <n v="35.265240640000002"/>
    <n v="16"/>
    <n v="364933"/>
    <n v="523600"/>
    <n v="0"/>
    <n v="-1.1360971898578052"/>
    <n v="0.97070572569906788"/>
    <n v="0.40074137090909095"/>
    <n v="0.35714285714285715"/>
    <n v="0"/>
    <n v="123219.75"/>
    <n v="0.22400215874484408"/>
  </r>
  <r>
    <n v="84"/>
    <s v="d80034d4-37b2-4380-9546-3bc3c9025077"/>
    <x v="0"/>
    <x v="1"/>
    <x v="3"/>
    <s v="в ипотеке"/>
    <s v="ремонт жилья"/>
    <n v="444620"/>
    <n v="0"/>
    <n v="1168044"/>
    <n v="15292.34"/>
    <n v="11.8"/>
    <n v="35.265240640000002"/>
    <n v="9"/>
    <n v="373350"/>
    <n v="522742"/>
    <n v="0"/>
    <n v="0.7687379615167228"/>
    <n v="0"/>
    <n v="0.40074137090909095"/>
    <n v="0.19047619047619047"/>
    <n v="0"/>
    <n v="97337"/>
    <n v="0.1571071637712278"/>
  </r>
  <r>
    <n v="1260"/>
    <s v="9e673c26-e703-48cb-81a6-a6756684a219"/>
    <x v="0"/>
    <x v="1"/>
    <x v="4"/>
    <s v="в аренде"/>
    <s v="консолидация кредитов"/>
    <n v="309594.52439999999"/>
    <n v="657"/>
    <n v="929518"/>
    <n v="12548.55"/>
    <n v="16.899999999999999"/>
    <n v="35.265240640000002"/>
    <n v="18"/>
    <n v="263549"/>
    <n v="521642"/>
    <n v="0"/>
    <n v="-1.2411115481956205E-10"/>
    <n v="0.87483355525965378"/>
    <n v="0.40074137090909095"/>
    <n v="0.40476190476190477"/>
    <n v="0"/>
    <n v="77459.833333333328"/>
    <n v="0.1620007358652549"/>
  </r>
  <r>
    <n v="1809"/>
    <s v="d5bfc52d-e31b-4990-be6a-6d9299706138"/>
    <x v="0"/>
    <x v="0"/>
    <x v="7"/>
    <s v="в ипотеке"/>
    <s v="консолидация кредитов"/>
    <n v="314468"/>
    <n v="629"/>
    <n v="921462"/>
    <n v="13668.22"/>
    <n v="26.5"/>
    <n v="35.265240640000002"/>
    <n v="17"/>
    <n v="193458"/>
    <n v="520960"/>
    <n v="0"/>
    <n v="2.7746065440203315E-2"/>
    <n v="0.83754993342210382"/>
    <n v="0.40074137090909095"/>
    <n v="0.38095238095238093"/>
    <n v="0"/>
    <n v="76788.5"/>
    <n v="0.17799826796981319"/>
  </r>
  <r>
    <n v="1180"/>
    <s v="ba4a0090-50e3-4f9f-9be2-572190fe4429"/>
    <x v="0"/>
    <x v="1"/>
    <x v="4"/>
    <s v="в аренде"/>
    <s v="консолидация кредитов"/>
    <n v="309594.52439999999"/>
    <n v="744"/>
    <n v="751564"/>
    <n v="16283.95"/>
    <n v="12"/>
    <n v="35.265240640000002"/>
    <n v="6"/>
    <n v="281751"/>
    <n v="520300"/>
    <n v="0"/>
    <n v="-1.2411115481956205E-10"/>
    <n v="0.99067909454061254"/>
    <n v="0.40074137090909095"/>
    <n v="0.11904761904761904"/>
    <n v="0"/>
    <n v="62630.333333333336"/>
    <n v="0.26000101122459296"/>
  </r>
  <r>
    <n v="1756"/>
    <s v="03c4d4ba-1def-4e5d-b87e-3d62069d1660"/>
    <x v="0"/>
    <x v="1"/>
    <x v="3"/>
    <s v="в ипотеке"/>
    <s v="консолидация кредитов"/>
    <n v="261008"/>
    <n v="749"/>
    <n v="1744029"/>
    <n v="38368.6"/>
    <n v="13.2"/>
    <n v="46"/>
    <n v="18"/>
    <n v="140999"/>
    <n v="519970"/>
    <n v="0"/>
    <n v="-0.27661673162976663"/>
    <n v="0.99733688415446076"/>
    <n v="0.52272727272727271"/>
    <n v="0.40476190476190477"/>
    <n v="0"/>
    <n v="145335.75"/>
    <n v="0.26399973853645781"/>
  </r>
  <r>
    <n v="395"/>
    <s v="86b76475-e158-42ee-a94b-ac9f7916ebf3"/>
    <x v="1"/>
    <x v="1"/>
    <x v="1"/>
    <s v="в аренде"/>
    <s v="консолидация кредитов"/>
    <n v="456126"/>
    <n v="0"/>
    <n v="1168044"/>
    <n v="23213.82"/>
    <n v="18.600000000000001"/>
    <n v="35.265240640000002"/>
    <n v="8"/>
    <n v="333640"/>
    <n v="519244"/>
    <n v="0"/>
    <n v="0.83424485158569162"/>
    <n v="0"/>
    <n v="0.40074137090909095"/>
    <n v="0.16666666666666666"/>
    <n v="0"/>
    <n v="97337"/>
    <n v="0.23848916650400157"/>
  </r>
  <r>
    <n v="1749"/>
    <s v="322db8fc-2a16-4349-9903-eb8f9d0dab92"/>
    <x v="0"/>
    <x v="0"/>
    <x v="1"/>
    <s v="в ипотеке"/>
    <s v="консолидация кредитов"/>
    <n v="568656"/>
    <n v="690"/>
    <n v="1408033"/>
    <n v="27573.94"/>
    <n v="22.5"/>
    <n v="35.265240640000002"/>
    <n v="16"/>
    <n v="389234"/>
    <n v="519222"/>
    <n v="0"/>
    <n v="1.4749097515909988"/>
    <n v="0.91877496671105197"/>
    <n v="0.40074137090909095"/>
    <n v="0.35714285714285715"/>
    <n v="0"/>
    <n v="117336.08333333333"/>
    <n v="0.23499966264995209"/>
  </r>
  <r>
    <n v="276"/>
    <s v="efb8142e-318b-4c95-ab8a-0debf34bea04"/>
    <x v="0"/>
    <x v="1"/>
    <x v="1"/>
    <s v="в ипотеке"/>
    <s v="консолидация кредитов"/>
    <n v="118998"/>
    <n v="686"/>
    <n v="576327"/>
    <n v="10037.700000000001"/>
    <n v="11.1"/>
    <n v="35.265240640000002"/>
    <n v="11"/>
    <n v="320834"/>
    <n v="518144"/>
    <n v="0"/>
    <n v="-1.0851195526530819"/>
    <n v="0.91344873501997337"/>
    <n v="0.40074137090909095"/>
    <n v="0.23809523809523808"/>
    <n v="0"/>
    <n v="48027.25"/>
    <n v="0.20900009890218577"/>
  </r>
  <r>
    <n v="1923"/>
    <s v="0820ef0b-c1d9-40a1-ad87-225e7cfc72f5"/>
    <x v="0"/>
    <x v="1"/>
    <x v="2"/>
    <s v="в аренде"/>
    <s v="консолидация кредитов"/>
    <n v="528836"/>
    <n v="718"/>
    <n v="1140912"/>
    <n v="19899.650000000001"/>
    <n v="13.9"/>
    <n v="35.265240640000002"/>
    <n v="11"/>
    <n v="272403"/>
    <n v="517066"/>
    <n v="0"/>
    <n v="1.2482033060368236"/>
    <n v="0.95605858854860182"/>
    <n v="0.40074137090909095"/>
    <n v="0.23809523809523808"/>
    <n v="0"/>
    <n v="95076"/>
    <n v="0.20930255795363711"/>
  </r>
  <r>
    <n v="877"/>
    <s v="64d94dad-740f-4760-bdf6-3562006d7128"/>
    <x v="1"/>
    <x v="0"/>
    <x v="1"/>
    <s v="в ипотеке"/>
    <s v="консолидация кредитов"/>
    <n v="785026"/>
    <n v="0"/>
    <n v="1168044"/>
    <n v="49394.87"/>
    <n v="21.7"/>
    <n v="6"/>
    <n v="7"/>
    <n v="431224"/>
    <n v="515812"/>
    <n v="0"/>
    <n v="2.7067649405552596"/>
    <n v="0"/>
    <n v="6.8181818181818177E-2"/>
    <n v="0.14285714285714285"/>
    <n v="0"/>
    <n v="97337"/>
    <n v="0.50746242436072619"/>
  </r>
  <r>
    <n v="34"/>
    <s v="61a4f1ed-e2c3-401e-aec8-9b0d7178f5ff"/>
    <x v="0"/>
    <x v="0"/>
    <x v="1"/>
    <s v="в ипотеке"/>
    <s v="консолидация кредитов"/>
    <n v="333564"/>
    <n v="725"/>
    <n v="1248338"/>
    <n v="18205.04"/>
    <n v="14.6"/>
    <n v="35.265240640000002"/>
    <n v="18"/>
    <n v="300979"/>
    <n v="515526"/>
    <n v="0"/>
    <n v="0.13646495756231605"/>
    <n v="0.96537949400798939"/>
    <n v="0.40074137090909095"/>
    <n v="0.40476190476190477"/>
    <n v="0"/>
    <n v="104028.16666666667"/>
    <n v="0.17500106541657789"/>
  </r>
  <r>
    <n v="145"/>
    <s v="b0d26cc8-cf23-4eb3-aa53-8074353532ce"/>
    <x v="0"/>
    <x v="1"/>
    <x v="7"/>
    <s v="в ипотеке"/>
    <s v="консолидация кредитов"/>
    <n v="537878"/>
    <n v="743"/>
    <n v="1296807"/>
    <n v="24963.53"/>
    <n v="18.399999999999999"/>
    <n v="70"/>
    <n v="12"/>
    <n v="249223"/>
    <n v="515306"/>
    <n v="0"/>
    <n v="1.2996819519610037"/>
    <n v="0.98934753661784292"/>
    <n v="0.79545454545454541"/>
    <n v="0.26190476190476192"/>
    <n v="0"/>
    <n v="108067.25"/>
    <n v="0.23099995604588808"/>
  </r>
  <r>
    <n v="469"/>
    <s v="86c10392-9210-4d48-a02b-49ff0beff2de"/>
    <x v="1"/>
    <x v="1"/>
    <x v="5"/>
    <s v="в ипотеке"/>
    <s v="иное"/>
    <n v="44022"/>
    <n v="666"/>
    <n v="910727"/>
    <n v="19808.259999999998"/>
    <n v="22.5"/>
    <n v="24"/>
    <n v="8"/>
    <n v="419748"/>
    <n v="514866"/>
    <n v="0"/>
    <n v="-1.5119789816302249"/>
    <n v="0.8868175765645806"/>
    <n v="0.27272727272727271"/>
    <n v="0.16666666666666666"/>
    <n v="0"/>
    <n v="75893.916666666672"/>
    <n v="0.26099931153902317"/>
  </r>
  <r>
    <n v="130"/>
    <s v="f99cee77-ac7d-4d8b-936e-93ada7836e1b"/>
    <x v="0"/>
    <x v="0"/>
    <x v="6"/>
    <s v="в аренде"/>
    <s v="консолидация кредитов"/>
    <n v="752290"/>
    <n v="649"/>
    <n v="2320375"/>
    <n v="39252.86"/>
    <n v="13.4"/>
    <n v="16"/>
    <n v="13"/>
    <n v="431053"/>
    <n v="513502"/>
    <n v="0"/>
    <n v="2.5203896969173525"/>
    <n v="0.8641810918774967"/>
    <n v="0.18181818181818182"/>
    <n v="0.2857142857142857"/>
    <n v="0"/>
    <n v="193364.58333333334"/>
    <n v="0.20299922210849539"/>
  </r>
  <r>
    <n v="1937"/>
    <s v="bf77fdc1-24fb-427a-9a0d-fe8552ec57fa"/>
    <x v="1"/>
    <x v="1"/>
    <x v="1"/>
    <s v="в ипотеке"/>
    <s v="консолидация кредитов"/>
    <n v="224224"/>
    <n v="718"/>
    <n v="1084425"/>
    <n v="23947.79"/>
    <n v="16.399999999999999"/>
    <n v="35.265240640000002"/>
    <n v="17"/>
    <n v="327826"/>
    <n v="511566"/>
    <n v="1"/>
    <n v="-0.48603837636268421"/>
    <n v="0.95605858854860182"/>
    <n v="0.40074137090909095"/>
    <n v="0.38095238095238093"/>
    <n v="0.14285714285714285"/>
    <n v="90368.75"/>
    <n v="0.26500078843626806"/>
  </r>
  <r>
    <n v="1134"/>
    <s v="03ead93f-4a1e-40f2-a515-38ad3501c373"/>
    <x v="0"/>
    <x v="1"/>
    <x v="7"/>
    <s v="в аренде"/>
    <s v="консолидация кредитов"/>
    <n v="335192"/>
    <n v="702"/>
    <n v="2508779"/>
    <n v="14446.27"/>
    <n v="16.8"/>
    <n v="63"/>
    <n v="8"/>
    <n v="317642"/>
    <n v="511544"/>
    <n v="0"/>
    <n v="0.14573361887226574"/>
    <n v="0.93475366178428765"/>
    <n v="0.71590909090909094"/>
    <n v="0.16666666666666666"/>
    <n v="0"/>
    <n v="209064.91666666666"/>
    <n v="6.9099446384077681E-2"/>
  </r>
  <r>
    <n v="995"/>
    <s v="e9ad91de-370e-4ae5-bd9d-f7fc538a5a79"/>
    <x v="0"/>
    <x v="1"/>
    <x v="4"/>
    <s v="в аренде"/>
    <s v="консолидация кредитов"/>
    <n v="309594.52439999999"/>
    <n v="719"/>
    <n v="613415"/>
    <n v="14210.67"/>
    <n v="16.5"/>
    <n v="35.265240640000002"/>
    <n v="10"/>
    <n v="271928"/>
    <n v="511148"/>
    <n v="0"/>
    <n v="-1.2411115481956205E-10"/>
    <n v="0.95739014647137155"/>
    <n v="0.40074137090909095"/>
    <n v="0.21428571428571427"/>
    <n v="0"/>
    <n v="51117.916666666664"/>
    <n v="0.2779978318104383"/>
  </r>
  <r>
    <n v="1578"/>
    <s v="3ff1f7f8-d578-48f8-9466-7550c3aa0e85"/>
    <x v="0"/>
    <x v="0"/>
    <x v="7"/>
    <s v="в аренде"/>
    <s v="консолидация кредитов"/>
    <n v="436788"/>
    <n v="720"/>
    <n v="980780"/>
    <n v="7691.01"/>
    <n v="18"/>
    <n v="29"/>
    <n v="6"/>
    <n v="343748"/>
    <n v="510928"/>
    <n v="0"/>
    <n v="0.72414818548507287"/>
    <n v="0.95872170439414117"/>
    <n v="0.32954545454545453"/>
    <n v="0.11904761904761904"/>
    <n v="0"/>
    <n v="81731.666666666672"/>
    <n v="9.4100736148779535E-2"/>
  </r>
  <r>
    <n v="865"/>
    <s v="70d52005-13e3-44e3-8942-f9ba6d920912"/>
    <x v="0"/>
    <x v="1"/>
    <x v="9"/>
    <s v="в ипотеке"/>
    <s v="консолидация кредитов"/>
    <n v="312422"/>
    <n v="0"/>
    <n v="1168044"/>
    <n v="16836.09"/>
    <n v="21"/>
    <n v="35.265240640000002"/>
    <n v="17"/>
    <n v="426018"/>
    <n v="510664"/>
    <n v="0"/>
    <n v="1.6097612712834095E-2"/>
    <n v="0"/>
    <n v="0.40074137090909095"/>
    <n v="0.38095238095238093"/>
    <n v="0"/>
    <n v="97337"/>
    <n v="0.17296701151668945"/>
  </r>
  <r>
    <n v="224"/>
    <s v="4c328ed4-c746-4ae6-92cc-8c648dd8c366"/>
    <x v="0"/>
    <x v="0"/>
    <x v="6"/>
    <s v="в аренде"/>
    <s v="консолидация кредитов"/>
    <n v="449460"/>
    <n v="658"/>
    <n v="1057768"/>
    <n v="19039.71"/>
    <n v="16.3"/>
    <n v="35.265240640000002"/>
    <n v="8"/>
    <n v="367992"/>
    <n v="510290"/>
    <n v="0"/>
    <n v="0.79629344108684352"/>
    <n v="0.87616511318242341"/>
    <n v="0.40074137090909095"/>
    <n v="0.16666666666666666"/>
    <n v="0"/>
    <n v="88147.333333333328"/>
    <n v="0.21599870671073429"/>
  </r>
  <r>
    <n v="1823"/>
    <s v="ff6617e2-b455-4541-b105-8e30fa0f87cf"/>
    <x v="0"/>
    <x v="1"/>
    <x v="1"/>
    <s v="в собственности"/>
    <s v="консолидация кредитов"/>
    <n v="110946"/>
    <n v="718"/>
    <n v="1628889"/>
    <n v="22532.86"/>
    <n v="22.5"/>
    <n v="35.265240640000002"/>
    <n v="8"/>
    <n v="375326"/>
    <n v="510092"/>
    <n v="1"/>
    <n v="-1.1309618504833736"/>
    <n v="0.95605858854860182"/>
    <n v="0.40074137090909095"/>
    <n v="0.16666666666666666"/>
    <n v="0.14285714285714285"/>
    <n v="135740.75"/>
    <n v="0.16599923015012072"/>
  </r>
  <r>
    <n v="45"/>
    <s v="c5a714bb-75c6-4264-a807-8a35bb12ce7d"/>
    <x v="0"/>
    <x v="0"/>
    <x v="0"/>
    <s v="в ипотеке"/>
    <s v="консолидация кредитов"/>
    <n v="311762"/>
    <n v="680"/>
    <n v="2211657"/>
    <n v="44601.74"/>
    <n v="14.5"/>
    <n v="15"/>
    <n v="11"/>
    <n v="213921"/>
    <n v="509652"/>
    <n v="0"/>
    <n v="1.2340047316908541E-2"/>
    <n v="0.90545938748335553"/>
    <n v="0.17045454545454544"/>
    <n v="0.23809523809523808"/>
    <n v="0"/>
    <n v="184304.75"/>
    <n v="0.24199994845493672"/>
  </r>
  <r>
    <n v="1371"/>
    <s v="7db5f79b-ebae-49a4-9055-a7562b285389"/>
    <x v="0"/>
    <x v="1"/>
    <x v="3"/>
    <s v="в аренде"/>
    <s v="иное"/>
    <n v="108856"/>
    <n v="672"/>
    <n v="1692045"/>
    <n v="23688.63"/>
    <n v="6"/>
    <n v="17"/>
    <n v="13"/>
    <n v="83600"/>
    <n v="509498"/>
    <n v="1"/>
    <n v="-1.1428608075704711"/>
    <n v="0.89480692410119844"/>
    <n v="0.19318181818181818"/>
    <n v="0.2857142857142857"/>
    <n v="0.14285714285714285"/>
    <n v="141003.75"/>
    <n v="0.16800000000000001"/>
  </r>
  <r>
    <n v="954"/>
    <s v="e8307e3f-f70f-4d02-b418-18734b746017"/>
    <x v="1"/>
    <x v="0"/>
    <x v="1"/>
    <s v="в ипотеке"/>
    <s v="консолидация кредитов"/>
    <n v="264616"/>
    <n v="731"/>
    <n v="1333059"/>
    <n v="23995.1"/>
    <n v="24"/>
    <n v="35.265240640000002"/>
    <n v="8"/>
    <n v="289864"/>
    <n v="509300"/>
    <n v="0"/>
    <n v="-0.25607537413204029"/>
    <n v="0.97336884154460723"/>
    <n v="0.40074137090909095"/>
    <n v="0.16666666666666666"/>
    <n v="0"/>
    <n v="111088.25"/>
    <n v="0.21600034207038096"/>
  </r>
  <r>
    <n v="1892"/>
    <s v="c5aebfd0-7545-4d98-8875-bc835da4f9d4"/>
    <x v="0"/>
    <x v="1"/>
    <x v="9"/>
    <s v="в аренде"/>
    <s v="консолидация кредитов"/>
    <n v="313874"/>
    <n v="742"/>
    <n v="2129919"/>
    <n v="24316.58"/>
    <n v="12.6"/>
    <n v="35.265240640000002"/>
    <n v="8"/>
    <n v="336642"/>
    <n v="508882"/>
    <n v="0"/>
    <n v="2.4364256583870317E-2"/>
    <n v="0.98801597869507318"/>
    <n v="0.40074137090909095"/>
    <n v="0.16666666666666666"/>
    <n v="0"/>
    <n v="177493.25"/>
    <n v="0.13700002676158107"/>
  </r>
  <r>
    <n v="378"/>
    <s v="0363c6d8-3b43-4266-92cf-113e1fca7d5c"/>
    <x v="0"/>
    <x v="1"/>
    <x v="6"/>
    <s v="в ипотеке"/>
    <s v="консолидация кредитов"/>
    <n v="309594.52439999999"/>
    <n v="739"/>
    <n v="3095632"/>
    <n v="41017.199999999997"/>
    <n v="21"/>
    <n v="19"/>
    <n v="15"/>
    <n v="288002"/>
    <n v="508354"/>
    <n v="0"/>
    <n v="-1.2411115481956205E-10"/>
    <n v="0.98402130492676432"/>
    <n v="0.21590909090909091"/>
    <n v="0.33333333333333331"/>
    <n v="0"/>
    <n v="257969.33333333334"/>
    <n v="0.15900029460866147"/>
  </r>
  <r>
    <n v="1656"/>
    <s v="b568aacf-dd27-46b8-acf1-522c7de59985"/>
    <x v="0"/>
    <x v="1"/>
    <x v="5"/>
    <s v="в собственности"/>
    <s v="приобретение жилья"/>
    <n v="394174"/>
    <n v="654"/>
    <n v="1915846"/>
    <n v="22990.19"/>
    <n v="27"/>
    <n v="29"/>
    <n v="15"/>
    <n v="71516"/>
    <n v="507958"/>
    <n v="0"/>
    <n v="0.48153471308814616"/>
    <n v="0.87083888149134492"/>
    <n v="0.32954545454545453"/>
    <n v="0.33333333333333331"/>
    <n v="0"/>
    <n v="159653.83333333334"/>
    <n v="0.14400023801495526"/>
  </r>
  <r>
    <n v="1677"/>
    <s v="df80bc8e-d8fe-4ef3-b31d-ce38a91fce7d"/>
    <x v="0"/>
    <x v="0"/>
    <x v="1"/>
    <s v="в ипотеке"/>
    <s v="консолидация кредитов"/>
    <n v="506264"/>
    <n v="633"/>
    <n v="1821796"/>
    <n v="21405.97"/>
    <n v="23.3"/>
    <n v="17"/>
    <n v="11"/>
    <n v="192660"/>
    <n v="505868"/>
    <n v="0"/>
    <n v="1.1196945694961695"/>
    <n v="0.84287616511318242"/>
    <n v="0.19318181818181818"/>
    <n v="0.23809523809523808"/>
    <n v="0"/>
    <n v="151816.33333333334"/>
    <n v="0.14099912394142922"/>
  </r>
  <r>
    <n v="589"/>
    <s v="55a84bbe-5ec0-47a3-9d29-b9c3b7708e68"/>
    <x v="0"/>
    <x v="1"/>
    <x v="7"/>
    <s v="в аренде"/>
    <s v="консолидация кредитов"/>
    <n v="121440"/>
    <n v="731"/>
    <n v="749132"/>
    <n v="17479.62"/>
    <n v="18.600000000000001"/>
    <n v="22"/>
    <n v="15"/>
    <n v="95456"/>
    <n v="504702"/>
    <n v="0"/>
    <n v="-1.0712165606881574"/>
    <n v="0.97336884154460723"/>
    <n v="0.25"/>
    <n v="0.33333333333333331"/>
    <n v="0"/>
    <n v="62427.666666666664"/>
    <n v="0.27999797098508672"/>
  </r>
  <r>
    <n v="1685"/>
    <s v="7121f2ba-7291-4d14-9df7-37b1497c8aa9"/>
    <x v="0"/>
    <x v="1"/>
    <x v="5"/>
    <s v="в аренде"/>
    <s v="иное"/>
    <n v="403172"/>
    <n v="738"/>
    <n v="1973074"/>
    <n v="11443.89"/>
    <n v="6"/>
    <n v="35.265240640000002"/>
    <n v="9"/>
    <n v="94468"/>
    <n v="504108"/>
    <n v="0"/>
    <n v="0.53276285465259787"/>
    <n v="0.9826897470039947"/>
    <n v="0.40074137090909095"/>
    <n v="0.19047619047619047"/>
    <n v="0"/>
    <n v="164422.83333333334"/>
    <n v="6.9600369778325594E-2"/>
  </r>
  <r>
    <n v="236"/>
    <s v="eef2c01f-7676-48e3-96d2-5d965f7efbd7"/>
    <x v="0"/>
    <x v="1"/>
    <x v="3"/>
    <s v="в аренде"/>
    <s v="иное"/>
    <n v="309594.52439999999"/>
    <n v="739"/>
    <n v="1004321"/>
    <n v="30547.82"/>
    <n v="13.8"/>
    <n v="35.265240640000002"/>
    <n v="13"/>
    <n v="137997"/>
    <n v="504086"/>
    <n v="0"/>
    <n v="-1.2411115481956205E-10"/>
    <n v="0.98402130492676432"/>
    <n v="0.40074137090909095"/>
    <n v="0.2857142857142857"/>
    <n v="0"/>
    <n v="83693.416666666672"/>
    <n v="0.36499668930551088"/>
  </r>
  <r>
    <n v="256"/>
    <s v="2d1f095e-2db8-4c97-a8aa-557615b67804"/>
    <x v="1"/>
    <x v="1"/>
    <x v="1"/>
    <s v="в ипотеке"/>
    <s v="консолидация кредитов"/>
    <n v="448404"/>
    <n v="746"/>
    <n v="1166220"/>
    <n v="19339.72"/>
    <n v="14.9"/>
    <n v="20"/>
    <n v="17"/>
    <n v="306907"/>
    <n v="504064"/>
    <n v="0"/>
    <n v="0.79028133645336263"/>
    <n v="0.99334221038615178"/>
    <n v="0.22727272727272727"/>
    <n v="0.38095238095238093"/>
    <n v="0"/>
    <n v="97185"/>
    <n v="0.19899902248289347"/>
  </r>
  <r>
    <n v="1490"/>
    <s v="0c91f352-514c-4e46-ab16-72812c7009d7"/>
    <x v="0"/>
    <x v="1"/>
    <x v="3"/>
    <s v="в аренде"/>
    <s v="ремонт жилья"/>
    <n v="309594.52439999999"/>
    <n v="720"/>
    <n v="1977748"/>
    <n v="6295.84"/>
    <n v="15.7"/>
    <n v="35.265240640000002"/>
    <n v="13"/>
    <n v="151506"/>
    <n v="504064"/>
    <n v="1"/>
    <n v="-1.2411115481956205E-10"/>
    <n v="0.95872170439414117"/>
    <n v="0.40074137090909095"/>
    <n v="0.2857142857142857"/>
    <n v="0.14285714285714285"/>
    <n v="164812.33333333334"/>
    <n v="3.8200053798562811E-2"/>
  </r>
  <r>
    <n v="1219"/>
    <s v="6706eabd-8728-4cbe-9893-145f3b22be1d"/>
    <x v="0"/>
    <x v="1"/>
    <x v="8"/>
    <s v="в собственности"/>
    <s v="консолидация кредитов"/>
    <n v="548174"/>
    <n v="663"/>
    <n v="3467557"/>
    <n v="24272.880000000001"/>
    <n v="14"/>
    <n v="39"/>
    <n v="14"/>
    <n v="222300"/>
    <n v="503734"/>
    <n v="0"/>
    <n v="1.3582999721374422"/>
    <n v="0.88282290279627162"/>
    <n v="0.44318181818181818"/>
    <n v="0.30952380952380953"/>
    <n v="0"/>
    <n v="288963.08333333331"/>
    <n v="8.3999934247656213E-2"/>
  </r>
  <r>
    <n v="345"/>
    <s v="ef3ea28c-01b1-478a-aa98-4ea0b3398a15"/>
    <x v="1"/>
    <x v="1"/>
    <x v="1"/>
    <s v="в ипотеке"/>
    <s v="консолидация кредитов"/>
    <n v="447656"/>
    <n v="732"/>
    <n v="1585113"/>
    <n v="20342.16"/>
    <n v="17.399999999999999"/>
    <n v="35.265240640000002"/>
    <n v="8"/>
    <n v="309054"/>
    <n v="503316"/>
    <n v="0"/>
    <n v="0.7860227623379803"/>
    <n v="0.97470039946737685"/>
    <n v="0.40074137090909095"/>
    <n v="0.16666666666666666"/>
    <n v="0"/>
    <n v="132092.75"/>
    <n v="0.15399906505088282"/>
  </r>
  <r>
    <n v="871"/>
    <s v="adfbb01f-2156-471f-87d2-84a91af0d93f"/>
    <x v="0"/>
    <x v="0"/>
    <x v="1"/>
    <s v="в ипотеке"/>
    <s v="ремонт жилья"/>
    <n v="590414"/>
    <n v="692"/>
    <n v="1243645"/>
    <n v="4186.84"/>
    <n v="20.8"/>
    <n v="35.265240640000002"/>
    <n v="10"/>
    <n v="94145"/>
    <n v="502392"/>
    <n v="1"/>
    <n v="1.5987841574766779"/>
    <n v="0.92143808255659121"/>
    <n v="0.40074137090909095"/>
    <n v="0.21428571428571427"/>
    <n v="0.14285714285714285"/>
    <n v="103637.08333333333"/>
    <n v="4.0399052784355668E-2"/>
  </r>
  <r>
    <n v="1259"/>
    <s v="4cfb59ad-828c-42d2-9ba7-cf242f2845bc"/>
    <x v="0"/>
    <x v="1"/>
    <x v="7"/>
    <s v="в аренде"/>
    <s v="иное"/>
    <n v="35816"/>
    <n v="720"/>
    <n v="1198501"/>
    <n v="20074.830000000002"/>
    <n v="13.5"/>
    <n v="35.265240640000002"/>
    <n v="13"/>
    <n v="413098"/>
    <n v="501380"/>
    <n v="0"/>
    <n v="-1.558698044719566"/>
    <n v="0.95872170439414117"/>
    <n v="0.40074137090909095"/>
    <n v="0.2857142857142857"/>
    <n v="0"/>
    <n v="99875.083333333328"/>
    <n v="0.20099938172767484"/>
  </r>
  <r>
    <n v="863"/>
    <s v="d14fe087-6ea3-4ed4-80dc-a2fde0fc5389"/>
    <x v="0"/>
    <x v="1"/>
    <x v="10"/>
    <s v="в ипотеке"/>
    <s v="консолидация кредитов"/>
    <n v="171644"/>
    <n v="0"/>
    <n v="1168044"/>
    <n v="17454.349999999999"/>
    <n v="10"/>
    <n v="35"/>
    <n v="11"/>
    <n v="152551"/>
    <n v="500368"/>
    <n v="0"/>
    <n v="-0.78539108623808673"/>
    <n v="0"/>
    <n v="0.39772727272727271"/>
    <n v="0.23809523809523808"/>
    <n v="0"/>
    <n v="97337"/>
    <n v="0.17931875853991799"/>
  </r>
  <r>
    <n v="1002"/>
    <s v="035d46fb-9903-4e90-9954-fb605622d539"/>
    <x v="0"/>
    <x v="1"/>
    <x v="6"/>
    <s v="в аренде"/>
    <s v="консолидация кредитов"/>
    <n v="274274"/>
    <n v="747"/>
    <n v="1540672"/>
    <n v="8640.6299999999992"/>
    <n v="7.8"/>
    <n v="35.265240640000002"/>
    <n v="10"/>
    <n v="104538"/>
    <n v="500170"/>
    <n v="0"/>
    <n v="-0.20108966717166299"/>
    <n v="0.9946737683089214"/>
    <n v="0.40074137090909095"/>
    <n v="0.21428571428571427"/>
    <n v="0"/>
    <n v="128389.33333333333"/>
    <n v="6.7300217048145219E-2"/>
  </r>
  <r>
    <n v="587"/>
    <s v="6cdb1de1-e420-4734-84a1-e42f9a3af7da"/>
    <x v="0"/>
    <x v="0"/>
    <x v="1"/>
    <s v="в аренде"/>
    <s v="консолидация кредитов"/>
    <n v="316998"/>
    <n v="702"/>
    <n v="836494"/>
    <n v="19936.7"/>
    <n v="25.6"/>
    <n v="35.265240640000002"/>
    <n v="17"/>
    <n v="293778"/>
    <n v="499532"/>
    <n v="0"/>
    <n v="4.2150066124584613E-2"/>
    <n v="0.93475366178428765"/>
    <n v="0.40074137090909095"/>
    <n v="0.38095238095238093"/>
    <n v="0"/>
    <n v="69707.833333333328"/>
    <n v="0.28600372507154864"/>
  </r>
  <r>
    <n v="1595"/>
    <s v="b4f48ac9-19a5-4f4f-a5d4-8465f8b8a7d0"/>
    <x v="0"/>
    <x v="0"/>
    <x v="8"/>
    <s v="в аренде"/>
    <s v="консолидация кредитов"/>
    <n v="309594.52439999999"/>
    <n v="738"/>
    <n v="1576620"/>
    <n v="24384.98"/>
    <n v="12.6"/>
    <n v="35.265240640000002"/>
    <n v="11"/>
    <n v="87970"/>
    <n v="499290"/>
    <n v="0"/>
    <n v="-1.2411115481956205E-10"/>
    <n v="0.9826897470039947"/>
    <n v="0.40074137090909095"/>
    <n v="0.23809523809523808"/>
    <n v="0"/>
    <n v="131385"/>
    <n v="0.18559942154736081"/>
  </r>
  <r>
    <n v="1750"/>
    <s v="4fc0a4e1-30e1-4df5-bcb5-ec7db9fc1fd9"/>
    <x v="1"/>
    <x v="1"/>
    <x v="0"/>
    <s v="в аренде"/>
    <s v="консолидация кредитов"/>
    <n v="554510"/>
    <n v="732"/>
    <n v="1877181"/>
    <n v="27688.32"/>
    <n v="13.6"/>
    <n v="35.265240640000002"/>
    <n v="10"/>
    <n v="331854"/>
    <n v="499026"/>
    <n v="0"/>
    <n v="1.3943725999383276"/>
    <n v="0.97470039946737685"/>
    <n v="0.40074137090909095"/>
    <n v="0.21428571428571427"/>
    <n v="0"/>
    <n v="156431.75"/>
    <n v="0.17699936234172411"/>
  </r>
  <r>
    <n v="183"/>
    <s v="62c2c24e-d73e-424b-b344-173ff9c1ab34"/>
    <x v="0"/>
    <x v="1"/>
    <x v="1"/>
    <s v="в ипотеке"/>
    <s v="консолидация кредитов"/>
    <n v="332706"/>
    <n v="735"/>
    <n v="957790"/>
    <n v="10855.08"/>
    <n v="6.6"/>
    <n v="35.265240640000002"/>
    <n v="9"/>
    <n v="220571"/>
    <n v="498828"/>
    <n v="0"/>
    <n v="0.13158012254761281"/>
    <n v="0.97869507323568572"/>
    <n v="0.40074137090909095"/>
    <n v="0.19047619047619047"/>
    <n v="0"/>
    <n v="79815.833333333328"/>
    <n v="0.136001586986709"/>
  </r>
  <r>
    <n v="401"/>
    <s v="c89321f5-ed4f-47b7-a45b-198cf02fedd8"/>
    <x v="0"/>
    <x v="1"/>
    <x v="9"/>
    <s v="в аренде"/>
    <s v="консолидация кредитов"/>
    <n v="178882"/>
    <n v="0"/>
    <n v="1168044"/>
    <n v="8535.75"/>
    <n v="8"/>
    <n v="35.265240640000002"/>
    <n v="20"/>
    <n v="129637"/>
    <n v="498696"/>
    <n v="0"/>
    <n v="-0.7441831190627699"/>
    <n v="0"/>
    <n v="0.40074137090909095"/>
    <n v="0.45238095238095238"/>
    <n v="0"/>
    <n v="97337"/>
    <n v="8.7692758149521766E-2"/>
  </r>
  <r>
    <n v="1795"/>
    <s v="15e77ff6-fe81-4749-b5ab-182542d22e8a"/>
    <x v="0"/>
    <x v="0"/>
    <x v="1"/>
    <s v="в аренде"/>
    <s v="консолидация кредитов"/>
    <n v="436876"/>
    <n v="721"/>
    <n v="886654"/>
    <n v="11305"/>
    <n v="25.5"/>
    <n v="54"/>
    <n v="10"/>
    <n v="364667"/>
    <n v="497926"/>
    <n v="1"/>
    <n v="0.72464919420452956"/>
    <n v="0.96005326231691079"/>
    <n v="0.61363636363636365"/>
    <n v="0.21428571428571427"/>
    <n v="0.14285714285714285"/>
    <n v="73887.833333333328"/>
    <n v="0.15300218574551067"/>
  </r>
  <r>
    <n v="180"/>
    <s v="7391b4e2-f7fe-41dd-bb58-eddcce0ea92d"/>
    <x v="0"/>
    <x v="1"/>
    <x v="1"/>
    <s v="в ипотеке"/>
    <s v="ремонт жилья"/>
    <n v="309594.52439999999"/>
    <n v="743"/>
    <n v="756352"/>
    <n v="11849.54"/>
    <n v="18.399999999999999"/>
    <n v="35.265240640000002"/>
    <n v="9"/>
    <n v="46341"/>
    <n v="496870"/>
    <n v="1"/>
    <n v="-1.2411115481956205E-10"/>
    <n v="0.98934753661784292"/>
    <n v="0.40074137090909095"/>
    <n v="0.19047619047619047"/>
    <n v="0.14285714285714285"/>
    <n v="63029.333333333336"/>
    <n v="0.18800040192926046"/>
  </r>
  <r>
    <n v="687"/>
    <s v="7a4cca06-82cf-4231-a48a-fc9f69262242"/>
    <x v="0"/>
    <x v="1"/>
    <x v="3"/>
    <s v="в ипотеке"/>
    <s v="консолидация кредитов"/>
    <n v="116072"/>
    <n v="0"/>
    <n v="1168044"/>
    <n v="10777.37"/>
    <n v="19.399999999999999"/>
    <n v="14"/>
    <n v="19"/>
    <n v="134729"/>
    <n v="496826"/>
    <n v="0"/>
    <n v="-1.1017780925750185"/>
    <n v="0"/>
    <n v="0.15909090909090909"/>
    <n v="0.42857142857142855"/>
    <n v="0"/>
    <n v="97337"/>
    <n v="0.11072223306656256"/>
  </r>
  <r>
    <n v="14"/>
    <s v="900c9191-2c20-4688-af7e-07c59b5d5a24"/>
    <x v="0"/>
    <x v="1"/>
    <x v="0"/>
    <s v="в аренде"/>
    <s v="консолидация кредитов"/>
    <n v="309594.52439999999"/>
    <n v="743"/>
    <n v="1560907"/>
    <n v="17560.37"/>
    <n v="13.3"/>
    <n v="35.265240640000002"/>
    <n v="10"/>
    <n v="225549"/>
    <n v="496474"/>
    <n v="1"/>
    <n v="-1.2411115481956205E-10"/>
    <n v="0.98934753661784292"/>
    <n v="0.40074137090909095"/>
    <n v="0.21428571428571427"/>
    <n v="0.14285714285714285"/>
    <n v="130075.58333333333"/>
    <n v="0.13500127810305163"/>
  </r>
  <r>
    <n v="766"/>
    <s v="89d77bcf-9910-477d-a755-0dd046cb35ff"/>
    <x v="0"/>
    <x v="1"/>
    <x v="1"/>
    <s v="в аренде"/>
    <s v="консолидация кредитов"/>
    <n v="334070"/>
    <n v="704"/>
    <n v="927523"/>
    <n v="5132.28"/>
    <n v="20.5"/>
    <n v="24"/>
    <n v="11"/>
    <n v="226537"/>
    <n v="495858"/>
    <n v="0"/>
    <n v="0.1393457576991923"/>
    <n v="0.93741677762982689"/>
    <n v="0.27272727272727271"/>
    <n v="0.23809523809523808"/>
    <n v="0"/>
    <n v="77293.583333333328"/>
    <n v="6.6399819734928409E-2"/>
  </r>
  <r>
    <n v="1193"/>
    <s v="067e8864-ada5-4989-858b-f5a9463d73e7"/>
    <x v="0"/>
    <x v="1"/>
    <x v="6"/>
    <s v="в аренде"/>
    <s v="консолидация кредитов"/>
    <n v="264286"/>
    <n v="0"/>
    <n v="1168044"/>
    <n v="14784.85"/>
    <n v="10.9"/>
    <n v="35.265240640000002"/>
    <n v="15"/>
    <n v="322221"/>
    <n v="495484"/>
    <n v="0"/>
    <n v="-0.25795415683000306"/>
    <n v="0"/>
    <n v="0.40074137090909095"/>
    <n v="0.33333333333333331"/>
    <n v="0"/>
    <n v="97337"/>
    <n v="0.15189342182315049"/>
  </r>
  <r>
    <n v="1466"/>
    <s v="05d6e70e-6bff-4918-acba-50f76ac58cde"/>
    <x v="0"/>
    <x v="1"/>
    <x v="8"/>
    <s v="в аренде"/>
    <s v="приобретение автомобиля"/>
    <n v="309594.52439999999"/>
    <n v="716"/>
    <n v="1458345"/>
    <n v="33055.82"/>
    <n v="13.5"/>
    <n v="44"/>
    <n v="18"/>
    <n v="261801"/>
    <n v="495330"/>
    <n v="1"/>
    <n v="-1.2411115481956205E-10"/>
    <n v="0.95339547270306257"/>
    <n v="0.5"/>
    <n v="0.40476190476190477"/>
    <n v="0.14285714285714285"/>
    <n v="121528.75"/>
    <n v="0.27200000000000002"/>
  </r>
  <r>
    <n v="1137"/>
    <s v="5d5e6bab-fc43-4388-b70a-96ccf974669a"/>
    <x v="1"/>
    <x v="1"/>
    <x v="1"/>
    <s v="в аренде"/>
    <s v="Медицинские счета"/>
    <n v="110902"/>
    <n v="0"/>
    <n v="1168044"/>
    <n v="15150.79"/>
    <n v="16.5"/>
    <n v="35.265240640000002"/>
    <n v="8"/>
    <n v="139878"/>
    <n v="495286"/>
    <n v="0"/>
    <n v="-1.1312123548431021"/>
    <n v="0"/>
    <n v="0.40074137090909095"/>
    <n v="0.16666666666666666"/>
    <n v="0"/>
    <n v="97337"/>
    <n v="0.15565293773179778"/>
  </r>
  <r>
    <n v="1709"/>
    <s v="1fa5ff55-f380-45bd-90ce-c8b35b0b0b29"/>
    <x v="1"/>
    <x v="1"/>
    <x v="4"/>
    <s v="в ипотеке"/>
    <s v="консолидация кредитов"/>
    <n v="156266"/>
    <n v="737"/>
    <n v="965998"/>
    <n v="21734.86"/>
    <n v="15"/>
    <n v="35.265240640000002"/>
    <n v="9"/>
    <n v="156503"/>
    <n v="495154"/>
    <n v="0"/>
    <n v="-0.87294235996315217"/>
    <n v="0.98135818908122507"/>
    <n v="0.40074137090909095"/>
    <n v="0.19047619047619047"/>
    <n v="0"/>
    <n v="80499.833333333328"/>
    <n v="0.26999881987333307"/>
  </r>
  <r>
    <n v="1329"/>
    <s v="87da6da3-1ae1-416f-9921-04e1baab18cc"/>
    <x v="0"/>
    <x v="0"/>
    <x v="1"/>
    <s v="в аренде"/>
    <s v="консолидация кредитов"/>
    <n v="310948"/>
    <n v="0"/>
    <n v="1168044"/>
    <n v="12634.81"/>
    <n v="10.3"/>
    <n v="35.265240640000002"/>
    <n v="12"/>
    <n v="183445"/>
    <n v="495110"/>
    <n v="0"/>
    <n v="7.7057166619336898E-3"/>
    <n v="0"/>
    <n v="0.40074137090909095"/>
    <n v="0.26190476190476192"/>
    <n v="0"/>
    <n v="97337"/>
    <n v="0.129804801873902"/>
  </r>
  <r>
    <n v="196"/>
    <s v="36a90e1f-25bb-4666-b78a-62b17ecc427d"/>
    <x v="0"/>
    <x v="1"/>
    <x v="5"/>
    <s v="в аренде"/>
    <s v="консолидация кредитов"/>
    <n v="377322"/>
    <n v="740"/>
    <n v="1288162"/>
    <n v="17068.080000000002"/>
    <n v="36.299999999999997"/>
    <n v="16"/>
    <n v="8"/>
    <n v="358549"/>
    <n v="494824"/>
    <n v="0"/>
    <n v="0.38559154331218032"/>
    <n v="0.98535286284953394"/>
    <n v="0.18181818181818182"/>
    <n v="0.16666666666666666"/>
    <n v="0"/>
    <n v="107346.83333333333"/>
    <n v="0.15899938051269952"/>
  </r>
  <r>
    <n v="1073"/>
    <s v="1dc38dc3-33c8-42b4-977d-2be50672f729"/>
    <x v="1"/>
    <x v="1"/>
    <x v="9"/>
    <s v="в ипотеке"/>
    <s v="консолидация кредитов"/>
    <n v="216876"/>
    <n v="0"/>
    <n v="1168044"/>
    <n v="20322.21"/>
    <n v="19.2"/>
    <n v="66"/>
    <n v="20"/>
    <n v="309225"/>
    <n v="494516"/>
    <n v="0"/>
    <n v="-0.52787260443732209"/>
    <n v="0"/>
    <n v="0.75"/>
    <n v="0.45238095238095238"/>
    <n v="0"/>
    <n v="97337"/>
    <n v="0.20878196369314853"/>
  </r>
  <r>
    <n v="1066"/>
    <s v="3e904b87-dd61-411f-9d1e-7383e632e7c3"/>
    <x v="0"/>
    <x v="0"/>
    <x v="1"/>
    <s v="в ипотеке"/>
    <s v="консолидация кредитов"/>
    <n v="451462"/>
    <n v="698"/>
    <n v="2228016"/>
    <n v="14890.49"/>
    <n v="13"/>
    <n v="35.265240640000002"/>
    <n v="8"/>
    <n v="333051"/>
    <n v="494406"/>
    <n v="0"/>
    <n v="0.80769138945448438"/>
    <n v="0.92942743009320905"/>
    <n v="0.40074137090909095"/>
    <n v="0.16666666666666666"/>
    <n v="0"/>
    <n v="185668"/>
    <n v="8.0199549733933687E-2"/>
  </r>
  <r>
    <n v="240"/>
    <s v="70e8b7c3-5c89-43d9-91b2-54c5f82e6aeb"/>
    <x v="0"/>
    <x v="1"/>
    <x v="10"/>
    <s v="в аренде"/>
    <s v="консолидация кредитов"/>
    <n v="25894"/>
    <n v="748"/>
    <n v="1024727"/>
    <n v="12723.73"/>
    <n v="10.199999999999999"/>
    <n v="35.265240640000002"/>
    <n v="12"/>
    <n v="30590"/>
    <n v="492008"/>
    <n v="0"/>
    <n v="-1.6151867778383135"/>
    <n v="0.99600532623169102"/>
    <n v="0.40074137090909095"/>
    <n v="0.26190476190476192"/>
    <n v="0"/>
    <n v="85393.916666666672"/>
    <n v="0.14900042645504608"/>
  </r>
  <r>
    <n v="1780"/>
    <s v="1836a793-fa6b-4635-a62a-c03b18806975"/>
    <x v="0"/>
    <x v="1"/>
    <x v="2"/>
    <s v="в ипотеке"/>
    <s v="консолидация кредитов"/>
    <n v="353628"/>
    <n v="0"/>
    <n v="1168044"/>
    <n v="24350.78"/>
    <n v="26.9"/>
    <n v="23"/>
    <n v="10"/>
    <n v="299060"/>
    <n v="490490"/>
    <n v="0"/>
    <n v="0.2506949455984529"/>
    <n v="0"/>
    <n v="0.26136363636363635"/>
    <n v="0.21428571428571427"/>
    <n v="0"/>
    <n v="97337"/>
    <n v="0.25016982236970525"/>
  </r>
  <r>
    <n v="62"/>
    <s v="2b8d9ed7-d6d4-491e-82f9-f5bee3bd9408"/>
    <x v="0"/>
    <x v="0"/>
    <x v="1"/>
    <s v="в ипотеке"/>
    <s v="консолидация кредитов"/>
    <n v="718784"/>
    <n v="672"/>
    <n v="1648915"/>
    <n v="15664.74"/>
    <n v="12"/>
    <n v="5"/>
    <n v="10"/>
    <n v="252016"/>
    <n v="489610"/>
    <n v="0"/>
    <n v="2.3296306269841982"/>
    <n v="0.89480692410119844"/>
    <n v="5.6818181818181816E-2"/>
    <n v="0.21428571428571427"/>
    <n v="0"/>
    <n v="137409.58333333334"/>
    <n v="0.11400034568185745"/>
  </r>
  <r>
    <n v="48"/>
    <s v="24f6b0cb-17bd-4931-8cc9-b957f20efea5"/>
    <x v="0"/>
    <x v="1"/>
    <x v="5"/>
    <s v="в ипотеке"/>
    <s v="консолидация кредитов"/>
    <n v="287980"/>
    <n v="737"/>
    <n v="1013954"/>
    <n v="16138.6"/>
    <n v="18.600000000000001"/>
    <n v="13"/>
    <n v="11"/>
    <n v="223117"/>
    <n v="489302"/>
    <n v="0"/>
    <n v="-0.12305755911627562"/>
    <n v="0.98135818908122507"/>
    <n v="0.14772727272727273"/>
    <n v="0.23809523809523808"/>
    <n v="0"/>
    <n v="84496.166666666672"/>
    <n v="0.19099801371659858"/>
  </r>
  <r>
    <n v="111"/>
    <s v="3fcb95d2-9f4f-4877-b959-a02948af9de4"/>
    <x v="1"/>
    <x v="0"/>
    <x v="9"/>
    <s v="в ипотеке"/>
    <s v="консолидация кредитов"/>
    <n v="765160"/>
    <n v="719"/>
    <n v="2643242"/>
    <n v="34582.47"/>
    <n v="20.5"/>
    <n v="47"/>
    <n v="19"/>
    <n v="249755"/>
    <n v="489302"/>
    <n v="0"/>
    <n v="2.5936622221379007"/>
    <n v="0.95739014647137155"/>
    <n v="0.53409090909090906"/>
    <n v="0.42857142857142855"/>
    <n v="0"/>
    <n v="220270.16666666666"/>
    <n v="0.15700024439684299"/>
  </r>
  <r>
    <n v="1265"/>
    <s v="8d74cf56-941a-41b4-bb8b-5bda59397a1a"/>
    <x v="1"/>
    <x v="1"/>
    <x v="1"/>
    <s v="в собственности"/>
    <s v="ремонт жилья"/>
    <n v="107360"/>
    <n v="0"/>
    <n v="1168044"/>
    <n v="8793.58"/>
    <n v="16.7"/>
    <n v="35.265240640000002"/>
    <n v="12"/>
    <n v="94943"/>
    <n v="488576"/>
    <n v="0"/>
    <n v="-1.1513779558012358"/>
    <n v="0"/>
    <n v="0.40074137090909095"/>
    <n v="0.26190476190476192"/>
    <n v="0"/>
    <n v="97337"/>
    <n v="9.0341596720671477E-2"/>
  </r>
  <r>
    <n v="26"/>
    <s v="cbe53e22-ba67-4eaf-a4fb-c5acdd12ec66"/>
    <x v="0"/>
    <x v="0"/>
    <x v="6"/>
    <s v="в аренде"/>
    <s v="приобретение жилья"/>
    <n v="465410"/>
    <n v="688"/>
    <n v="1722654"/>
    <n v="15647.45"/>
    <n v="22.3"/>
    <n v="30"/>
    <n v="7"/>
    <n v="107559"/>
    <n v="488356"/>
    <n v="0"/>
    <n v="0.8871012714883777"/>
    <n v="0.91611185086551261"/>
    <n v="0.34090909090909088"/>
    <n v="0.14285714285714285"/>
    <n v="0"/>
    <n v="143554.5"/>
    <n v="0.10900006617695719"/>
  </r>
  <r>
    <n v="543"/>
    <s v="b5a178d9-ec6d-4135-9350-55627eabd014"/>
    <x v="0"/>
    <x v="1"/>
    <x v="3"/>
    <s v="в аренде"/>
    <s v="консолидация кредитов"/>
    <n v="309594.52439999999"/>
    <n v="747"/>
    <n v="805030"/>
    <n v="7781.83"/>
    <n v="18.2"/>
    <n v="53"/>
    <n v="19"/>
    <n v="152969"/>
    <n v="487938"/>
    <n v="0"/>
    <n v="-1.2411115481956205E-10"/>
    <n v="0.9946737683089214"/>
    <n v="0.60227272727272729"/>
    <n v="0.42857142857142855"/>
    <n v="0"/>
    <n v="67085.833333333328"/>
    <n v="0.11599811187160727"/>
  </r>
  <r>
    <n v="654"/>
    <s v="6019769e-7c0e-464c-bfb5-ffb2846a0e2c"/>
    <x v="0"/>
    <x v="0"/>
    <x v="1"/>
    <s v="в ипотеке"/>
    <s v="иное"/>
    <n v="782320"/>
    <n v="614"/>
    <n v="2374392"/>
    <n v="61932.02"/>
    <n v="21.7"/>
    <n v="23"/>
    <n v="14"/>
    <n v="363641"/>
    <n v="487344"/>
    <n v="0"/>
    <n v="2.6913589224319652"/>
    <n v="0.81757656458055927"/>
    <n v="0.26136363636363635"/>
    <n v="0.30952380952380953"/>
    <n v="0"/>
    <n v="197866"/>
    <n v="0.31299980795083537"/>
  </r>
  <r>
    <n v="987"/>
    <s v="3720e858-cf85-4876-88c6-2d1662b2899f"/>
    <x v="0"/>
    <x v="0"/>
    <x v="9"/>
    <s v="в ипотеке"/>
    <s v="консолидация кредитов"/>
    <n v="458700"/>
    <n v="0"/>
    <n v="1168044"/>
    <n v="13455.99"/>
    <n v="35.4"/>
    <n v="28"/>
    <n v="10"/>
    <n v="212173"/>
    <n v="486508"/>
    <n v="1"/>
    <n v="0.84889935662980121"/>
    <n v="0"/>
    <n v="0.31818181818181818"/>
    <n v="0.21428571428571427"/>
    <n v="0.14285714285714285"/>
    <n v="97337"/>
    <n v="0.1382412648838571"/>
  </r>
  <r>
    <n v="1898"/>
    <s v="92c8d2cf-9e0c-4c29-898e-2a191f1045d1"/>
    <x v="0"/>
    <x v="1"/>
    <x v="5"/>
    <s v="в ипотеке"/>
    <s v="Медицинские счета"/>
    <n v="309594.52439999999"/>
    <n v="704"/>
    <n v="1236444"/>
    <n v="31323.21"/>
    <n v="14.6"/>
    <n v="35.265240640000002"/>
    <n v="17"/>
    <n v="272460"/>
    <n v="486112"/>
    <n v="0"/>
    <n v="-1.2411115481956205E-10"/>
    <n v="0.93741677762982689"/>
    <n v="0.40074137090909095"/>
    <n v="0.38095238095238093"/>
    <n v="0"/>
    <n v="103037"/>
    <n v="0.30399963120044254"/>
  </r>
  <r>
    <n v="649"/>
    <s v="50766172-6e2a-48c2-8d3d-40140b28a43e"/>
    <x v="0"/>
    <x v="0"/>
    <x v="1"/>
    <s v="в ипотеке"/>
    <s v="ремонт жилья"/>
    <n v="309594.52439999999"/>
    <n v="727"/>
    <n v="1914364"/>
    <n v="19941.45"/>
    <n v="19.600000000000001"/>
    <n v="35.265240640000002"/>
    <n v="7"/>
    <n v="168587"/>
    <n v="485562"/>
    <n v="0"/>
    <n v="-1.2411115481956205E-10"/>
    <n v="0.96804260985352863"/>
    <n v="0.40074137090909095"/>
    <n v="0.14285714285714285"/>
    <n v="0"/>
    <n v="159530.33333333334"/>
    <n v="0.12500099249672475"/>
  </r>
  <r>
    <n v="46"/>
    <s v="64a23638-0025-41de-b41d-85c01eee6f1a"/>
    <x v="0"/>
    <x v="1"/>
    <x v="7"/>
    <s v="в аренде"/>
    <s v="консолидация кредитов"/>
    <n v="266112"/>
    <n v="750"/>
    <n v="919296"/>
    <n v="12946.79"/>
    <n v="21.6"/>
    <n v="35.265240640000002"/>
    <n v="9"/>
    <n v="266266"/>
    <n v="485518"/>
    <n v="0"/>
    <n v="-0.24755822590127569"/>
    <n v="0.99866844207723038"/>
    <n v="0.40074137090909095"/>
    <n v="0.19047619047619047"/>
    <n v="0"/>
    <n v="76608"/>
    <n v="0.16900049603174605"/>
  </r>
  <r>
    <n v="566"/>
    <s v="7c56471d-9264-446c-aea9-bcc97aef3912"/>
    <x v="0"/>
    <x v="0"/>
    <x v="8"/>
    <s v="в аренде"/>
    <s v="консолидация кредитов"/>
    <n v="337150"/>
    <n v="721"/>
    <n v="1119936"/>
    <n v="15959.05"/>
    <n v="12.5"/>
    <n v="15"/>
    <n v="9"/>
    <n v="166573"/>
    <n v="484594"/>
    <n v="0"/>
    <n v="0.15688106288017822"/>
    <n v="0.96005326231691079"/>
    <n v="0.17045454545454544"/>
    <n v="0.19047619047619047"/>
    <n v="0"/>
    <n v="93328"/>
    <n v="0.17099959283387622"/>
  </r>
  <r>
    <n v="1047"/>
    <s v="857ca84f-1696-49b2-91cb-a7e12a824a24"/>
    <x v="0"/>
    <x v="0"/>
    <x v="2"/>
    <s v="в ипотеке"/>
    <s v="консолидация кредитов"/>
    <n v="333168"/>
    <n v="682"/>
    <n v="1163750"/>
    <n v="24632.55"/>
    <n v="8.5"/>
    <n v="35.265240640000002"/>
    <n v="21"/>
    <n v="325109"/>
    <n v="484484"/>
    <n v="0"/>
    <n v="0.13421041832476072"/>
    <n v="0.90812250332889477"/>
    <n v="0.40074137090909095"/>
    <n v="0.47619047619047616"/>
    <n v="0"/>
    <n v="96979.166666666672"/>
    <n v="0.25399836734693876"/>
  </r>
  <r>
    <n v="1079"/>
    <s v="dd7414bd-295b-42da-9649-f4d90a0eb206"/>
    <x v="0"/>
    <x v="1"/>
    <x v="0"/>
    <s v="в ипотеке"/>
    <s v="консолидация кредитов"/>
    <n v="330792"/>
    <n v="0"/>
    <n v="1168044"/>
    <n v="8173.04"/>
    <n v="22.6"/>
    <n v="53"/>
    <n v="7"/>
    <n v="293816"/>
    <n v="483956"/>
    <n v="0"/>
    <n v="0.12068318289942871"/>
    <n v="0"/>
    <n v="0.60227272727272729"/>
    <n v="0.14285714285714285"/>
    <n v="0"/>
    <n v="97337"/>
    <n v="8.3966425922311141E-2"/>
  </r>
  <r>
    <n v="1808"/>
    <s v="33eaf352-8701-497e-b4e9-0442605335ce"/>
    <x v="1"/>
    <x v="0"/>
    <x v="4"/>
    <s v="в ипотеке"/>
    <s v="консолидация кредитов"/>
    <n v="377190"/>
    <n v="700"/>
    <n v="4690454"/>
    <n v="26969.93"/>
    <n v="21.9"/>
    <n v="9"/>
    <n v="11"/>
    <n v="280174"/>
    <n v="483472"/>
    <n v="0"/>
    <n v="0.38484003023299523"/>
    <n v="0.93209054593874829"/>
    <n v="0.10227272727272728"/>
    <n v="0.23809523809523808"/>
    <n v="0"/>
    <n v="390871.16666666669"/>
    <n v="6.8999538211013262E-2"/>
  </r>
  <r>
    <n v="42"/>
    <s v="33ca84d6-61ab-4e1c-9312-77228201e7dd"/>
    <x v="0"/>
    <x v="1"/>
    <x v="3"/>
    <s v="в аренде"/>
    <s v="консолидация кредитов"/>
    <n v="210166"/>
    <n v="0"/>
    <n v="1168044"/>
    <n v="13084.54"/>
    <n v="14"/>
    <n v="20"/>
    <n v="10"/>
    <n v="314336"/>
    <n v="483362"/>
    <n v="0"/>
    <n v="-0.56607451929589858"/>
    <n v="0"/>
    <n v="0.22727272727272727"/>
    <n v="0.21428571428571427"/>
    <n v="0"/>
    <n v="97337"/>
    <n v="0.13442514151864143"/>
  </r>
  <r>
    <n v="1701"/>
    <s v="94b29841-fd9f-44c6-8e2d-8ae244c7bb83"/>
    <x v="0"/>
    <x v="0"/>
    <x v="9"/>
    <s v="в ипотеке"/>
    <s v="консолидация кредитов"/>
    <n v="752686"/>
    <n v="715"/>
    <n v="1671525"/>
    <n v="16018.71"/>
    <n v="13.1"/>
    <n v="35.265240640000002"/>
    <n v="9"/>
    <n v="336053"/>
    <n v="481580"/>
    <n v="0"/>
    <n v="2.5226442361549077"/>
    <n v="0.95206391478029295"/>
    <n v="0.40074137090909095"/>
    <n v="0.19047619047619047"/>
    <n v="0"/>
    <n v="139293.75"/>
    <n v="0.11499948849104859"/>
  </r>
  <r>
    <n v="1765"/>
    <s v="6a52efe8-8cea-460e-99f2-cabd86754fc4"/>
    <x v="0"/>
    <x v="1"/>
    <x v="1"/>
    <s v="в ипотеке"/>
    <s v="консолидация кредитов"/>
    <n v="309594.52439999999"/>
    <n v="740"/>
    <n v="1113438"/>
    <n v="28485.37"/>
    <n v="12.5"/>
    <n v="35.265240640000002"/>
    <n v="13"/>
    <n v="301625"/>
    <n v="481052"/>
    <n v="0"/>
    <n v="-1.2411115481956205E-10"/>
    <n v="0.98535286284953394"/>
    <n v="0.40074137090909095"/>
    <n v="0.2857142857142857"/>
    <n v="0"/>
    <n v="92786.5"/>
    <n v="0.30699907852974301"/>
  </r>
  <r>
    <n v="617"/>
    <s v="1838844f-8c15-49c0-a5e5-6bad4e5d30ef"/>
    <x v="0"/>
    <x v="1"/>
    <x v="0"/>
    <s v="в ипотеке"/>
    <s v="консолидация кредитов"/>
    <n v="309594.52439999999"/>
    <n v="726"/>
    <n v="622744"/>
    <n v="16762.37"/>
    <n v="15.8"/>
    <n v="79"/>
    <n v="15"/>
    <n v="203946"/>
    <n v="480964"/>
    <n v="0"/>
    <n v="-1.2411115481956205E-10"/>
    <n v="0.96671105193075901"/>
    <n v="0.89772727272727271"/>
    <n v="0.33333333333333331"/>
    <n v="0"/>
    <n v="51895.333333333336"/>
    <n v="0.3230034171344886"/>
  </r>
  <r>
    <n v="1659"/>
    <s v="40061953-706e-4329-919c-faa927a9adbe"/>
    <x v="1"/>
    <x v="1"/>
    <x v="5"/>
    <s v="в аренде"/>
    <s v="приобретение автомобиля"/>
    <n v="90090"/>
    <n v="711"/>
    <n v="1653437"/>
    <n v="27695.16"/>
    <n v="18.5"/>
    <n v="35.265240640000002"/>
    <n v="16"/>
    <n v="265696"/>
    <n v="479952"/>
    <n v="0"/>
    <n v="-1.2497009169946212"/>
    <n v="0.94673768308921435"/>
    <n v="0.40074137090909095"/>
    <n v="0.35714285714285715"/>
    <n v="0"/>
    <n v="137786.41666666666"/>
    <n v="0.2010006549992531"/>
  </r>
  <r>
    <n v="624"/>
    <s v="ab2e62f5-cdde-4939-a971-7e334e0ab26c"/>
    <x v="0"/>
    <x v="0"/>
    <x v="10"/>
    <s v="в ипотеке"/>
    <s v="консолидация кредитов"/>
    <n v="328548"/>
    <n v="704"/>
    <n v="1172813"/>
    <n v="16028.4"/>
    <n v="13.5"/>
    <n v="38"/>
    <n v="7"/>
    <n v="350246"/>
    <n v="479930"/>
    <n v="0"/>
    <n v="0.10790746055328182"/>
    <n v="0.93741677762982689"/>
    <n v="0.43181818181818182"/>
    <n v="0.14285714285714285"/>
    <n v="0"/>
    <n v="97734.416666666672"/>
    <n v="0.1639995463897484"/>
  </r>
  <r>
    <n v="1994"/>
    <s v="2fdbe282-15ad-4d2c-a48d-e60e4b339a47"/>
    <x v="0"/>
    <x v="1"/>
    <x v="5"/>
    <s v="в аренде"/>
    <s v="консолидация кредитов"/>
    <n v="54098"/>
    <n v="739"/>
    <n v="411027"/>
    <n v="5857.13"/>
    <n v="16"/>
    <n v="19"/>
    <n v="12"/>
    <n v="184015"/>
    <n v="479864"/>
    <n v="0"/>
    <n v="-1.454613483252428"/>
    <n v="0.98402130492676432"/>
    <n v="0.21590909090909091"/>
    <n v="0.26190476190476192"/>
    <n v="0"/>
    <n v="34252.25"/>
    <n v="0.17099986132297879"/>
  </r>
  <r>
    <n v="1486"/>
    <s v="cd86abe1-15ef-44ca-b9a4-32abe32000aa"/>
    <x v="0"/>
    <x v="1"/>
    <x v="1"/>
    <s v="в аренде"/>
    <s v="консолидация кредитов"/>
    <n v="309594.52439999999"/>
    <n v="742"/>
    <n v="1139088"/>
    <n v="19934.04"/>
    <n v="14.9"/>
    <n v="9"/>
    <n v="32"/>
    <n v="106818"/>
    <n v="479446"/>
    <n v="0"/>
    <n v="-1.2411115481956205E-10"/>
    <n v="0.98801597869507318"/>
    <n v="0.10227272727272728"/>
    <n v="0.73809523809523814"/>
    <n v="0"/>
    <n v="94924"/>
    <n v="0.21000000000000002"/>
  </r>
  <r>
    <n v="1566"/>
    <s v="773c2c9b-59c4-4667-994d-bd42b87aa403"/>
    <x v="0"/>
    <x v="1"/>
    <x v="1"/>
    <s v="в ипотеке"/>
    <s v="консолидация кредитов"/>
    <n v="309594.52439999999"/>
    <n v="703"/>
    <n v="844056"/>
    <n v="13927"/>
    <n v="28.6"/>
    <n v="35.265240640000002"/>
    <n v="13"/>
    <n v="368353"/>
    <n v="478676"/>
    <n v="0"/>
    <n v="-1.2411115481956205E-10"/>
    <n v="0.93608521970705727"/>
    <n v="0.40074137090909095"/>
    <n v="0.2857142857142857"/>
    <n v="0"/>
    <n v="70338"/>
    <n v="0.19800108049702864"/>
  </r>
  <r>
    <n v="37"/>
    <s v="86b8d158-c6f7-4ff0-8aaf-4eb96a3e6adc"/>
    <x v="0"/>
    <x v="1"/>
    <x v="0"/>
    <s v="в ипотеке"/>
    <s v="консолидация кредитов"/>
    <n v="309594.52439999999"/>
    <n v="743"/>
    <n v="752039"/>
    <n v="17046.23"/>
    <n v="14.1"/>
    <n v="35.265240640000002"/>
    <n v="10"/>
    <n v="213484"/>
    <n v="478126"/>
    <n v="0"/>
    <n v="-1.2411115481956205E-10"/>
    <n v="0.98934753661784292"/>
    <n v="0.40074137090909095"/>
    <n v="0.21428571428571427"/>
    <n v="0"/>
    <n v="62669.916666666664"/>
    <n v="0.27200020211717746"/>
  </r>
  <r>
    <n v="1360"/>
    <s v="96c6e2cf-9715-47d7-adee-8e58478be793"/>
    <x v="1"/>
    <x v="0"/>
    <x v="5"/>
    <s v="в собственности"/>
    <s v="консолидация кредитов"/>
    <n v="718916"/>
    <n v="697"/>
    <n v="2522364"/>
    <n v="8092.48"/>
    <n v="10.6"/>
    <n v="35.265240640000002"/>
    <n v="8"/>
    <n v="87115"/>
    <n v="478082"/>
    <n v="0"/>
    <n v="2.3303821400633833"/>
    <n v="0.92809587217043943"/>
    <n v="0.40074137090909095"/>
    <n v="0.16666666666666666"/>
    <n v="0"/>
    <n v="210197"/>
    <n v="3.8499502847328934E-2"/>
  </r>
  <r>
    <n v="80"/>
    <s v="42374c5d-1275-4b47-b0d6-e1c33d02b811"/>
    <x v="0"/>
    <x v="1"/>
    <x v="8"/>
    <s v="в ипотеке"/>
    <s v="консолидация кредитов"/>
    <n v="309594.52439999999"/>
    <n v="737"/>
    <n v="2015159"/>
    <n v="21494.89"/>
    <n v="10.5"/>
    <n v="54"/>
    <n v="16"/>
    <n v="321214"/>
    <n v="478060"/>
    <n v="0"/>
    <n v="-1.2411115481956205E-10"/>
    <n v="0.98135818908122507"/>
    <n v="0.61363636363636365"/>
    <n v="0.35714285714285715"/>
    <n v="0"/>
    <n v="167929.91666666666"/>
    <n v="0.12799917028879607"/>
  </r>
  <r>
    <n v="762"/>
    <s v="631347a6-b027-4f5f-8363-594b79aff617"/>
    <x v="0"/>
    <x v="1"/>
    <x v="7"/>
    <s v="в собственности"/>
    <s v="бизнес"/>
    <n v="322476"/>
    <n v="711"/>
    <n v="1262550"/>
    <n v="24198.59"/>
    <n v="17.5"/>
    <n v="11"/>
    <n v="9"/>
    <n v="321024"/>
    <n v="477158"/>
    <n v="0"/>
    <n v="7.3337858910766718E-2"/>
    <n v="0.94673768308921435"/>
    <n v="0.125"/>
    <n v="0.19047619047619047"/>
    <n v="0"/>
    <n v="105212.5"/>
    <n v="0.22999729119638826"/>
  </r>
  <r>
    <n v="1199"/>
    <s v="07326dcb-8d39-4822-a0f5-fe36ceba5d31"/>
    <x v="0"/>
    <x v="1"/>
    <x v="1"/>
    <s v="в аренде"/>
    <s v="консолидация кредитов"/>
    <n v="309594.52439999999"/>
    <n v="744"/>
    <n v="2009573"/>
    <n v="4471.46"/>
    <n v="19"/>
    <n v="57"/>
    <n v="3"/>
    <n v="136800"/>
    <n v="477114"/>
    <n v="0"/>
    <n v="-1.2411115481956205E-10"/>
    <n v="0.99067909454061254"/>
    <n v="0.64772727272727271"/>
    <n v="4.7619047619047616E-2"/>
    <n v="0"/>
    <n v="167464.41666666666"/>
    <n v="2.6700955874705723E-2"/>
  </r>
  <r>
    <n v="1174"/>
    <s v="828e215d-dd59-4ed1-be52-6b9d0d6027a2"/>
    <x v="1"/>
    <x v="1"/>
    <x v="8"/>
    <s v="в ипотеке"/>
    <s v="консолидация кредитов"/>
    <n v="525096"/>
    <n v="748"/>
    <n v="1011028"/>
    <n v="13985.71"/>
    <n v="22.4"/>
    <n v="42"/>
    <n v="7"/>
    <n v="172140"/>
    <n v="476872"/>
    <n v="0"/>
    <n v="1.2269104354599121"/>
    <n v="0.99600532623169102"/>
    <n v="0.47727272727272729"/>
    <n v="0.14285714285714285"/>
    <n v="0"/>
    <n v="84252.333333333328"/>
    <n v="0.16599789521160641"/>
  </r>
  <r>
    <n v="1256"/>
    <s v="71cf355b-6a1d-450d-8e0e-c9dbf4e945c5"/>
    <x v="0"/>
    <x v="1"/>
    <x v="9"/>
    <s v="в ипотеке"/>
    <s v="консолидация кредитов"/>
    <n v="197032"/>
    <n v="0"/>
    <n v="1168044"/>
    <n v="22156.09"/>
    <n v="16.5"/>
    <n v="20"/>
    <n v="19"/>
    <n v="210463"/>
    <n v="476872"/>
    <n v="0"/>
    <n v="-0.64085007067481714"/>
    <n v="0"/>
    <n v="0.22727272727272727"/>
    <n v="0.42857142857142855"/>
    <n v="0"/>
    <n v="97337"/>
    <n v="0.2276224868241265"/>
  </r>
  <r>
    <n v="1849"/>
    <s v="59fd5dec-c5c8-48ee-aef6-c41d6a2bad80"/>
    <x v="0"/>
    <x v="1"/>
    <x v="6"/>
    <s v="в аренде"/>
    <s v="консолидация кредитов"/>
    <n v="281138"/>
    <n v="0"/>
    <n v="1168044"/>
    <n v="21366.45"/>
    <n v="12.9"/>
    <n v="64"/>
    <n v="10"/>
    <n v="121809"/>
    <n v="476498"/>
    <n v="0"/>
    <n v="-0.16201098705403721"/>
    <n v="0"/>
    <n v="0.72727272727272729"/>
    <n v="0.21428571428571427"/>
    <n v="0"/>
    <n v="97337"/>
    <n v="0.21951005270349405"/>
  </r>
  <r>
    <n v="991"/>
    <s v="22e6fc82-11a7-4da1-939c-ec3c8101d698"/>
    <x v="0"/>
    <x v="1"/>
    <x v="7"/>
    <s v="в ипотеке"/>
    <s v="консолидация кредитов"/>
    <n v="46486"/>
    <n v="747"/>
    <n v="420679"/>
    <n v="8974.27"/>
    <n v="26.1"/>
    <n v="35.265240640000002"/>
    <n v="16"/>
    <n v="240103"/>
    <n v="476080"/>
    <n v="0"/>
    <n v="-1.4979507374854362"/>
    <n v="0.9946737683089214"/>
    <n v="0.40074137090909095"/>
    <n v="0.35714285714285715"/>
    <n v="0"/>
    <n v="35056.583333333336"/>
    <n v="0.25599385754934284"/>
  </r>
  <r>
    <n v="164"/>
    <s v="c202ba1a-d4a2-42d7-a2f1-d0093fc4509b"/>
    <x v="0"/>
    <x v="1"/>
    <x v="1"/>
    <s v="в ипотеке"/>
    <s v="консолидация кредитов"/>
    <n v="605726"/>
    <n v="748"/>
    <n v="3609145"/>
    <n v="43610.7"/>
    <n v="23"/>
    <n v="59"/>
    <n v="10"/>
    <n v="378423"/>
    <n v="475772"/>
    <n v="0"/>
    <n v="1.6859596746621508"/>
    <n v="0.99600532623169102"/>
    <n v="0.67045454545454541"/>
    <n v="0.21428571428571427"/>
    <n v="0"/>
    <n v="300762.08333333331"/>
    <n v="0.14500065805059092"/>
  </r>
  <r>
    <n v="198"/>
    <s v="f0d0fb77-c03c-4e41-86ce-421999997be0"/>
    <x v="0"/>
    <x v="0"/>
    <x v="1"/>
    <s v="в аренде"/>
    <s v="консолидация кредитов"/>
    <n v="520982"/>
    <n v="724"/>
    <n v="1031111"/>
    <n v="17013.169999999998"/>
    <n v="15"/>
    <n v="35.265240640000002"/>
    <n v="12"/>
    <n v="267976"/>
    <n v="475178"/>
    <n v="0"/>
    <n v="1.2034882778253095"/>
    <n v="0.96404793608521966"/>
    <n v="0.40074137090909095"/>
    <n v="0.26190476190476192"/>
    <n v="0"/>
    <n v="85925.916666666672"/>
    <n v="0.19799812047393536"/>
  </r>
  <r>
    <n v="920"/>
    <s v="fad03dfc-cc27-4955-ba69-93fa069e3431"/>
    <x v="0"/>
    <x v="1"/>
    <x v="0"/>
    <s v="в аренде"/>
    <s v="консолидация кредитов"/>
    <n v="285670"/>
    <n v="744"/>
    <n v="934515"/>
    <n v="6074.3"/>
    <n v="14.4"/>
    <n v="35.265240640000002"/>
    <n v="10"/>
    <n v="192907"/>
    <n v="474232"/>
    <n v="0"/>
    <n v="-0.13620903800201506"/>
    <n v="0.99067909454061254"/>
    <n v="0.40074137090909095"/>
    <n v="0.21428571428571427"/>
    <n v="0"/>
    <n v="77876.25"/>
    <n v="7.7999390057944498E-2"/>
  </r>
  <r>
    <n v="1489"/>
    <s v="5b8abdb0-207f-4ed1-8d13-2dad5f5e78eb"/>
    <x v="1"/>
    <x v="0"/>
    <x v="10"/>
    <s v="в ипотеке"/>
    <s v="консолидация кредитов"/>
    <n v="335720"/>
    <n v="0"/>
    <n v="1168044"/>
    <n v="18375.28"/>
    <n v="12.9"/>
    <n v="35.265240640000002"/>
    <n v="14"/>
    <n v="97337"/>
    <n v="473572"/>
    <n v="0"/>
    <n v="0.14873967118900619"/>
    <n v="0"/>
    <n v="0.40074137090909095"/>
    <n v="0.30952380952380953"/>
    <n v="0"/>
    <n v="97337"/>
    <n v="0.18878001171188755"/>
  </r>
  <r>
    <n v="123"/>
    <s v="4e5b7ae7-5341-4435-8da8-fa5ed89b6905"/>
    <x v="0"/>
    <x v="1"/>
    <x v="7"/>
    <s v="в аренде"/>
    <s v="консолидация кредитов"/>
    <n v="328262"/>
    <n v="746"/>
    <n v="1133958"/>
    <n v="20411.32"/>
    <n v="10.199999999999999"/>
    <n v="35.265240640000002"/>
    <n v="10"/>
    <n v="229463"/>
    <n v="472758"/>
    <n v="0"/>
    <n v="0.10627918221504741"/>
    <n v="0.99334221038615178"/>
    <n v="0.40074137090909095"/>
    <n v="0.21428571428571427"/>
    <n v="0"/>
    <n v="94496.5"/>
    <n v="0.21600080426259174"/>
  </r>
  <r>
    <n v="1206"/>
    <s v="618c7824-626c-49b2-b07c-d8c25eccee0f"/>
    <x v="1"/>
    <x v="0"/>
    <x v="1"/>
    <s v="в ипотеке"/>
    <s v="консолидация кредитов"/>
    <n v="412060"/>
    <n v="0"/>
    <n v="1168044"/>
    <n v="15418.5"/>
    <n v="25.5"/>
    <n v="35.265240640000002"/>
    <n v="11"/>
    <n v="270883"/>
    <n v="472384"/>
    <n v="1"/>
    <n v="0.5833647353177287"/>
    <n v="0"/>
    <n v="0.40074137090909095"/>
    <n v="0.23809523809523808"/>
    <n v="0.14285714285714285"/>
    <n v="97337"/>
    <n v="0.15840327932851844"/>
  </r>
  <r>
    <n v="1679"/>
    <s v="c36ba462-46a7-48a7-afb6-b036750f996b"/>
    <x v="1"/>
    <x v="1"/>
    <x v="3"/>
    <s v="в аренде"/>
    <s v="консолидация кредитов"/>
    <n v="350592"/>
    <n v="0"/>
    <n v="1168044"/>
    <n v="33590.1"/>
    <n v="8.6999999999999993"/>
    <n v="35.265240640000002"/>
    <n v="14"/>
    <n v="362615"/>
    <n v="471240"/>
    <n v="0"/>
    <n v="0.23341014477719535"/>
    <n v="0"/>
    <n v="0.40074137090909095"/>
    <n v="0.30952380952380953"/>
    <n v="0"/>
    <n v="97337"/>
    <n v="0.34509076712863557"/>
  </r>
  <r>
    <n v="1562"/>
    <s v="a8694f04-0d6f-4b18-851a-2b5496bbc394"/>
    <x v="0"/>
    <x v="1"/>
    <x v="0"/>
    <s v="в ипотеке"/>
    <s v="консолидация кредитов"/>
    <n v="768856"/>
    <n v="739"/>
    <n v="3737395"/>
    <n v="29026.87"/>
    <n v="19.7"/>
    <n v="43"/>
    <n v="10"/>
    <n v="130853"/>
    <n v="470514"/>
    <n v="0"/>
    <n v="2.6147045883550839"/>
    <n v="0.98402130492676432"/>
    <n v="0.48863636363636365"/>
    <n v="0.21428571428571427"/>
    <n v="0"/>
    <n v="311449.58333333331"/>
    <n v="9.319925777179025E-2"/>
  </r>
  <r>
    <n v="675"/>
    <s v="404b9a82-1fb5-4fe8-9e9c-a1bfe38b2c7c"/>
    <x v="1"/>
    <x v="1"/>
    <x v="1"/>
    <s v="в ипотеке"/>
    <s v="иное"/>
    <n v="60368"/>
    <n v="0"/>
    <n v="1168044"/>
    <n v="3988.67"/>
    <n v="37.4"/>
    <n v="35.265240640000002"/>
    <n v="8"/>
    <n v="182020"/>
    <n v="470470"/>
    <n v="0"/>
    <n v="-1.4189166119911354"/>
    <n v="0"/>
    <n v="0.40074137090909095"/>
    <n v="0.16666666666666666"/>
    <n v="0"/>
    <n v="97337"/>
    <n v="4.0977942611750931E-2"/>
  </r>
  <r>
    <n v="1304"/>
    <s v="306a3005-7f22-4c19-a8e6-cb69c50faa43"/>
    <x v="1"/>
    <x v="1"/>
    <x v="10"/>
    <s v="в аренде"/>
    <s v="консолидация кредитов"/>
    <n v="399168"/>
    <n v="730"/>
    <n v="1398096"/>
    <n v="11883.74"/>
    <n v="15.5"/>
    <n v="33"/>
    <n v="9"/>
    <n v="164958"/>
    <n v="470448"/>
    <n v="1"/>
    <n v="0.50996695791731617"/>
    <n v="0.9720372836218375"/>
    <n v="0.375"/>
    <n v="0.19047619047619047"/>
    <n v="0.14285714285714285"/>
    <n v="116508"/>
    <n v="0.10199934768427919"/>
  </r>
  <r>
    <n v="106"/>
    <s v="f0d6b352-bcf0-4114-9180-3e25878ddf69"/>
    <x v="0"/>
    <x v="1"/>
    <x v="6"/>
    <s v="в аренде"/>
    <s v="консолидация кредитов"/>
    <n v="280588"/>
    <n v="717"/>
    <n v="671080"/>
    <n v="17447.89"/>
    <n v="10"/>
    <n v="70"/>
    <n v="10"/>
    <n v="168169"/>
    <n v="470360"/>
    <n v="1"/>
    <n v="-0.16514229155064183"/>
    <n v="0.9547270306258322"/>
    <n v="0.79545454545454541"/>
    <n v="0.21428571428571427"/>
    <n v="0.14285714285714285"/>
    <n v="55923.333333333336"/>
    <n v="0.31199660249150618"/>
  </r>
  <r>
    <n v="1724"/>
    <s v="12a1dc68-9813-4265-8355-2821cfe623f4"/>
    <x v="1"/>
    <x v="0"/>
    <x v="1"/>
    <s v="в ипотеке"/>
    <s v="консолидация кредитов"/>
    <n v="357808"/>
    <n v="586"/>
    <n v="1030066"/>
    <n v="24978.92"/>
    <n v="15.2"/>
    <n v="39"/>
    <n v="12"/>
    <n v="344470"/>
    <n v="470360"/>
    <n v="0"/>
    <n v="0.27449285977264809"/>
    <n v="0.78029294274300931"/>
    <n v="0.44318181818181818"/>
    <n v="0.26190476190476192"/>
    <n v="0"/>
    <n v="85838.833333333328"/>
    <n v="0.29099789722211972"/>
  </r>
  <r>
    <n v="610"/>
    <s v="b40f89f8-aa26-4fe6-bc2d-756562001ac2"/>
    <x v="1"/>
    <x v="0"/>
    <x v="5"/>
    <s v="в аренде"/>
    <s v="консолидация кредитов"/>
    <n v="218702"/>
    <n v="717"/>
    <n v="576992"/>
    <n v="9087.51"/>
    <n v="16"/>
    <n v="64"/>
    <n v="11"/>
    <n v="251522"/>
    <n v="469722"/>
    <n v="0"/>
    <n v="-0.51747667350859472"/>
    <n v="0.9547270306258322"/>
    <n v="0.72727272727272729"/>
    <n v="0.23809523809523808"/>
    <n v="0"/>
    <n v="48082.666666666664"/>
    <n v="0.18899762908324552"/>
  </r>
  <r>
    <n v="445"/>
    <s v="8059ca3a-ca55-4bea-8f6e-d5b353a19d4c"/>
    <x v="0"/>
    <x v="1"/>
    <x v="7"/>
    <s v="в аренде"/>
    <s v="консолидация кредитов"/>
    <n v="309594.52439999999"/>
    <n v="741"/>
    <n v="1157328"/>
    <n v="9007.9"/>
    <n v="13.7"/>
    <n v="35.265240640000002"/>
    <n v="10"/>
    <n v="159714"/>
    <n v="469348"/>
    <n v="3"/>
    <n v="-1.2411115481956205E-10"/>
    <n v="0.98668442077230356"/>
    <n v="0.40074137090909095"/>
    <n v="0.21428571428571427"/>
    <n v="0.42857142857142855"/>
    <n v="96444"/>
    <n v="9.3400315208825843E-2"/>
  </r>
  <r>
    <n v="1033"/>
    <s v="3d7b5458-384f-455f-a978-08c41a3f2856"/>
    <x v="1"/>
    <x v="0"/>
    <x v="1"/>
    <s v="в аренде"/>
    <s v="иное"/>
    <n v="477818"/>
    <n v="0"/>
    <n v="1168044"/>
    <n v="8310.41"/>
    <n v="21.3"/>
    <n v="35.265240640000002"/>
    <n v="12"/>
    <n v="65265"/>
    <n v="469348"/>
    <n v="0"/>
    <n v="0.95774350093177818"/>
    <n v="0"/>
    <n v="0.40074137090909095"/>
    <n v="0.26190476190476192"/>
    <n v="0"/>
    <n v="97337"/>
    <n v="8.5377708373999606E-2"/>
  </r>
  <r>
    <n v="31"/>
    <s v="f4226232-1c33-4d69-ada0-c88245fe345f"/>
    <x v="0"/>
    <x v="1"/>
    <x v="8"/>
    <s v="в аренде"/>
    <s v="бизнес"/>
    <n v="309594.52439999999"/>
    <n v="737"/>
    <n v="1501912"/>
    <n v="31039.54"/>
    <n v="18"/>
    <n v="35.265240640000002"/>
    <n v="8"/>
    <n v="229349"/>
    <n v="469172"/>
    <n v="0"/>
    <n v="-1.2411115481956205E-10"/>
    <n v="0.98135818908122507"/>
    <n v="0.40074137090909095"/>
    <n v="0.16666666666666666"/>
    <n v="0"/>
    <n v="125159.33333333333"/>
    <n v="0.24800020240866311"/>
  </r>
  <r>
    <n v="175"/>
    <s v="860862ac-4148-48de-88df-fff9e7f4d784"/>
    <x v="1"/>
    <x v="0"/>
    <x v="8"/>
    <s v="в ипотеке"/>
    <s v="консолидация кредитов"/>
    <n v="459602"/>
    <n v="712"/>
    <n v="982870"/>
    <n v="12859.01"/>
    <n v="15.6"/>
    <n v="35.265240640000002"/>
    <n v="6"/>
    <n v="390621"/>
    <n v="468204"/>
    <n v="0"/>
    <n v="0.85403469600423287"/>
    <n v="0.94806924101198398"/>
    <n v="0.40074137090909095"/>
    <n v="0.11904761904761904"/>
    <n v="0"/>
    <n v="81905.833333333328"/>
    <n v="0.15699748695147883"/>
  </r>
  <r>
    <n v="830"/>
    <s v="5d745ebc-1eb1-4a7a-a14d-c71693e03fe6"/>
    <x v="0"/>
    <x v="0"/>
    <x v="7"/>
    <s v="в ипотеке"/>
    <s v="консолидация кредитов"/>
    <n v="259028"/>
    <n v="698"/>
    <n v="2469753"/>
    <n v="22227.72"/>
    <n v="8.4"/>
    <n v="68"/>
    <n v="10"/>
    <n v="250705"/>
    <n v="468204"/>
    <n v="0"/>
    <n v="-0.28788942781754329"/>
    <n v="0.92942743009320905"/>
    <n v="0.77272727272727271"/>
    <n v="0.21428571428571427"/>
    <n v="0"/>
    <n v="205812.75"/>
    <n v="0.107999723049228"/>
  </r>
  <r>
    <n v="800"/>
    <s v="40e2a136-e855-411c-877a-acff6f143d7c"/>
    <x v="0"/>
    <x v="1"/>
    <x v="7"/>
    <s v="в собственности"/>
    <s v="приобретение автомобиля"/>
    <n v="129184"/>
    <n v="735"/>
    <n v="948366"/>
    <n v="9088.4599999999991"/>
    <n v="17"/>
    <n v="50"/>
    <n v="9"/>
    <n v="332139"/>
    <n v="467280"/>
    <n v="0"/>
    <n v="-1.0271277933759642"/>
    <n v="0.97869507323568572"/>
    <n v="0.56818181818181823"/>
    <n v="0.19047619047619047"/>
    <n v="0"/>
    <n v="79030.5"/>
    <n v="0.1149993989662219"/>
  </r>
  <r>
    <n v="909"/>
    <s v="6eb17931-dd7d-4623-a857-09b59b1b0a61"/>
    <x v="0"/>
    <x v="0"/>
    <x v="1"/>
    <s v="в аренде"/>
    <s v="консолидация кредитов"/>
    <n v="328790"/>
    <n v="719"/>
    <n v="1390838"/>
    <n v="6687.62"/>
    <n v="14"/>
    <n v="12"/>
    <n v="8"/>
    <n v="199253"/>
    <n v="467060"/>
    <n v="1"/>
    <n v="0.10928523453178786"/>
    <n v="0.95739014647137155"/>
    <n v="0.13636363636363635"/>
    <n v="0.16666666666666666"/>
    <n v="0.14285714285714285"/>
    <n v="115903.16666666667"/>
    <n v="5.7700062839813118E-2"/>
  </r>
  <r>
    <n v="764"/>
    <s v="bfcb3eac-c8d9-4d6f-a002-0c9a3bf8c685"/>
    <x v="0"/>
    <x v="1"/>
    <x v="9"/>
    <s v="в ипотеке"/>
    <s v="консолидация кредитов"/>
    <n v="309594.52439999999"/>
    <n v="726"/>
    <n v="1488289"/>
    <n v="35099.08"/>
    <n v="15.4"/>
    <n v="35.265240640000002"/>
    <n v="15"/>
    <n v="187929"/>
    <n v="465960"/>
    <n v="1"/>
    <n v="-1.2411115481956205E-10"/>
    <n v="0.96671105193075901"/>
    <n v="0.40074137090909095"/>
    <n v="0.33333333333333331"/>
    <n v="0.14285714285714285"/>
    <n v="124024.08333333333"/>
    <n v="0.28300213197839941"/>
  </r>
  <r>
    <n v="215"/>
    <s v="580287c4-97f3-4e12-b815-4a57be8fc372"/>
    <x v="0"/>
    <x v="1"/>
    <x v="1"/>
    <s v="в аренде"/>
    <s v="консолидация кредитов"/>
    <n v="111408"/>
    <n v="733"/>
    <n v="1154592"/>
    <n v="18762.12"/>
    <n v="20.399999999999999"/>
    <n v="47"/>
    <n v="9"/>
    <n v="283936"/>
    <n v="465674"/>
    <n v="0"/>
    <n v="-1.1283315547062258"/>
    <n v="0.97603195739014648"/>
    <n v="0.53409090909090906"/>
    <n v="0.19047619047619047"/>
    <n v="0"/>
    <n v="96216"/>
    <n v="0.19499999999999998"/>
  </r>
  <r>
    <n v="668"/>
    <s v="9b89e440-9e23-4e14-ae4d-5bcd1c45aece"/>
    <x v="0"/>
    <x v="1"/>
    <x v="3"/>
    <s v="в ипотеке"/>
    <s v="ремонт жилья"/>
    <n v="135014"/>
    <n v="741"/>
    <n v="1865591"/>
    <n v="37156.21"/>
    <n v="25.6"/>
    <n v="52"/>
    <n v="8"/>
    <n v="313633"/>
    <n v="465586"/>
    <n v="0"/>
    <n v="-0.99393596571195508"/>
    <n v="0.98668442077230356"/>
    <n v="0.59090909090909094"/>
    <n v="0.16666666666666666"/>
    <n v="0"/>
    <n v="155465.91666666666"/>
    <n v="0.23899907321594069"/>
  </r>
  <r>
    <n v="582"/>
    <s v="f1edd45a-607c-4712-b661-36435d7a753a"/>
    <x v="0"/>
    <x v="1"/>
    <x v="5"/>
    <s v="в аренде"/>
    <s v="иное"/>
    <n v="87428"/>
    <n v="743"/>
    <n v="692474"/>
    <n v="7444.2"/>
    <n v="10.7"/>
    <n v="35.265240640000002"/>
    <n v="15"/>
    <n v="106799"/>
    <n v="464882"/>
    <n v="0"/>
    <n v="-1.2648564307581875"/>
    <n v="0.98934753661784292"/>
    <n v="0.40074137090909095"/>
    <n v="0.33333333333333331"/>
    <n v="0"/>
    <n v="57706.166666666664"/>
    <n v="0.12900181089831531"/>
  </r>
  <r>
    <n v="274"/>
    <s v="dabfeeab-b80c-41ab-90ae-8d3549d3c72b"/>
    <x v="0"/>
    <x v="1"/>
    <x v="1"/>
    <s v="в ипотеке"/>
    <s v="консолидация кредитов"/>
    <n v="215006"/>
    <n v="0"/>
    <n v="1168044"/>
    <n v="22042.47"/>
    <n v="29.1"/>
    <n v="35.265240640000002"/>
    <n v="10"/>
    <n v="387714"/>
    <n v="464266"/>
    <n v="0"/>
    <n v="-0.53851903972577786"/>
    <n v="0"/>
    <n v="0.40074137090909095"/>
    <n v="0.21428571428571427"/>
    <n v="0"/>
    <n v="97337"/>
    <n v="0.22645520203006053"/>
  </r>
  <r>
    <n v="641"/>
    <s v="5409669b-4de7-493b-9de0-1a4734a7abaa"/>
    <x v="0"/>
    <x v="0"/>
    <x v="1"/>
    <s v="в ипотеке"/>
    <s v="консолидация кредитов"/>
    <n v="309594.52439999999"/>
    <n v="724"/>
    <n v="1360343"/>
    <n v="30494.240000000002"/>
    <n v="15.9"/>
    <n v="35.265240640000002"/>
    <n v="11"/>
    <n v="226366"/>
    <n v="463892"/>
    <n v="1"/>
    <n v="-1.2411115481956205E-10"/>
    <n v="0.96404793608521966"/>
    <n v="0.40074137090909095"/>
    <n v="0.23809523809523808"/>
    <n v="0.14285714285714285"/>
    <n v="113361.91666666667"/>
    <n v="0.26899898040420689"/>
  </r>
  <r>
    <n v="1428"/>
    <s v="c91f11ac-68fe-4303-8f44-8a4dc3d1e0fe"/>
    <x v="0"/>
    <x v="1"/>
    <x v="10"/>
    <s v="в ипотеке"/>
    <s v="консолидация кредитов"/>
    <n v="334400"/>
    <n v="735"/>
    <n v="1058908"/>
    <n v="20295.61"/>
    <n v="19.3"/>
    <n v="35.265240640000002"/>
    <n v="14"/>
    <n v="256348"/>
    <n v="463804"/>
    <n v="1"/>
    <n v="0.14122454039715507"/>
    <n v="0.97869507323568572"/>
    <n v="0.40074137090909095"/>
    <n v="0.30952380952380953"/>
    <n v="0.14285714285714285"/>
    <n v="88242.333333333328"/>
    <n v="0.22999856455896076"/>
  </r>
  <r>
    <n v="1211"/>
    <s v="5570f76e-5113-460a-a5f8-6cc0b44a9b83"/>
    <x v="0"/>
    <x v="1"/>
    <x v="6"/>
    <s v="в ипотеке"/>
    <s v="консолидация кредитов"/>
    <n v="176528"/>
    <n v="702"/>
    <n v="1010021"/>
    <n v="4957.4799999999996"/>
    <n v="18.3"/>
    <n v="35.265240640000002"/>
    <n v="8"/>
    <n v="68096"/>
    <n v="463782"/>
    <n v="0"/>
    <n v="-0.75758510230823761"/>
    <n v="0.93475366178428765"/>
    <n v="0.40074137090909095"/>
    <n v="0.16666666666666666"/>
    <n v="0"/>
    <n v="84168.416666666672"/>
    <n v="5.8899527831599532E-2"/>
  </r>
  <r>
    <n v="882"/>
    <s v="82f5b5f0-0ccb-4e8a-8067-c7e34e6771ba"/>
    <x v="0"/>
    <x v="1"/>
    <x v="6"/>
    <s v="в аренде"/>
    <s v="крупная покупка"/>
    <n v="302764"/>
    <n v="738"/>
    <n v="1531514"/>
    <n v="13400.7"/>
    <n v="11"/>
    <n v="44"/>
    <n v="18"/>
    <n v="201704"/>
    <n v="463430"/>
    <n v="0"/>
    <n v="-3.8888094247543192E-2"/>
    <n v="0.9826897470039947"/>
    <n v="0.5"/>
    <n v="0.40476190476190477"/>
    <n v="0"/>
    <n v="127626.16666666667"/>
    <n v="0.10499962781926904"/>
  </r>
  <r>
    <n v="794"/>
    <s v="2ad6f371-7797-4609-92af-23eb4a30a4bf"/>
    <x v="1"/>
    <x v="0"/>
    <x v="7"/>
    <s v="в аренде"/>
    <s v="консолидация кредитов"/>
    <n v="395846"/>
    <n v="725"/>
    <n v="829597"/>
    <n v="18251.02"/>
    <n v="27.7"/>
    <n v="35.265240640000002"/>
    <n v="10"/>
    <n v="273847"/>
    <n v="461560"/>
    <n v="1"/>
    <n v="0.49105387875782425"/>
    <n v="0.96537949400798939"/>
    <n v="0.40074137090909095"/>
    <n v="0.21428571428571427"/>
    <n v="0.14285714285714285"/>
    <n v="69133.083333333328"/>
    <n v="0.2639983510065731"/>
  </r>
  <r>
    <n v="1384"/>
    <s v="b96a8da7-7c9b-42c5-b0cc-baec86acfd44"/>
    <x v="0"/>
    <x v="1"/>
    <x v="1"/>
    <s v="в ипотеке"/>
    <s v="иное"/>
    <n v="309594.52439999999"/>
    <n v="745"/>
    <n v="1435127"/>
    <n v="30017.91"/>
    <n v="17.5"/>
    <n v="45"/>
    <n v="12"/>
    <n v="162070"/>
    <n v="461098"/>
    <n v="0"/>
    <n v="-1.2411115481956205E-10"/>
    <n v="0.99201065246338216"/>
    <n v="0.51136363636363635"/>
    <n v="0.26190476190476192"/>
    <n v="0"/>
    <n v="119593.91666666667"/>
    <n v="0.25099863635761849"/>
  </r>
  <r>
    <n v="435"/>
    <s v="3d6b26e0-e22a-4b63-8f4f-aecc83b723b9"/>
    <x v="1"/>
    <x v="1"/>
    <x v="10"/>
    <s v="в ипотеке"/>
    <s v="консолидация кредитов"/>
    <n v="268664"/>
    <n v="727"/>
    <n v="899954"/>
    <n v="17324.2"/>
    <n v="19.5"/>
    <n v="35.265240640000002"/>
    <n v="13"/>
    <n v="223725"/>
    <n v="460130"/>
    <n v="0"/>
    <n v="-0.23302897303703018"/>
    <n v="0.96804260985352863"/>
    <n v="0.40074137090909095"/>
    <n v="0.2857142857142857"/>
    <n v="0"/>
    <n v="74996.166666666672"/>
    <n v="0.23100114005826963"/>
  </r>
  <r>
    <n v="743"/>
    <s v="00fa638b-e857-458f-a849-f76e374cc2c3"/>
    <x v="0"/>
    <x v="1"/>
    <x v="2"/>
    <s v="в ипотеке"/>
    <s v="консолидация кредитов"/>
    <n v="448184"/>
    <n v="0"/>
    <n v="1168044"/>
    <n v="22256.41"/>
    <n v="12.8"/>
    <n v="35.265240640000002"/>
    <n v="14"/>
    <n v="352564"/>
    <n v="459206"/>
    <n v="0"/>
    <n v="0.78902881465472074"/>
    <n v="0"/>
    <n v="0.40074137090909095"/>
    <n v="0.30952380952380953"/>
    <n v="0"/>
    <n v="97337"/>
    <n v="0.22865313292992387"/>
  </r>
  <r>
    <n v="531"/>
    <s v="359270ce-98da-4061-b44d-f0d8badb452e"/>
    <x v="0"/>
    <x v="0"/>
    <x v="10"/>
    <s v="в аренде"/>
    <s v="консолидация кредитов"/>
    <n v="434896"/>
    <n v="723"/>
    <n v="1032878"/>
    <n v="20657.560000000001"/>
    <n v="18.600000000000001"/>
    <n v="35.265240640000002"/>
    <n v="12"/>
    <n v="313595"/>
    <n v="459052"/>
    <n v="1"/>
    <n v="0.71337649801675296"/>
    <n v="0.96271637816245004"/>
    <n v="0.40074137090909095"/>
    <n v="0.26190476190476192"/>
    <n v="0.14285714285714285"/>
    <n v="86073.166666666672"/>
    <n v="0.24"/>
  </r>
  <r>
    <n v="1056"/>
    <s v="47119274-b8d3-4d74-9d75-76133ad54025"/>
    <x v="1"/>
    <x v="0"/>
    <x v="3"/>
    <s v="в аренде"/>
    <s v="консолидация кредитов"/>
    <n v="466884"/>
    <n v="0"/>
    <n v="1168044"/>
    <n v="15157.06"/>
    <n v="8.3000000000000007"/>
    <n v="35.265240640000002"/>
    <n v="11"/>
    <n v="287375"/>
    <n v="458964"/>
    <n v="0"/>
    <n v="0.8954931675392781"/>
    <n v="0"/>
    <n v="0.40074137090909095"/>
    <n v="0.23809523809523808"/>
    <n v="0"/>
    <n v="97337"/>
    <n v="0.15571735311341012"/>
  </r>
  <r>
    <n v="22"/>
    <s v="016c5139-4da2-44ba-a0a6-7b23597526a8"/>
    <x v="0"/>
    <x v="1"/>
    <x v="5"/>
    <s v="в аренде"/>
    <s v="консолидация кредитов"/>
    <n v="128238"/>
    <n v="750"/>
    <n v="1354073"/>
    <n v="13202.15"/>
    <n v="11.9"/>
    <n v="35.265240640000002"/>
    <n v="7"/>
    <n v="131936"/>
    <n v="458788"/>
    <n v="0"/>
    <n v="-1.032513637110124"/>
    <n v="0.99866844207723038"/>
    <n v="0.40074137090909095"/>
    <n v="0.14285714285714285"/>
    <n v="0"/>
    <n v="112839.41666666667"/>
    <n v="0.11699945276214797"/>
  </r>
  <r>
    <n v="40"/>
    <s v="f7581a72-d073-48a3-934f-14bdfae93691"/>
    <x v="0"/>
    <x v="1"/>
    <x v="10"/>
    <s v="в ипотеке"/>
    <s v="консолидация кредитов"/>
    <n v="449108"/>
    <n v="718"/>
    <n v="1454507"/>
    <n v="13090.43"/>
    <n v="28.8"/>
    <n v="21"/>
    <n v="14"/>
    <n v="193990"/>
    <n v="458414"/>
    <n v="0"/>
    <n v="0.79428940620901656"/>
    <n v="0.95605858854860182"/>
    <n v="0.23863636363636365"/>
    <n v="0.30952380952380953"/>
    <n v="0"/>
    <n v="121208.91666666667"/>
    <n v="0.10799890272099068"/>
  </r>
  <r>
    <n v="1888"/>
    <s v="93ca1f42-39fb-4fff-b665-cc68d2d4e422"/>
    <x v="1"/>
    <x v="0"/>
    <x v="9"/>
    <s v="в аренде"/>
    <s v="консолидация кредитов"/>
    <n v="414194"/>
    <n v="713"/>
    <n v="797012"/>
    <n v="20987.78"/>
    <n v="9.6"/>
    <n v="35.265240640000002"/>
    <n v="13"/>
    <n v="246430"/>
    <n v="458018"/>
    <n v="0"/>
    <n v="0.59551419676455464"/>
    <n v="0.94940079893475371"/>
    <n v="0.40074137090909095"/>
    <n v="0.2857142857142857"/>
    <n v="0"/>
    <n v="66417.666666666672"/>
    <n v="0.31599694860303229"/>
  </r>
  <r>
    <n v="1392"/>
    <s v="60f0f4e0-3986-46e3-bb5e-64bdce9c045f"/>
    <x v="1"/>
    <x v="0"/>
    <x v="4"/>
    <s v="в аренде"/>
    <s v="консолидация кредитов"/>
    <n v="432168"/>
    <n v="693"/>
    <n v="1404632"/>
    <n v="24229.94"/>
    <n v="12.3"/>
    <n v="17"/>
    <n v="15"/>
    <n v="308047"/>
    <n v="457886"/>
    <n v="0"/>
    <n v="0.69784522771359392"/>
    <n v="0.92276964047936083"/>
    <n v="0.19318181818181818"/>
    <n v="0.33333333333333331"/>
    <n v="0"/>
    <n v="117052.66666666667"/>
    <n v="0.20700032464019044"/>
  </r>
  <r>
    <n v="412"/>
    <s v="cb675274-6c28-4bf7-a075-5cc990cf5c51"/>
    <x v="0"/>
    <x v="1"/>
    <x v="1"/>
    <s v="в ипотеке"/>
    <s v="консолидация кредитов"/>
    <n v="251196"/>
    <n v="740"/>
    <n v="1051536"/>
    <n v="23133.83"/>
    <n v="48.7"/>
    <n v="20"/>
    <n v="16"/>
    <n v="300295"/>
    <n v="452716"/>
    <n v="0"/>
    <n v="-0.33247920384919322"/>
    <n v="0.98535286284953394"/>
    <n v="0.22727272727272727"/>
    <n v="0.35714285714285715"/>
    <n v="0"/>
    <n v="87628"/>
    <n v="0.26400043365134435"/>
  </r>
  <r>
    <n v="1705"/>
    <s v="6363f1fd-5f4f-43b0-8783-10fa9507fc8c"/>
    <x v="0"/>
    <x v="0"/>
    <x v="1"/>
    <s v="в ипотеке"/>
    <s v="консолидация кредитов"/>
    <n v="396792"/>
    <n v="0"/>
    <n v="1168044"/>
    <n v="15627.88"/>
    <n v="13.9"/>
    <n v="35.265240640000002"/>
    <n v="5"/>
    <n v="347852"/>
    <n v="452034"/>
    <n v="0"/>
    <n v="0.4964397224919842"/>
    <n v="0"/>
    <n v="0.40074137090909095"/>
    <n v="9.5238095238095233E-2"/>
    <n v="0"/>
    <n v="97337"/>
    <n v="0.16055436267811829"/>
  </r>
  <r>
    <n v="574"/>
    <s v="acce851e-641d-4ebb-affc-45346df60602"/>
    <x v="0"/>
    <x v="1"/>
    <x v="7"/>
    <s v="в аренде"/>
    <s v="консолидация кредитов"/>
    <n v="263318"/>
    <n v="738"/>
    <n v="707085"/>
    <n v="12962.94"/>
    <n v="14.8"/>
    <n v="18"/>
    <n v="10"/>
    <n v="232940"/>
    <n v="451770"/>
    <n v="0"/>
    <n v="-0.26346525274402721"/>
    <n v="0.9826897470039947"/>
    <n v="0.20454545454545456"/>
    <n v="0.21428571428571427"/>
    <n v="0"/>
    <n v="58923.75"/>
    <n v="0.21999516324062879"/>
  </r>
  <r>
    <n v="622"/>
    <s v="88883a49-e435-445b-939a-167ca08d47f2"/>
    <x v="0"/>
    <x v="0"/>
    <x v="9"/>
    <s v="в ипотеке"/>
    <s v="консолидация кредитов"/>
    <n v="755062"/>
    <n v="681"/>
    <n v="1769983"/>
    <n v="27729.74"/>
    <n v="25"/>
    <n v="46"/>
    <n v="15"/>
    <n v="228266"/>
    <n v="451044"/>
    <n v="0"/>
    <n v="2.5361714715802397"/>
    <n v="0.90679094540612515"/>
    <n v="0.52272727272727271"/>
    <n v="0.33333333333333331"/>
    <n v="0"/>
    <n v="147498.58333333334"/>
    <n v="0.1880000429382655"/>
  </r>
  <r>
    <n v="1062"/>
    <s v="18672bb4-e1e4-4e7c-aa98-2fde18bf316c"/>
    <x v="0"/>
    <x v="1"/>
    <x v="1"/>
    <s v="в аренде"/>
    <s v="крупная покупка"/>
    <n v="40524"/>
    <n v="719"/>
    <n v="671194"/>
    <n v="10515.17"/>
    <n v="11"/>
    <n v="35.265240640000002"/>
    <n v="14"/>
    <n v="380"/>
    <n v="450296"/>
    <n v="1"/>
    <n v="-1.5318940782286303"/>
    <n v="0.95739014647137155"/>
    <n v="0.40074137090909095"/>
    <n v="0.30952380952380953"/>
    <n v="0.14285714285714285"/>
    <n v="55932.833333333336"/>
    <n v="0.18799637660646548"/>
  </r>
  <r>
    <n v="404"/>
    <s v="d532715b-a0ea-4ceb-8b35-71f5a626815e"/>
    <x v="0"/>
    <x v="1"/>
    <x v="0"/>
    <s v="в ипотеке"/>
    <s v="ремонт жилья"/>
    <n v="449724"/>
    <n v="720"/>
    <n v="925946"/>
    <n v="6643.54"/>
    <n v="9.1999999999999993"/>
    <n v="35.265240640000002"/>
    <n v="10"/>
    <n v="170069"/>
    <n v="449570"/>
    <n v="2"/>
    <n v="0.79779646724521369"/>
    <n v="0.95872170439414117"/>
    <n v="0.40074137090909095"/>
    <n v="0.21428571428571427"/>
    <n v="0.2857142857142857"/>
    <n v="77162.166666666672"/>
    <n v="8.6098411786432461E-2"/>
  </r>
  <r>
    <n v="73"/>
    <s v="decb6753-c45f-4f8a-ae0d-e8b26d246998"/>
    <x v="0"/>
    <x v="1"/>
    <x v="2"/>
    <s v="в ипотеке"/>
    <s v="консолидация кредитов"/>
    <n v="309594.52439999999"/>
    <n v="699"/>
    <n v="2770162"/>
    <n v="48708.4"/>
    <n v="25.6"/>
    <n v="25"/>
    <n v="13"/>
    <n v="348802"/>
    <n v="449262"/>
    <n v="0"/>
    <n v="-1.2411115481956205E-10"/>
    <n v="0.93075898801597867"/>
    <n v="0.28409090909090912"/>
    <n v="0.2857142857142857"/>
    <n v="0"/>
    <n v="230846.83333333334"/>
    <n v="0.21099877913277273"/>
  </r>
  <r>
    <n v="1788"/>
    <s v="c1df0fdb-52a5-4e7d-a420-01751a56e47e"/>
    <x v="1"/>
    <x v="1"/>
    <x v="1"/>
    <s v="в ипотеке"/>
    <s v="ремонт жилья"/>
    <n v="297330"/>
    <n v="732"/>
    <n v="803035"/>
    <n v="9034.1200000000008"/>
    <n v="11.1"/>
    <n v="35.265240640000002"/>
    <n v="9"/>
    <n v="213237"/>
    <n v="447282"/>
    <n v="0"/>
    <n v="-6.9825382673996933E-2"/>
    <n v="0.97470039946737685"/>
    <n v="0.40074137090909095"/>
    <n v="0.19047619047619047"/>
    <n v="0"/>
    <n v="66919.583333333328"/>
    <n v="0.13499964509641549"/>
  </r>
  <r>
    <n v="1496"/>
    <s v="70e18920-01ef-4210-99cb-b4cb5f6dd5fd"/>
    <x v="0"/>
    <x v="1"/>
    <x v="2"/>
    <s v="в аренде"/>
    <s v="консолидация кредитов"/>
    <n v="446028"/>
    <n v="693"/>
    <n v="2118633"/>
    <n v="16083.88"/>
    <n v="16.8"/>
    <n v="35.265240640000002"/>
    <n v="6"/>
    <n v="381976"/>
    <n v="446292"/>
    <n v="0"/>
    <n v="0.77675410102803055"/>
    <n v="0.92276964047936083"/>
    <n v="0.40074137090909095"/>
    <n v="0.11904761904761904"/>
    <n v="0"/>
    <n v="176552.75"/>
    <n v="9.1099572224165301E-2"/>
  </r>
  <r>
    <n v="1653"/>
    <s v="c7ca1a28-e92a-4008-8150-db0bce34b03f"/>
    <x v="0"/>
    <x v="1"/>
    <x v="4"/>
    <s v="в аренде"/>
    <s v="консолидация кредитов"/>
    <n v="356422"/>
    <n v="723"/>
    <n v="1303932"/>
    <n v="15321.22"/>
    <n v="21.1"/>
    <n v="35.265240640000002"/>
    <n v="10"/>
    <n v="323323"/>
    <n v="446226"/>
    <n v="0"/>
    <n v="0.26660197244120443"/>
    <n v="0.96271637816245004"/>
    <n v="0.40074137090909095"/>
    <n v="0.21428571428571427"/>
    <n v="0"/>
    <n v="108661"/>
    <n v="0.14100017485574401"/>
  </r>
  <r>
    <n v="1422"/>
    <s v="2cf5aba4-6eca-419c-8a99-afbbe1cefbdd"/>
    <x v="1"/>
    <x v="1"/>
    <x v="6"/>
    <s v="в ипотеке"/>
    <s v="консолидация кредитов"/>
    <n v="272866"/>
    <n v="0"/>
    <n v="1168044"/>
    <n v="11670.75"/>
    <n v="21.5"/>
    <n v="35.265240640000002"/>
    <n v="9"/>
    <n v="211204"/>
    <n v="445456"/>
    <n v="0"/>
    <n v="-0.20910580668297082"/>
    <n v="0"/>
    <n v="0.40074137090909095"/>
    <n v="0.19047619047619047"/>
    <n v="0"/>
    <n v="97337"/>
    <n v="0.11990044895569002"/>
  </r>
  <r>
    <n v="1585"/>
    <s v="29a594bc-1ca1-4272-b9d4-1ac2fcd0cdc6"/>
    <x v="1"/>
    <x v="0"/>
    <x v="8"/>
    <s v="в ипотеке"/>
    <s v="консолидация кредитов"/>
    <n v="757152"/>
    <n v="0"/>
    <n v="1168044"/>
    <n v="26778.41"/>
    <n v="32.5"/>
    <n v="13"/>
    <n v="11"/>
    <n v="131879"/>
    <n v="445192"/>
    <n v="1"/>
    <n v="2.5480704286673372"/>
    <n v="0"/>
    <n v="0.14772727272727273"/>
    <n v="0.23809523809523808"/>
    <n v="0.14285714285714285"/>
    <n v="97337"/>
    <n v="0.27511028694124534"/>
  </r>
  <r>
    <n v="1860"/>
    <s v="c4470d10-a92a-406d-b5c7-2860bacd9041"/>
    <x v="0"/>
    <x v="1"/>
    <x v="0"/>
    <s v="в ипотеке"/>
    <s v="консолидация кредитов"/>
    <n v="295966"/>
    <n v="0"/>
    <n v="1168044"/>
    <n v="6380.01"/>
    <n v="29"/>
    <n v="35.265240640000002"/>
    <n v="6"/>
    <n v="263644"/>
    <n v="444356"/>
    <n v="0"/>
    <n v="-7.7591017825576411E-2"/>
    <n v="0"/>
    <n v="0.40074137090909095"/>
    <n v="0.11904761904761904"/>
    <n v="0"/>
    <n v="97337"/>
    <n v="6.5545578762443879E-2"/>
  </r>
  <r>
    <n v="522"/>
    <s v="294d2722-9e0f-45ee-a1fd-cb60925fcc3e"/>
    <x v="0"/>
    <x v="1"/>
    <x v="7"/>
    <s v="в аренде"/>
    <s v="консолидация кредитов"/>
    <n v="444400"/>
    <n v="0"/>
    <n v="1168044"/>
    <n v="1367.24"/>
    <n v="9"/>
    <n v="35.265240640000002"/>
    <n v="7"/>
    <n v="57494"/>
    <n v="443806"/>
    <n v="0"/>
    <n v="0.76748543971808092"/>
    <n v="0"/>
    <n v="0.40074137090909095"/>
    <n v="0.14285714285714285"/>
    <n v="0"/>
    <n v="97337"/>
    <n v="1.4046457154011321E-2"/>
  </r>
  <r>
    <n v="1941"/>
    <s v="03e63399-7b68-4979-a4ba-78faf7731cf7"/>
    <x v="0"/>
    <x v="0"/>
    <x v="4"/>
    <s v="в ипотеке"/>
    <s v="ремонт жилья"/>
    <n v="346478"/>
    <n v="744"/>
    <n v="2094598"/>
    <n v="13806.92"/>
    <n v="20.5"/>
    <n v="59"/>
    <n v="16"/>
    <n v="220704"/>
    <n v="443652"/>
    <n v="4"/>
    <n v="0.20998798714259273"/>
    <n v="0.99067909454061254"/>
    <n v="0.67045454545454541"/>
    <n v="0.35714285714285715"/>
    <n v="0.5714285714285714"/>
    <n v="174549.83333333334"/>
    <n v="7.9100161462963295E-2"/>
  </r>
  <r>
    <n v="167"/>
    <s v="fd4ca23b-1ad4-404e-97c4-f1834094d9d8"/>
    <x v="0"/>
    <x v="1"/>
    <x v="6"/>
    <s v="в собственности"/>
    <s v="иное"/>
    <n v="174460"/>
    <n v="723"/>
    <n v="1318429"/>
    <n v="10547.47"/>
    <n v="15"/>
    <n v="55"/>
    <n v="14"/>
    <n v="55176"/>
    <n v="443586"/>
    <n v="0"/>
    <n v="-0.76935880721547112"/>
    <n v="0.96271637816245004"/>
    <n v="0.625"/>
    <n v="0.30952380952380953"/>
    <n v="0"/>
    <n v="109869.08333333333"/>
    <n v="9.6000345866178616E-2"/>
  </r>
  <r>
    <n v="809"/>
    <s v="fd7eb7a2-a39e-4f4e-b5ee-dec42f3a537a"/>
    <x v="0"/>
    <x v="0"/>
    <x v="1"/>
    <s v="в ипотеке"/>
    <s v="консолидация кредитов"/>
    <n v="330792"/>
    <n v="733"/>
    <n v="1885522"/>
    <n v="20897.72"/>
    <n v="31.4"/>
    <n v="35.265240640000002"/>
    <n v="13"/>
    <n v="138130"/>
    <n v="443058"/>
    <n v="1"/>
    <n v="0.12068318289942871"/>
    <n v="0.97603195739014648"/>
    <n v="0.40074137090909095"/>
    <n v="0.2857142857142857"/>
    <n v="0.14285714285714285"/>
    <n v="157126.83333333334"/>
    <n v="0.13299905278220037"/>
  </r>
  <r>
    <n v="899"/>
    <s v="cf6e16f5-e498-470e-a26b-be9716e7cee0"/>
    <x v="0"/>
    <x v="1"/>
    <x v="4"/>
    <s v="в аренде"/>
    <s v="консолидация кредитов"/>
    <n v="293744"/>
    <n v="686"/>
    <n v="743318"/>
    <n v="11211.71"/>
    <n v="16.8"/>
    <n v="35.265240640000002"/>
    <n v="4"/>
    <n v="351842"/>
    <n v="442332"/>
    <n v="1"/>
    <n v="-9.0241487991859104E-2"/>
    <n v="0.91344873501997337"/>
    <n v="0.40074137090909095"/>
    <n v="7.1428571428571425E-2"/>
    <n v="0.14285714285714285"/>
    <n v="61943.166666666664"/>
    <n v="0.18099994887786922"/>
  </r>
  <r>
    <n v="232"/>
    <s v="7b2a256c-be3f-4f98-b797-f9f38f075a66"/>
    <x v="1"/>
    <x v="0"/>
    <x v="6"/>
    <s v="в собственности"/>
    <s v="малый бизнес"/>
    <n v="551980"/>
    <n v="720"/>
    <n v="1906840"/>
    <n v="33528.54"/>
    <n v="22.6"/>
    <n v="35.265240640000002"/>
    <n v="6"/>
    <n v="334780"/>
    <n v="441518"/>
    <n v="0"/>
    <n v="1.3799685992539463"/>
    <n v="0.95872170439414117"/>
    <n v="0.40074137090909095"/>
    <n v="0.11904761904761904"/>
    <n v="0"/>
    <n v="158903.33333333334"/>
    <n v="0.21099960143483459"/>
  </r>
  <r>
    <n v="1451"/>
    <s v="f596990e-f36d-4914-b29e-9d87c99b200e"/>
    <x v="0"/>
    <x v="1"/>
    <x v="1"/>
    <s v="в ипотеке"/>
    <s v="консолидация кредитов"/>
    <n v="270116"/>
    <n v="746"/>
    <n v="1652468"/>
    <n v="16937.740000000002"/>
    <n v="14.7"/>
    <n v="35.265240640000002"/>
    <n v="7"/>
    <n v="261402"/>
    <n v="441232"/>
    <n v="0"/>
    <n v="-0.22476232916599398"/>
    <n v="0.99334221038615178"/>
    <n v="0.40074137090909095"/>
    <n v="0.14285714285714285"/>
    <n v="0"/>
    <n v="137705.66666666666"/>
    <n v="0.1229995860736789"/>
  </r>
  <r>
    <n v="527"/>
    <s v="489b3039-0965-4d77-ada1-93f19f9e5e94"/>
    <x v="1"/>
    <x v="0"/>
    <x v="1"/>
    <s v="в аренде"/>
    <s v="консолидация кредитов"/>
    <n v="259754"/>
    <n v="0"/>
    <n v="1168044"/>
    <n v="21872.04"/>
    <n v="13.1"/>
    <n v="11"/>
    <n v="13"/>
    <n v="209551"/>
    <n v="441144"/>
    <n v="0"/>
    <n v="-0.28375610588202521"/>
    <n v="0"/>
    <n v="0.125"/>
    <n v="0.2857142857142857"/>
    <n v="0"/>
    <n v="97337"/>
    <n v="0.22470427483896155"/>
  </r>
  <r>
    <n v="799"/>
    <s v="d3008cbd-e499-4080-813b-629b5d6695ca"/>
    <x v="0"/>
    <x v="0"/>
    <x v="1"/>
    <s v="в собственности"/>
    <s v="консолидация кредитов"/>
    <n v="270402"/>
    <n v="690"/>
    <n v="1044373"/>
    <n v="17928.21"/>
    <n v="21"/>
    <n v="35.265240640000002"/>
    <n v="12"/>
    <n v="258305"/>
    <n v="441144"/>
    <n v="0"/>
    <n v="-0.22313405082775956"/>
    <n v="0.91877496671105197"/>
    <n v="0.40074137090909095"/>
    <n v="0.26190476190476192"/>
    <n v="0"/>
    <n v="87031.083333333328"/>
    <n v="0.20599778048647371"/>
  </r>
  <r>
    <n v="1495"/>
    <s v="ed62d057-7b85-4de7-8fd1-9a0a213eef6e"/>
    <x v="0"/>
    <x v="0"/>
    <x v="5"/>
    <s v="в аренде"/>
    <s v="консолидация кредитов"/>
    <n v="607926"/>
    <n v="647"/>
    <n v="1807166"/>
    <n v="23643.79"/>
    <n v="16.2"/>
    <n v="35.265240640000002"/>
    <n v="8"/>
    <n v="306888"/>
    <n v="440330"/>
    <n v="1"/>
    <n v="1.6984848926485692"/>
    <n v="0.86151797603195734"/>
    <n v="0.40074137090909095"/>
    <n v="0.16666666666666666"/>
    <n v="0.14285714285714285"/>
    <n v="150597.16666666666"/>
    <n v="0.15700023130138571"/>
  </r>
  <r>
    <n v="763"/>
    <s v="756777d0-42b5-4e33-bd4d-58bf1d13f644"/>
    <x v="0"/>
    <x v="1"/>
    <x v="1"/>
    <s v="в ипотеке"/>
    <s v="консолидация кредитов"/>
    <n v="441364"/>
    <n v="691"/>
    <n v="1315066"/>
    <n v="16986.189999999999"/>
    <n v="22.6"/>
    <n v="9"/>
    <n v="12"/>
    <n v="233035"/>
    <n v="439472"/>
    <n v="0"/>
    <n v="0.75020063889682331"/>
    <n v="0.92010652463382159"/>
    <n v="0.10227272727272728"/>
    <n v="0.26190476190476192"/>
    <n v="0"/>
    <n v="109588.83333333333"/>
    <n v="0.15499927760279711"/>
  </r>
  <r>
    <n v="1869"/>
    <s v="57d5e3fa-bd51-4ef4-8251-83cc8eb4f7cc"/>
    <x v="0"/>
    <x v="1"/>
    <x v="6"/>
    <s v="в аренде"/>
    <s v="консолидация кредитов"/>
    <n v="649374"/>
    <n v="675"/>
    <n v="1682469"/>
    <n v="33088.5"/>
    <n v="18"/>
    <n v="40"/>
    <n v="20"/>
    <n v="261098"/>
    <n v="439428"/>
    <n v="0"/>
    <n v="1.9344599995126941"/>
    <n v="0.89880159786950731"/>
    <n v="0.45454545454545453"/>
    <n v="0.45238095238095238"/>
    <n v="0"/>
    <n v="140205.75"/>
    <n v="0.23599959345461938"/>
  </r>
  <r>
    <n v="1527"/>
    <s v="1e1534ac-8c70-4298-a7e0-eb74462ae000"/>
    <x v="0"/>
    <x v="1"/>
    <x v="9"/>
    <s v="в ипотеке"/>
    <s v="консолидация кредитов"/>
    <n v="479490"/>
    <n v="747"/>
    <n v="1223524"/>
    <n v="28344.77"/>
    <n v="25.9"/>
    <n v="78"/>
    <n v="9"/>
    <n v="277134"/>
    <n v="438372"/>
    <n v="0"/>
    <n v="0.96726266660145621"/>
    <n v="0.9946737683089214"/>
    <n v="0.88636363636363635"/>
    <n v="0.19047619047619047"/>
    <n v="0"/>
    <n v="101960.33333333333"/>
    <n v="0.27799801229890059"/>
  </r>
  <r>
    <n v="1481"/>
    <s v="c4ced673-112c-4495-8f48-59d22c09b8c2"/>
    <x v="0"/>
    <x v="1"/>
    <x v="1"/>
    <s v="в ипотеке"/>
    <s v="консолидация кредитов"/>
    <n v="240966"/>
    <n v="0"/>
    <n v="1168044"/>
    <n v="25311.42"/>
    <n v="16"/>
    <n v="27"/>
    <n v="15"/>
    <n v="306432"/>
    <n v="438064"/>
    <n v="0"/>
    <n v="-0.39072146748603931"/>
    <n v="0"/>
    <n v="0.30681818181818182"/>
    <n v="0.33333333333333331"/>
    <n v="0"/>
    <n v="97337"/>
    <n v="0.26003903962521957"/>
  </r>
  <r>
    <n v="1732"/>
    <s v="b96ec9d5-8be9-40d2-8edd-18ca8c2b62ce"/>
    <x v="0"/>
    <x v="1"/>
    <x v="3"/>
    <s v="в аренде"/>
    <s v="консолидация кредитов"/>
    <n v="335786"/>
    <n v="704"/>
    <n v="1159950"/>
    <n v="18462.490000000002"/>
    <n v="15.3"/>
    <n v="35.265240640000002"/>
    <n v="9"/>
    <n v="227810"/>
    <n v="436722"/>
    <n v="2"/>
    <n v="0.14911542772859873"/>
    <n v="0.93741677762982689"/>
    <n v="0.40074137090909095"/>
    <n v="0.19047619047619047"/>
    <n v="0.2857142857142857"/>
    <n v="96662.5"/>
    <n v="0.19099950859950862"/>
  </r>
  <r>
    <n v="735"/>
    <s v="c49e61bf-8cee-4519-9de4-84ca2499a87c"/>
    <x v="0"/>
    <x v="0"/>
    <x v="0"/>
    <s v="в ипотеке"/>
    <s v="ремонт жилья"/>
    <n v="560010"/>
    <n v="719"/>
    <n v="5701140"/>
    <n v="24942.44"/>
    <n v="8.4"/>
    <n v="35.265240640000002"/>
    <n v="9"/>
    <n v="76893"/>
    <n v="436414"/>
    <n v="0"/>
    <n v="1.425685644904374"/>
    <n v="0.95739014647137155"/>
    <n v="0.40074137090909095"/>
    <n v="0.19047619047619047"/>
    <n v="0"/>
    <n v="475095"/>
    <n v="5.2499900019996E-2"/>
  </r>
  <r>
    <n v="974"/>
    <s v="47e8c33f-5923-45a9-b5b7-30fd03cf1543"/>
    <x v="0"/>
    <x v="1"/>
    <x v="3"/>
    <s v="в аренде"/>
    <s v="консолидация кредитов"/>
    <n v="183348"/>
    <n v="0"/>
    <n v="1168044"/>
    <n v="8708.65"/>
    <n v="19.399999999999999"/>
    <n v="35.265240640000002"/>
    <n v="5"/>
    <n v="154470"/>
    <n v="436260"/>
    <n v="0"/>
    <n v="-0.71875692655034029"/>
    <n v="0"/>
    <n v="0.40074137090909095"/>
    <n v="9.5238095238095233E-2"/>
    <n v="0"/>
    <n v="97337"/>
    <n v="8.9469061097013469E-2"/>
  </r>
  <r>
    <n v="558"/>
    <s v="95b045a4-d135-42c7-b8f5-c5e681fedfdd"/>
    <x v="0"/>
    <x v="1"/>
    <x v="0"/>
    <s v="в ипотеке"/>
    <s v="ремонт жилья"/>
    <n v="130152"/>
    <n v="0"/>
    <n v="1168044"/>
    <n v="9727.6200000000008"/>
    <n v="21.3"/>
    <n v="35.265240640000002"/>
    <n v="6"/>
    <n v="109972"/>
    <n v="436084"/>
    <n v="0"/>
    <n v="-1.0216166974619401"/>
    <n v="0"/>
    <n v="0.40074137090909095"/>
    <n v="0.11904761904761904"/>
    <n v="0"/>
    <n v="97337"/>
    <n v="9.9937536599648658E-2"/>
  </r>
  <r>
    <n v="1052"/>
    <s v="c11b696d-457d-457f-94e2-daa36cd68831"/>
    <x v="1"/>
    <x v="1"/>
    <x v="3"/>
    <s v="в аренде"/>
    <s v="консолидация кредитов"/>
    <n v="382690"/>
    <n v="730"/>
    <n v="756504"/>
    <n v="17147.5"/>
    <n v="13"/>
    <n v="78"/>
    <n v="10"/>
    <n v="165699"/>
    <n v="436018"/>
    <n v="1"/>
    <n v="0.41615307519904149"/>
    <n v="0.9720372836218375"/>
    <n v="0.88636363636363635"/>
    <n v="0.21428571428571427"/>
    <n v="0.14285714285714285"/>
    <n v="63042"/>
    <n v="0.27200120554550933"/>
  </r>
  <r>
    <n v="851"/>
    <s v="1376430c-3aec-4f17-acb5-c1b4626fbf94"/>
    <x v="0"/>
    <x v="1"/>
    <x v="1"/>
    <s v="в аренде"/>
    <s v="иное"/>
    <n v="227722"/>
    <n v="673"/>
    <n v="578892"/>
    <n v="13314.63"/>
    <n v="22.3"/>
    <n v="35.265240640000002"/>
    <n v="11"/>
    <n v="167124"/>
    <n v="435798"/>
    <n v="0"/>
    <n v="-0.46612327976427881"/>
    <n v="0.89613848202396806"/>
    <n v="0.40074137090909095"/>
    <n v="0.23809523809523808"/>
    <n v="0"/>
    <n v="48241"/>
    <n v="0.27600236313509252"/>
  </r>
  <r>
    <n v="1885"/>
    <s v="4bba7bfc-965b-4648-915e-54ca7e32e759"/>
    <x v="0"/>
    <x v="1"/>
    <x v="1"/>
    <s v="в аренде"/>
    <s v="консолидация кредитов"/>
    <n v="337040"/>
    <n v="724"/>
    <n v="1086667"/>
    <n v="9598.99"/>
    <n v="13.6"/>
    <n v="35.265240640000002"/>
    <n v="5"/>
    <n v="344014"/>
    <n v="435798"/>
    <n v="0"/>
    <n v="0.15625480198085728"/>
    <n v="0.96404793608521966"/>
    <n v="0.40074137090909095"/>
    <n v="9.5238095238095233E-2"/>
    <n v="0"/>
    <n v="90555.583333333328"/>
    <n v="0.10600108404874722"/>
  </r>
  <r>
    <n v="451"/>
    <s v="d52fe572-9db8-419c-91c9-33ec04025163"/>
    <x v="0"/>
    <x v="1"/>
    <x v="1"/>
    <s v="в аренде"/>
    <s v="консолидация кредитов"/>
    <n v="375650"/>
    <n v="724"/>
    <n v="768398"/>
    <n v="12857.68"/>
    <n v="19"/>
    <n v="35.265240640000002"/>
    <n v="10"/>
    <n v="254391"/>
    <n v="435072"/>
    <n v="0"/>
    <n v="0.37607237764250223"/>
    <n v="0.96404793608521966"/>
    <n v="0.40074137090909095"/>
    <n v="0.21428571428571427"/>
    <n v="0"/>
    <n v="64033.166666666664"/>
    <n v="0.20079719103901886"/>
  </r>
  <r>
    <n v="481"/>
    <s v="21fd514c-1391-4f7e-bdb0-40e42abffa38"/>
    <x v="0"/>
    <x v="1"/>
    <x v="1"/>
    <s v="в собственности"/>
    <s v="консолидация кредитов"/>
    <n v="309594.52439999999"/>
    <n v="729"/>
    <n v="594301"/>
    <n v="8468.8700000000008"/>
    <n v="35.9"/>
    <n v="20"/>
    <n v="12"/>
    <n v="220001"/>
    <n v="434698"/>
    <n v="3"/>
    <n v="-1.2411115481956205E-10"/>
    <n v="0.97070572569906788"/>
    <n v="0.22727272727272727"/>
    <n v="0.26190476190476192"/>
    <n v="0.42857142857142855"/>
    <n v="49525.083333333336"/>
    <n v="0.17100163048690817"/>
  </r>
  <r>
    <n v="72"/>
    <s v="e978f6d8-912e-418e-8649-1b970583f4c8"/>
    <x v="0"/>
    <x v="1"/>
    <x v="1"/>
    <s v="в аренде"/>
    <s v="консолидация кредитов"/>
    <n v="162360"/>
    <n v="720"/>
    <n v="486875"/>
    <n v="8560.83"/>
    <n v="15.1"/>
    <n v="46"/>
    <n v="16"/>
    <n v="129504"/>
    <n v="434654"/>
    <n v="0"/>
    <n v="-0.83824750614077292"/>
    <n v="0.95872170439414117"/>
    <n v="0.52272727272727271"/>
    <n v="0.35714285714285715"/>
    <n v="0"/>
    <n v="40572.916666666664"/>
    <n v="0.21099863414634148"/>
  </r>
  <r>
    <n v="1072"/>
    <s v="c86ed289-e22e-48ea-bbb4-b5d5da20c3c0"/>
    <x v="0"/>
    <x v="1"/>
    <x v="1"/>
    <s v="в аренде"/>
    <s v="консолидация кредитов"/>
    <n v="268840"/>
    <n v="738"/>
    <n v="1528474"/>
    <n v="30187.200000000001"/>
    <n v="27.4"/>
    <n v="59"/>
    <n v="11"/>
    <n v="250268"/>
    <n v="434456"/>
    <n v="2"/>
    <n v="-0.2320269555981167"/>
    <n v="0.9826897470039947"/>
    <n v="0.67045454545454541"/>
    <n v="0.23809523809523808"/>
    <n v="0.2857142857142857"/>
    <n v="127372.83333333333"/>
    <n v="0.23699873206871691"/>
  </r>
  <r>
    <n v="328"/>
    <s v="a516d48a-155e-4cbb-8710-43bddd55b655"/>
    <x v="0"/>
    <x v="0"/>
    <x v="5"/>
    <s v="в собственности"/>
    <s v="консолидация кредитов"/>
    <n v="616902"/>
    <n v="647"/>
    <n v="1405772"/>
    <n v="18626.27"/>
    <n v="17.899999999999999"/>
    <n v="64"/>
    <n v="4"/>
    <n v="317338"/>
    <n v="433818"/>
    <n v="0"/>
    <n v="1.7495877820331567"/>
    <n v="0.86151797603195734"/>
    <n v="0.72727272727272729"/>
    <n v="7.1428571428571425E-2"/>
    <n v="0"/>
    <n v="117147.66666666667"/>
    <n v="0.15899821592690705"/>
  </r>
  <r>
    <n v="1253"/>
    <s v="34d7bc55-4b3e-4587-8c80-dce023c9be6c"/>
    <x v="0"/>
    <x v="1"/>
    <x v="5"/>
    <s v="в ипотеке"/>
    <s v="консолидация кредитов"/>
    <n v="309594.52439999999"/>
    <n v="738"/>
    <n v="1147524"/>
    <n v="27731.83"/>
    <n v="11.4"/>
    <n v="3"/>
    <n v="16"/>
    <n v="143488"/>
    <n v="433752"/>
    <n v="0"/>
    <n v="-1.2411115481956205E-10"/>
    <n v="0.9826897470039947"/>
    <n v="3.4090909090909088E-2"/>
    <n v="0.35714285714285715"/>
    <n v="0"/>
    <n v="95627"/>
    <n v="0.29000000000000004"/>
  </r>
  <r>
    <n v="86"/>
    <s v="0f9f9ea4-6122-4fc6-99fd-6c6c38a32138"/>
    <x v="0"/>
    <x v="0"/>
    <x v="6"/>
    <s v="в аренде"/>
    <s v="иное"/>
    <n v="498586"/>
    <n v="666"/>
    <n v="1351679"/>
    <n v="32214.880000000001"/>
    <n v="12.2"/>
    <n v="35.265240640000002"/>
    <n v="15"/>
    <n v="205637"/>
    <n v="433686"/>
    <n v="0"/>
    <n v="1.075981558723569"/>
    <n v="0.8868175765645806"/>
    <n v="0.40074137090909095"/>
    <n v="0.33333333333333331"/>
    <n v="0"/>
    <n v="112639.91666666667"/>
    <n v="0.28599879113310184"/>
  </r>
  <r>
    <n v="942"/>
    <s v="1299929d-cf69-401d-9e39-ab96c1ff8a66"/>
    <x v="0"/>
    <x v="1"/>
    <x v="1"/>
    <s v="в ипотеке"/>
    <s v="консолидация кредитов"/>
    <n v="375298"/>
    <n v="728"/>
    <n v="926041"/>
    <n v="17054.59"/>
    <n v="27.9"/>
    <n v="17"/>
    <n v="12"/>
    <n v="319751"/>
    <n v="433532"/>
    <n v="0"/>
    <n v="0.37406834276467532"/>
    <n v="0.96937416777629826"/>
    <n v="0.19318181818181818"/>
    <n v="0.26190476190476192"/>
    <n v="0"/>
    <n v="77170.083333333328"/>
    <n v="0.2210000205174501"/>
  </r>
  <r>
    <n v="396"/>
    <s v="6c301164-4828-4de3-9a2c-767bf95e9c23"/>
    <x v="0"/>
    <x v="1"/>
    <x v="1"/>
    <s v="в аренде"/>
    <s v="консолидация кредитов"/>
    <n v="294580"/>
    <n v="744"/>
    <n v="1734624"/>
    <n v="8051.63"/>
    <n v="17.8"/>
    <n v="6"/>
    <n v="12"/>
    <n v="229007"/>
    <n v="433290"/>
    <n v="0"/>
    <n v="-8.5481905157020074E-2"/>
    <n v="0.99067909454061254"/>
    <n v="6.8181818181818177E-2"/>
    <n v="0.26190476190476192"/>
    <n v="0"/>
    <n v="144552"/>
    <n v="5.5700578338590954E-2"/>
  </r>
  <r>
    <n v="858"/>
    <s v="ec96b122-c216-439b-833a-3f683c587469"/>
    <x v="1"/>
    <x v="1"/>
    <x v="2"/>
    <s v="в аренде"/>
    <s v="консолидация кредитов"/>
    <n v="391314"/>
    <n v="0"/>
    <n v="1168044"/>
    <n v="19341.05"/>
    <n v="12.4"/>
    <n v="35.265240640000002"/>
    <n v="18"/>
    <n v="349771"/>
    <n v="433136"/>
    <n v="0"/>
    <n v="0.46525192970580209"/>
    <n v="0"/>
    <n v="0.40074137090909095"/>
    <n v="0.40476190476190477"/>
    <n v="0"/>
    <n v="97337"/>
    <n v="0.19870193246144835"/>
  </r>
  <r>
    <n v="950"/>
    <s v="577ab45e-47ee-4be2-af61-2d944512c5fb"/>
    <x v="1"/>
    <x v="0"/>
    <x v="1"/>
    <s v="в ипотеке"/>
    <s v="ремонт жилья"/>
    <n v="391248"/>
    <n v="669"/>
    <n v="1392719"/>
    <n v="33773.26"/>
    <n v="14.9"/>
    <n v="35.265240640000002"/>
    <n v="18"/>
    <n v="336775"/>
    <n v="432784"/>
    <n v="0"/>
    <n v="0.46487617316620955"/>
    <n v="0.89081225033288947"/>
    <n v="0.40074137090909095"/>
    <n v="0.40476190476190477"/>
    <n v="0"/>
    <n v="116059.91666666667"/>
    <n v="0.29099848569596598"/>
  </r>
  <r>
    <n v="752"/>
    <s v="bd94000f-f10c-4f88-a464-bdc439f69fc2"/>
    <x v="0"/>
    <x v="0"/>
    <x v="2"/>
    <s v="в ипотеке"/>
    <s v="консолидация кредитов"/>
    <n v="540364"/>
    <n v="723"/>
    <n v="3387244"/>
    <n v="29920.82"/>
    <n v="12.6"/>
    <n v="39"/>
    <n v="6"/>
    <n v="255987"/>
    <n v="432080"/>
    <n v="0"/>
    <n v="1.3138354482856567"/>
    <n v="0.96271637816245004"/>
    <n v="0.44318181818181818"/>
    <n v="0.11904761904761904"/>
    <n v="0"/>
    <n v="282270.33333333331"/>
    <n v="0.10600058336511926"/>
  </r>
  <r>
    <n v="1853"/>
    <s v="03e5d6ac-db4c-43de-b896-d20c77d8c56d"/>
    <x v="0"/>
    <x v="1"/>
    <x v="9"/>
    <s v="в ипотеке"/>
    <s v="консолидация кредитов"/>
    <n v="309594.52439999999"/>
    <n v="749"/>
    <n v="1025981"/>
    <n v="19151.62"/>
    <n v="13.1"/>
    <n v="35.265240640000002"/>
    <n v="8"/>
    <n v="144267"/>
    <n v="431640"/>
    <n v="0"/>
    <n v="-1.2411115481956205E-10"/>
    <n v="0.99733688415446076"/>
    <n v="0.40074137090909095"/>
    <n v="0.16666666666666666"/>
    <n v="0"/>
    <n v="85498.416666666672"/>
    <n v="0.22399970369821662"/>
  </r>
  <r>
    <n v="1151"/>
    <s v="2f5a2f24-52b0-4ff4-a6b6-12902fc04c19"/>
    <x v="0"/>
    <x v="1"/>
    <x v="0"/>
    <s v="в аренде"/>
    <s v="консолидация кредитов"/>
    <n v="287408"/>
    <n v="747"/>
    <n v="754566"/>
    <n v="5652.88"/>
    <n v="15.4"/>
    <n v="35.265240640000002"/>
    <n v="6"/>
    <n v="217493"/>
    <n v="431222"/>
    <n v="0"/>
    <n v="-0.12631411579274443"/>
    <n v="0.9946737683089214"/>
    <n v="0.40074137090909095"/>
    <n v="0.11904761904761904"/>
    <n v="0"/>
    <n v="62880.5"/>
    <n v="8.9898776250188855E-2"/>
  </r>
  <r>
    <n v="1699"/>
    <s v="0890811f-0a70-4caa-b8ca-adadcaa4a826"/>
    <x v="0"/>
    <x v="1"/>
    <x v="6"/>
    <s v="в ипотеке"/>
    <s v="консолидация кредитов"/>
    <n v="225280"/>
    <n v="743"/>
    <n v="778240"/>
    <n v="7717.61"/>
    <n v="24"/>
    <n v="15"/>
    <n v="9"/>
    <n v="253232"/>
    <n v="430584"/>
    <n v="0"/>
    <n v="-0.48002627172920331"/>
    <n v="0.98934753661784292"/>
    <n v="0.17045454545454544"/>
    <n v="0.19047619047619047"/>
    <n v="0"/>
    <n v="64853.333333333336"/>
    <n v="0.11900097656249999"/>
  </r>
  <r>
    <n v="523"/>
    <s v="80a8c004-596d-42b3-8356-f5ce225b11dc"/>
    <x v="0"/>
    <x v="1"/>
    <x v="7"/>
    <s v="в аренде"/>
    <s v="консолидация кредитов"/>
    <n v="387288"/>
    <n v="740"/>
    <n v="2489988"/>
    <n v="18571.169999999998"/>
    <n v="11.1"/>
    <n v="35.265240640000002"/>
    <n v="12"/>
    <n v="167276"/>
    <n v="430408"/>
    <n v="0"/>
    <n v="0.44233078079065619"/>
    <n v="0.98535286284953394"/>
    <n v="0.40074137090909095"/>
    <n v="0.26190476190476192"/>
    <n v="0"/>
    <n v="207499"/>
    <n v="8.950004578335316E-2"/>
  </r>
  <r>
    <n v="1844"/>
    <s v="61279878-b0af-43e9-8d2a-12677c7af7f6"/>
    <x v="0"/>
    <x v="1"/>
    <x v="1"/>
    <s v="в собственности"/>
    <s v="консолидация кредитов"/>
    <n v="133100"/>
    <n v="0"/>
    <n v="1168044"/>
    <n v="7548.89"/>
    <n v="28.1"/>
    <n v="35.265240640000002"/>
    <n v="7"/>
    <n v="195111"/>
    <n v="430298"/>
    <n v="0"/>
    <n v="-1.0048329053601393"/>
    <n v="0"/>
    <n v="0.40074137090909095"/>
    <n v="0.14285714285714285"/>
    <n v="0"/>
    <n v="97337"/>
    <n v="7.7554167479992192E-2"/>
  </r>
  <r>
    <n v="1023"/>
    <s v="d3945e29-69fd-4c57-8b07-e5152ebc33f0"/>
    <x v="0"/>
    <x v="1"/>
    <x v="1"/>
    <s v="в ипотеке"/>
    <s v="ремонт жилья"/>
    <n v="98252"/>
    <n v="725"/>
    <n v="1602897"/>
    <n v="34328.629999999997"/>
    <n v="34.299999999999997"/>
    <n v="35.265240640000002"/>
    <n v="15"/>
    <n v="335825"/>
    <n v="430144"/>
    <n v="0"/>
    <n v="-1.2032323582650084"/>
    <n v="0.96537949400798939"/>
    <n v="0.40074137090909095"/>
    <n v="0.33333333333333331"/>
    <n v="0"/>
    <n v="133574.75"/>
    <n v="0.2569993954695779"/>
  </r>
  <r>
    <n v="1820"/>
    <s v="f74c8300-4f96-4bac-8ad7-2d5bede99073"/>
    <x v="1"/>
    <x v="1"/>
    <x v="5"/>
    <s v="в аренде"/>
    <s v="консолидация кредитов"/>
    <n v="301576"/>
    <n v="727"/>
    <n v="525160"/>
    <n v="11816.29"/>
    <n v="18"/>
    <n v="18"/>
    <n v="17"/>
    <n v="178600"/>
    <n v="429924"/>
    <n v="0"/>
    <n v="-4.5651711960209188E-2"/>
    <n v="0.96804260985352863"/>
    <n v="0.20454545454545456"/>
    <n v="0.38095238095238093"/>
    <n v="0"/>
    <n v="43763.333333333336"/>
    <n v="0.27000434153400871"/>
  </r>
  <r>
    <n v="1568"/>
    <s v="3a7885b6-fc27-4105-a779-97bcf7d1dca7"/>
    <x v="0"/>
    <x v="1"/>
    <x v="1"/>
    <s v="в аренде"/>
    <s v="ремонт жилья"/>
    <n v="309594.52439999999"/>
    <n v="743"/>
    <n v="920626"/>
    <n v="10126.81"/>
    <n v="30.2"/>
    <n v="35.265240640000002"/>
    <n v="5"/>
    <n v="197752"/>
    <n v="429616"/>
    <n v="0"/>
    <n v="-1.2411115481956205E-10"/>
    <n v="0.98934753661784292"/>
    <n v="0.40074137090909095"/>
    <n v="9.5238095238095233E-2"/>
    <n v="0"/>
    <n v="76718.833333333328"/>
    <n v="0.13199900936971148"/>
  </r>
  <r>
    <n v="204"/>
    <s v="77c02bb2-717c-459d-8828-7cfce08b4a0b"/>
    <x v="0"/>
    <x v="1"/>
    <x v="2"/>
    <s v="в аренде"/>
    <s v="консолидация кредитов"/>
    <n v="268268"/>
    <n v="0"/>
    <n v="1168044"/>
    <n v="6896.62"/>
    <n v="16"/>
    <n v="35.265240640000002"/>
    <n v="10"/>
    <n v="207860"/>
    <n v="429044"/>
    <n v="0"/>
    <n v="-0.23528351227458552"/>
    <n v="0"/>
    <n v="0.40074137090909095"/>
    <n v="0.21428571428571427"/>
    <n v="0"/>
    <n v="97337"/>
    <n v="7.0853015811048206E-2"/>
  </r>
  <r>
    <n v="16"/>
    <s v="3ec886e7-f15d-4c35-83d0-bdec4817ae4b"/>
    <x v="0"/>
    <x v="0"/>
    <x v="4"/>
    <s v="в собственности"/>
    <s v="консолидация кредитов"/>
    <n v="449020"/>
    <n v="0"/>
    <n v="1168044"/>
    <n v="18904.810000000001"/>
    <n v="19.399999999999999"/>
    <n v="35.265240640000002"/>
    <n v="8"/>
    <n v="334533"/>
    <n v="428956"/>
    <n v="0"/>
    <n v="0.79378839748955976"/>
    <n v="0"/>
    <n v="0.40074137090909095"/>
    <n v="0.16666666666666666"/>
    <n v="0"/>
    <n v="97337"/>
    <n v="0.19422018348623854"/>
  </r>
  <r>
    <n v="973"/>
    <s v="baf401b2-5313-499c-9ae3-1d9369c37d3a"/>
    <x v="0"/>
    <x v="1"/>
    <x v="4"/>
    <s v="в аренде"/>
    <s v="консолидация кредитов"/>
    <n v="143506"/>
    <n v="739"/>
    <n v="896135"/>
    <n v="13740.61"/>
    <n v="10.4"/>
    <n v="35.265240640000002"/>
    <n v="12"/>
    <n v="148504"/>
    <n v="428824"/>
    <n v="1"/>
    <n v="-0.94558862428437962"/>
    <n v="0.98402130492676432"/>
    <n v="0.40074137090909095"/>
    <n v="0.26190476190476192"/>
    <n v="0.14285714285714285"/>
    <n v="74677.916666666672"/>
    <n v="0.18399830382699034"/>
  </r>
  <r>
    <n v="957"/>
    <s v="f3cc5aae-b846-4e4d-a5c7-8bf25cf95c14"/>
    <x v="0"/>
    <x v="0"/>
    <x v="8"/>
    <s v="в ипотеке"/>
    <s v="консолидация кредитов"/>
    <n v="356290"/>
    <n v="0"/>
    <n v="1168044"/>
    <n v="26534.639999999999"/>
    <n v="13.8"/>
    <n v="35.265240640000002"/>
    <n v="9"/>
    <n v="334343"/>
    <n v="427768"/>
    <n v="0"/>
    <n v="0.26585045936201929"/>
    <n v="0"/>
    <n v="0.40074137090909095"/>
    <n v="0.19047619047619047"/>
    <n v="0"/>
    <n v="97337"/>
    <n v="0.27260589498340815"/>
  </r>
  <r>
    <n v="547"/>
    <s v="5c206a5b-58d6-45b2-b04c-afc78fd2e626"/>
    <x v="0"/>
    <x v="1"/>
    <x v="10"/>
    <s v="в собственности"/>
    <s v="консолидация кредитов"/>
    <n v="327866"/>
    <n v="726"/>
    <n v="1359108"/>
    <n v="5742.18"/>
    <n v="16.2"/>
    <n v="70"/>
    <n v="11"/>
    <n v="164958"/>
    <n v="427306"/>
    <n v="0"/>
    <n v="0.10402464297749209"/>
    <n v="0.96671105193075901"/>
    <n v="0.79545454545454541"/>
    <n v="0.23809523809523808"/>
    <n v="0"/>
    <n v="113259"/>
    <n v="5.069954705586311E-2"/>
  </r>
  <r>
    <n v="1636"/>
    <s v="96b7db3f-0a45-4260-b8e2-6d04c2f7c0b0"/>
    <x v="0"/>
    <x v="1"/>
    <x v="1"/>
    <s v="в аренде"/>
    <s v="консолидация кредитов"/>
    <n v="348612"/>
    <n v="719"/>
    <n v="715065"/>
    <n v="19247.189999999999"/>
    <n v="12"/>
    <n v="35.265240640000002"/>
    <n v="12"/>
    <n v="288895"/>
    <n v="427218"/>
    <n v="0"/>
    <n v="0.2221374485894187"/>
    <n v="0.95739014647137155"/>
    <n v="0.40074137090909095"/>
    <n v="0.26190476190476192"/>
    <n v="0"/>
    <n v="59588.75"/>
    <n v="0.32300039856516538"/>
  </r>
  <r>
    <n v="5"/>
    <s v="81536ad9-5ccf-4eb8-befb-47a4d608658e"/>
    <x v="0"/>
    <x v="1"/>
    <x v="2"/>
    <s v="в аренде"/>
    <s v="консолидация кредитов"/>
    <n v="176220"/>
    <n v="0"/>
    <n v="1168044"/>
    <n v="20639.7"/>
    <n v="6.1"/>
    <n v="35.265240640000002"/>
    <n v="15"/>
    <n v="253460"/>
    <n v="427174"/>
    <n v="0"/>
    <n v="-0.75933863282633629"/>
    <n v="0"/>
    <n v="0.40074137090909095"/>
    <n v="0.33333333333333331"/>
    <n v="0"/>
    <n v="97337"/>
    <n v="0.21204372438024596"/>
  </r>
  <r>
    <n v="978"/>
    <s v="ab10e32a-c187-4313-b9cd-9e210ce93bdf"/>
    <x v="0"/>
    <x v="1"/>
    <x v="6"/>
    <s v="в собственности"/>
    <s v="иное"/>
    <n v="153780"/>
    <n v="710"/>
    <n v="531202"/>
    <n v="8632.08"/>
    <n v="18"/>
    <n v="35.265240640000002"/>
    <n v="8"/>
    <n v="72637"/>
    <n v="426976"/>
    <n v="0"/>
    <n v="-0.88709585628780507"/>
    <n v="0.94540612516644473"/>
    <n v="0.40074137090909095"/>
    <n v="0.16666666666666666"/>
    <n v="0"/>
    <n v="44266.833333333336"/>
    <n v="0.19500107303812861"/>
  </r>
  <r>
    <n v="267"/>
    <s v="1b7eb5be-f3f3-4fbd-9ea9-f5375ded5692"/>
    <x v="0"/>
    <x v="1"/>
    <x v="8"/>
    <s v="в собственности"/>
    <s v="консолидация кредитов"/>
    <n v="157146"/>
    <n v="735"/>
    <n v="678566"/>
    <n v="12610.11"/>
    <n v="16.5"/>
    <n v="35.265240640000002"/>
    <n v="7"/>
    <n v="116793"/>
    <n v="426602"/>
    <n v="0"/>
    <n v="-0.86793227276858476"/>
    <n v="0.97869507323568572"/>
    <n v="0.40074137090909095"/>
    <n v="0.14285714285714285"/>
    <n v="0"/>
    <n v="56547.166666666664"/>
    <n v="0.22300162401299212"/>
  </r>
  <r>
    <n v="191"/>
    <s v="bcb7a8a2-54b9-4d2e-907d-066d7db1332f"/>
    <x v="1"/>
    <x v="0"/>
    <x v="4"/>
    <s v="в ипотеке"/>
    <s v="консолидация кредитов"/>
    <n v="433136"/>
    <n v="682"/>
    <n v="1178323"/>
    <n v="17969.439999999999"/>
    <n v="17.600000000000001"/>
    <n v="35.265240640000002"/>
    <n v="16"/>
    <n v="355471"/>
    <n v="426514"/>
    <n v="0"/>
    <n v="0.70335632362761813"/>
    <n v="0.90812250332889477"/>
    <n v="0.40074137090909095"/>
    <n v="0.35714285714285715"/>
    <n v="0"/>
    <n v="98193.583333333328"/>
    <n v="0.18300014512149895"/>
  </r>
  <r>
    <n v="850"/>
    <s v="b071d166-881d-4f1e-bffc-c5b29ed2622d"/>
    <x v="0"/>
    <x v="1"/>
    <x v="0"/>
    <s v="в аренде"/>
    <s v="консолидация кредитов"/>
    <n v="177012"/>
    <n v="0"/>
    <n v="1168044"/>
    <n v="16275.59"/>
    <n v="9.3000000000000007"/>
    <n v="35.265240640000002"/>
    <n v="11"/>
    <n v="155515"/>
    <n v="424688"/>
    <n v="0"/>
    <n v="-0.75482955435122556"/>
    <n v="0"/>
    <n v="0.40074137090909095"/>
    <n v="0.23809523809523808"/>
    <n v="0"/>
    <n v="97337"/>
    <n v="0.16720866679679874"/>
  </r>
  <r>
    <n v="1727"/>
    <s v="27d3f54e-a464-47de-add1-24b30505915a"/>
    <x v="0"/>
    <x v="1"/>
    <x v="8"/>
    <s v="в ипотеке"/>
    <s v="ремонт жилья"/>
    <n v="757768"/>
    <n v="716"/>
    <n v="2393335"/>
    <n v="21739.42"/>
    <n v="22.2"/>
    <n v="13"/>
    <n v="9"/>
    <n v="205333"/>
    <n v="424578"/>
    <n v="0"/>
    <n v="2.5515774897035346"/>
    <n v="0.95339547270306257"/>
    <n v="0.14772727272727273"/>
    <n v="0.19047619047619047"/>
    <n v="0"/>
    <n v="199444.58333333334"/>
    <n v="0.10899980153217162"/>
  </r>
  <r>
    <n v="526"/>
    <s v="a901260f-8913-4d1d-b9ae-6ac4c8ae2fda"/>
    <x v="0"/>
    <x v="1"/>
    <x v="10"/>
    <s v="в ипотеке"/>
    <s v="консолидация кредитов"/>
    <n v="107844"/>
    <n v="0"/>
    <n v="1168044"/>
    <n v="16912.47"/>
    <n v="31.3"/>
    <n v="35.265240640000002"/>
    <n v="12"/>
    <n v="239058"/>
    <n v="423896"/>
    <n v="0"/>
    <n v="-1.1486224078442238"/>
    <n v="0"/>
    <n v="0.40074137090909095"/>
    <n v="0.26190476190476192"/>
    <n v="0"/>
    <n v="97337"/>
    <n v="0.17375170798360337"/>
  </r>
  <r>
    <n v="1492"/>
    <s v="9dbdf5a9-9d16-4ade-8c3f-2c0b86636f60"/>
    <x v="0"/>
    <x v="1"/>
    <x v="1"/>
    <s v="в ипотеке"/>
    <s v="консолидация кредитов"/>
    <n v="301620"/>
    <n v="724"/>
    <n v="1068674"/>
    <n v="23867.23"/>
    <n v="27.1"/>
    <n v="19"/>
    <n v="18"/>
    <n v="170962"/>
    <n v="423896"/>
    <n v="1"/>
    <n v="-4.5401207600480817E-2"/>
    <n v="0.96404793608521966"/>
    <n v="0.21590909090909091"/>
    <n v="0.40476190476190477"/>
    <n v="0.14285714285714285"/>
    <n v="89056.166666666672"/>
    <n v="0.26800199125271129"/>
  </r>
  <r>
    <n v="837"/>
    <s v="92791a70-fc97-460a-aa6e-ad0b0a0e68d3"/>
    <x v="0"/>
    <x v="1"/>
    <x v="1"/>
    <s v="в ипотеке"/>
    <s v="консолидация кредитов"/>
    <n v="280852"/>
    <n v="738"/>
    <n v="1585930"/>
    <n v="28811.03"/>
    <n v="22.6"/>
    <n v="35.265240640000002"/>
    <n v="13"/>
    <n v="276602"/>
    <n v="423654"/>
    <n v="0"/>
    <n v="-0.16363926539227161"/>
    <n v="0.9826897470039947"/>
    <n v="0.40074137090909095"/>
    <n v="0.2857142857142857"/>
    <n v="0"/>
    <n v="132160.83333333334"/>
    <n v="0.21799976039295552"/>
  </r>
  <r>
    <n v="1123"/>
    <s v="a09815c0-ed19-4e3f-89a4-c6c69437a869"/>
    <x v="0"/>
    <x v="1"/>
    <x v="1"/>
    <s v="в аренде"/>
    <s v="консолидация кредитов"/>
    <n v="65516"/>
    <n v="716"/>
    <n v="1131564"/>
    <n v="15936.25"/>
    <n v="21.3"/>
    <n v="21"/>
    <n v="6"/>
    <n v="322715"/>
    <n v="423654"/>
    <n v="0"/>
    <n v="-1.389607601902916"/>
    <n v="0.95339547270306257"/>
    <n v="0.23863636363636365"/>
    <n v="0.11904761904761904"/>
    <n v="0"/>
    <n v="94297"/>
    <n v="0.16900060447310095"/>
  </r>
  <r>
    <n v="1171"/>
    <s v="1a28f176-5918-494d-9e61-ddbac7c3e678"/>
    <x v="1"/>
    <x v="1"/>
    <x v="5"/>
    <s v="в аренде"/>
    <s v="иное"/>
    <n v="107316"/>
    <n v="0"/>
    <n v="1168044"/>
    <n v="4077.97"/>
    <n v="40.1"/>
    <n v="29"/>
    <n v="8"/>
    <n v="119472"/>
    <n v="423016"/>
    <n v="0"/>
    <n v="-1.1516284601609641"/>
    <n v="0"/>
    <n v="0.32954545454545453"/>
    <n v="0.16666666666666666"/>
    <n v="0"/>
    <n v="97337"/>
    <n v="4.1895373804411475E-2"/>
  </r>
  <r>
    <n v="1142"/>
    <s v="a28b8613-1a56-4488-b144-17a0b398d0a0"/>
    <x v="0"/>
    <x v="0"/>
    <x v="9"/>
    <s v="в аренде"/>
    <s v="консолидация кредитов"/>
    <n v="212454"/>
    <n v="708"/>
    <n v="1146042"/>
    <n v="18403.400000000001"/>
    <n v="15.6"/>
    <n v="35.265240640000002"/>
    <n v="9"/>
    <n v="345876"/>
    <n v="422906"/>
    <n v="0"/>
    <n v="-0.5530482925900233"/>
    <n v="0.94274300932090549"/>
    <n v="0.40074137090909095"/>
    <n v="0.19047619047619047"/>
    <n v="0"/>
    <n v="95503.5"/>
    <n v="0.19269869690639613"/>
  </r>
  <r>
    <n v="1956"/>
    <s v="729aa0fe-b5c2-4c9e-9bda-bbbae9a472d9"/>
    <x v="0"/>
    <x v="0"/>
    <x v="5"/>
    <s v="в аренде"/>
    <s v="консолидация кредитов"/>
    <n v="245234"/>
    <n v="705"/>
    <n v="813162"/>
    <n v="18567.18"/>
    <n v="7.4"/>
    <n v="35.265240640000002"/>
    <n v="9"/>
    <n v="206568"/>
    <n v="422576"/>
    <n v="0"/>
    <n v="-0.36642254459238738"/>
    <n v="0.93874833555259651"/>
    <n v="0.40074137090909095"/>
    <n v="0.19047619047619047"/>
    <n v="0"/>
    <n v="67763.5"/>
    <n v="0.27399971961306602"/>
  </r>
  <r>
    <n v="278"/>
    <s v="db57077a-6e13-425c-8e82-211c0e2f79c0"/>
    <x v="0"/>
    <x v="0"/>
    <x v="1"/>
    <s v="в ипотеке"/>
    <s v="консолидация кредитов"/>
    <n v="266926"/>
    <n v="725"/>
    <n v="1632936"/>
    <n v="20139.43"/>
    <n v="16"/>
    <n v="35.265240640000002"/>
    <n v="10"/>
    <n v="119586"/>
    <n v="422180"/>
    <n v="1"/>
    <n v="-0.24292389524630081"/>
    <n v="0.96537949400798939"/>
    <n v="0.40074137090909095"/>
    <n v="0.21428571428571427"/>
    <n v="0.14285714285714285"/>
    <n v="136078"/>
    <n v="0.14799916224518292"/>
  </r>
  <r>
    <n v="560"/>
    <s v="86eb3c64-6f2e-4d6d-a60b-38b395d17aaa"/>
    <x v="0"/>
    <x v="1"/>
    <x v="10"/>
    <s v="в ипотеке"/>
    <s v="консолидация кредитов"/>
    <n v="351714"/>
    <n v="740"/>
    <n v="837235"/>
    <n v="6551.2"/>
    <n v="9.5"/>
    <n v="35.265240640000002"/>
    <n v="6"/>
    <n v="204858"/>
    <n v="422092"/>
    <n v="0"/>
    <n v="0.23979800595026879"/>
    <n v="0.98535286284953394"/>
    <n v="0.40074137090909095"/>
    <n v="0.11904761904761904"/>
    <n v="0"/>
    <n v="69769.583333333328"/>
    <n v="9.38976511970952E-2"/>
  </r>
  <r>
    <n v="1625"/>
    <s v="cdfd06c1-7e1f-4ffa-b89e-25e3e41f4753"/>
    <x v="0"/>
    <x v="0"/>
    <x v="2"/>
    <s v="в аренде"/>
    <s v="консолидация кредитов"/>
    <n v="309594.52439999999"/>
    <n v="680"/>
    <n v="870561"/>
    <n v="6993.52"/>
    <n v="30.5"/>
    <n v="35.265240640000002"/>
    <n v="10"/>
    <n v="261934"/>
    <n v="421256"/>
    <n v="2"/>
    <n v="-1.2411115481956205E-10"/>
    <n v="0.90545938748335553"/>
    <n v="0.40074137090909095"/>
    <n v="0.21428571428571427"/>
    <n v="0.2857142857142857"/>
    <n v="72546.75"/>
    <n v="9.6400183330059591E-2"/>
  </r>
  <r>
    <n v="630"/>
    <s v="af703c39-6da8-4954-afb0-2641eefba352"/>
    <x v="0"/>
    <x v="1"/>
    <x v="5"/>
    <s v="в ипотеке"/>
    <s v="расходы на обучение"/>
    <n v="335082"/>
    <n v="721"/>
    <n v="1215430"/>
    <n v="13065.92"/>
    <n v="25.5"/>
    <n v="35.265240640000002"/>
    <n v="13"/>
    <n v="351728"/>
    <n v="419848"/>
    <n v="0"/>
    <n v="0.14510735797294483"/>
    <n v="0.96005326231691079"/>
    <n v="0.40074137090909095"/>
    <n v="0.2857142857142857"/>
    <n v="0"/>
    <n v="101285.83333333333"/>
    <n v="0.12900046896982961"/>
  </r>
  <r>
    <n v="666"/>
    <s v="f9c24e89-c8b5-450f-8841-fcd9cec7fa74"/>
    <x v="0"/>
    <x v="1"/>
    <x v="0"/>
    <s v="в ипотеке"/>
    <s v="консолидация кредитов"/>
    <n v="393382"/>
    <n v="0"/>
    <n v="1168044"/>
    <n v="19400.330000000002"/>
    <n v="11"/>
    <n v="4"/>
    <n v="23"/>
    <n v="112765"/>
    <n v="419848"/>
    <n v="0"/>
    <n v="0.47702563461303549"/>
    <n v="0"/>
    <n v="4.5454545454545456E-2"/>
    <n v="0.52380952380952384"/>
    <n v="0"/>
    <n v="97337"/>
    <n v="0.19931095061487411"/>
  </r>
  <r>
    <n v="1372"/>
    <s v="0b0d12e0-e593-49fc-9dd2-e01b8a3ae121"/>
    <x v="0"/>
    <x v="1"/>
    <x v="1"/>
    <s v="в аренде"/>
    <s v="консолидация кредитов"/>
    <n v="216194"/>
    <n v="731"/>
    <n v="552539"/>
    <n v="10820.69"/>
    <n v="15.4"/>
    <n v="9"/>
    <n v="11"/>
    <n v="251674"/>
    <n v="419298"/>
    <n v="0"/>
    <n v="-0.53175542201311177"/>
    <n v="0.97336884154460723"/>
    <n v="0.10227272727272728"/>
    <n v="0.23809523809523808"/>
    <n v="0"/>
    <n v="46044.916666666664"/>
    <n v="0.23500292287060282"/>
  </r>
  <r>
    <n v="125"/>
    <s v="e1ca1603-7399-4ae4-a7cd-d5015c433e8c"/>
    <x v="0"/>
    <x v="1"/>
    <x v="10"/>
    <s v="в аренде"/>
    <s v="консолидация кредитов"/>
    <n v="338030"/>
    <n v="0"/>
    <n v="1168044"/>
    <n v="12144.04"/>
    <n v="16.899999999999999"/>
    <n v="35.265240640000002"/>
    <n v="9"/>
    <n v="321157"/>
    <n v="419232"/>
    <n v="0"/>
    <n v="0.16189115007474564"/>
    <n v="0"/>
    <n v="0.40074137090909095"/>
    <n v="0.19047619047619047"/>
    <n v="0"/>
    <n v="97337"/>
    <n v="0.12476283427679095"/>
  </r>
  <r>
    <n v="866"/>
    <s v="b913a3cc-c4c4-461f-8553-7ac2a88410e0"/>
    <x v="1"/>
    <x v="0"/>
    <x v="1"/>
    <s v="в собственности"/>
    <s v="консолидация кредитов"/>
    <n v="467632"/>
    <n v="726"/>
    <n v="1148436"/>
    <n v="9857.39"/>
    <n v="16.399999999999999"/>
    <n v="5"/>
    <n v="8"/>
    <n v="226708"/>
    <n v="418660"/>
    <n v="0"/>
    <n v="0.89975174165466043"/>
    <n v="0.96671105193075901"/>
    <n v="5.6818181818181816E-2"/>
    <n v="0.16666666666666666"/>
    <n v="0"/>
    <n v="95703"/>
    <n v="0.10299980146912845"/>
  </r>
  <r>
    <n v="1054"/>
    <s v="04777e65-e65b-4149-85fc-89556cbcec96"/>
    <x v="0"/>
    <x v="0"/>
    <x v="9"/>
    <s v="в ипотеке"/>
    <s v="консолидация кредитов"/>
    <n v="225830"/>
    <n v="681"/>
    <n v="2250360"/>
    <n v="27004.32"/>
    <n v="18.899999999999999"/>
    <n v="35.265240640000002"/>
    <n v="11"/>
    <n v="270579"/>
    <n v="417758"/>
    <n v="1"/>
    <n v="-0.47689496723259872"/>
    <n v="0.90679094540612515"/>
    <n v="0.40074137090909095"/>
    <n v="0.23809523809523808"/>
    <n v="0.14285714285714285"/>
    <n v="187530"/>
    <n v="0.14399999999999999"/>
  </r>
  <r>
    <n v="1290"/>
    <s v="608611e2-f6f2-4516-9b0f-80cee808c05d"/>
    <x v="0"/>
    <x v="0"/>
    <x v="4"/>
    <s v="в ипотеке"/>
    <s v="консолидация кредитов"/>
    <n v="538450"/>
    <n v="692"/>
    <n v="1860100"/>
    <n v="34876.97"/>
    <n v="14.4"/>
    <n v="28"/>
    <n v="13"/>
    <n v="222490"/>
    <n v="417538"/>
    <n v="0"/>
    <n v="1.3029385086374725"/>
    <n v="0.92143808255659121"/>
    <n v="0.31818181818181818"/>
    <n v="0.2857142857142857"/>
    <n v="0"/>
    <n v="155008.33333333334"/>
    <n v="0.22500061287027578"/>
  </r>
  <r>
    <n v="1456"/>
    <s v="2ce109a0-456f-49fe-a40f-78fdf4ac5223"/>
    <x v="0"/>
    <x v="1"/>
    <x v="8"/>
    <s v="в ипотеке"/>
    <s v="ремонт жилья"/>
    <n v="75394"/>
    <n v="0"/>
    <n v="1168044"/>
    <n v="17317.55"/>
    <n v="25.6"/>
    <n v="27"/>
    <n v="9"/>
    <n v="205409"/>
    <n v="417274"/>
    <n v="0"/>
    <n v="-1.3333693731438969"/>
    <n v="0"/>
    <n v="0.30681818181818182"/>
    <n v="0.19047619047619047"/>
    <n v="0"/>
    <n v="97337"/>
    <n v="0.17791333203201248"/>
  </r>
  <r>
    <n v="1817"/>
    <s v="599d3182-737c-4f11-864d-97f4da680f8c"/>
    <x v="1"/>
    <x v="0"/>
    <x v="8"/>
    <s v="в ипотеке"/>
    <s v="консолидация кредитов"/>
    <n v="421806"/>
    <n v="0"/>
    <n v="1168044"/>
    <n v="10571.41"/>
    <n v="16.5"/>
    <n v="57"/>
    <n v="13"/>
    <n v="229387"/>
    <n v="416966"/>
    <n v="0"/>
    <n v="0.63885145099756269"/>
    <n v="0"/>
    <n v="0.64772727272727271"/>
    <n v="0.2857142857142857"/>
    <n v="0"/>
    <n v="97337"/>
    <n v="0.10860628537966036"/>
  </r>
  <r>
    <n v="1"/>
    <s v="981165ec-3274-42f5-a3b4-d104041a9ca9"/>
    <x v="0"/>
    <x v="1"/>
    <x v="10"/>
    <s v="в ипотеке"/>
    <s v="ремонт жилья"/>
    <n v="445412"/>
    <n v="709"/>
    <n v="1167493"/>
    <n v="5214.74"/>
    <n v="17.2"/>
    <n v="35.265240640000002"/>
    <n v="6"/>
    <n v="228190"/>
    <n v="416746"/>
    <n v="1"/>
    <n v="0.77324703999183342"/>
    <n v="0.94407456724367511"/>
    <n v="0.40074137090909095"/>
    <n v="0.11904761904761904"/>
    <n v="0.14285714285714285"/>
    <n v="97291.083333333328"/>
    <n v="5.3599362051849564E-2"/>
  </r>
  <r>
    <n v="828"/>
    <s v="64c6b07b-c8d7-47a2-bd19-4a698e6d0863"/>
    <x v="0"/>
    <x v="1"/>
    <x v="1"/>
    <s v="в ипотеке"/>
    <s v="консолидация кредитов"/>
    <n v="360052"/>
    <n v="719"/>
    <n v="721582"/>
    <n v="13529.71"/>
    <n v="17"/>
    <n v="35.265240640000002"/>
    <n v="6"/>
    <n v="354730"/>
    <n v="416130"/>
    <n v="0"/>
    <n v="0.28726858211879497"/>
    <n v="0.95739014647137155"/>
    <n v="0.40074137090909095"/>
    <n v="0.11904761904761904"/>
    <n v="0"/>
    <n v="60131.833333333336"/>
    <n v="0.22500078993101266"/>
  </r>
  <r>
    <n v="1098"/>
    <s v="6d9b754e-086a-4176-924b-25306bac63ce"/>
    <x v="0"/>
    <x v="0"/>
    <x v="1"/>
    <s v="в ипотеке"/>
    <s v="консолидация кредитов"/>
    <n v="420684"/>
    <n v="0"/>
    <n v="1168044"/>
    <n v="9391.89"/>
    <n v="17.5"/>
    <n v="35.265240640000002"/>
    <n v="7"/>
    <n v="161310"/>
    <n v="415976"/>
    <n v="1"/>
    <n v="0.63246358982448925"/>
    <n v="0"/>
    <n v="0.40074137090909095"/>
    <n v="0.14285714285714285"/>
    <n v="0.14285714285714285"/>
    <n v="97337"/>
    <n v="9.6488385711497163E-2"/>
  </r>
  <r>
    <n v="1179"/>
    <s v="0b63b0da-eb15-489c-9a9e-2d6ca233207c"/>
    <x v="0"/>
    <x v="0"/>
    <x v="1"/>
    <s v="в ипотеке"/>
    <s v="консолидация кредитов"/>
    <n v="393976"/>
    <n v="630"/>
    <n v="1455533"/>
    <n v="21347.83"/>
    <n v="21.5"/>
    <n v="32"/>
    <n v="14"/>
    <n v="282264"/>
    <n v="415800"/>
    <n v="0"/>
    <n v="0.48040744346936848"/>
    <n v="0.83888149134487355"/>
    <n v="0.36363636363636365"/>
    <n v="0.30952380952380953"/>
    <n v="0"/>
    <n v="121294.41666666667"/>
    <n v="0.17600010442909916"/>
  </r>
  <r>
    <n v="1979"/>
    <s v="0aadfb40-c02e-4a7c-a5f2-a2890ce0d796"/>
    <x v="1"/>
    <x v="1"/>
    <x v="10"/>
    <s v="в ипотеке"/>
    <s v="консолидация кредитов"/>
    <n v="179806"/>
    <n v="0"/>
    <n v="1168044"/>
    <n v="15034.89"/>
    <n v="34"/>
    <n v="10"/>
    <n v="13"/>
    <n v="288667"/>
    <n v="415756"/>
    <n v="0"/>
    <n v="-0.73892252750847409"/>
    <n v="0"/>
    <n v="0.11363636363636363"/>
    <n v="0.2857142857142857"/>
    <n v="0"/>
    <n v="97337"/>
    <n v="0.15446222916260002"/>
  </r>
  <r>
    <n v="54"/>
    <s v="41988ec9-7368-42a3-bc2f-9882fb3779f6"/>
    <x v="1"/>
    <x v="0"/>
    <x v="1"/>
    <s v="в ипотеке"/>
    <s v="иное"/>
    <n v="374176"/>
    <n v="652"/>
    <n v="1239199"/>
    <n v="5163.25"/>
    <n v="36.6"/>
    <n v="42"/>
    <n v="10"/>
    <n v="126350"/>
    <n v="415602"/>
    <n v="0"/>
    <n v="0.36768048159160183"/>
    <n v="0.86817576564580556"/>
    <n v="0.47727272727272729"/>
    <n v="0.21428571428571427"/>
    <n v="0"/>
    <n v="103266.58333333333"/>
    <n v="4.999923337575321E-2"/>
  </r>
  <r>
    <n v="575"/>
    <s v="7b0966e6-231c-4443-a446-cd378b51ddd6"/>
    <x v="0"/>
    <x v="1"/>
    <x v="6"/>
    <s v="в ипотеке"/>
    <s v="консолидация кредитов"/>
    <n v="177584"/>
    <n v="0"/>
    <n v="1168044"/>
    <n v="19631.18"/>
    <n v="14.5"/>
    <n v="35.265240640000002"/>
    <n v="12"/>
    <n v="270104"/>
    <n v="415316"/>
    <n v="1"/>
    <n v="-0.75157299767475683"/>
    <n v="0"/>
    <n v="0.40074137090909095"/>
    <n v="0.26190476190476192"/>
    <n v="0.14285714285714285"/>
    <n v="97337"/>
    <n v="0.20168260784696468"/>
  </r>
  <r>
    <n v="275"/>
    <s v="df9f570e-c620-4065-a045-1fdb1441d8ca"/>
    <x v="0"/>
    <x v="1"/>
    <x v="6"/>
    <s v="в аренде"/>
    <s v="консолидация кредитов"/>
    <n v="325622"/>
    <n v="0"/>
    <n v="1168044"/>
    <n v="8831.01"/>
    <n v="15.2"/>
    <n v="48"/>
    <n v="25"/>
    <n v="144172"/>
    <n v="415250"/>
    <n v="0"/>
    <n v="9.1248920631345196E-2"/>
    <n v="0"/>
    <n v="0.54545454545454541"/>
    <n v="0.5714285714285714"/>
    <n v="0"/>
    <n v="97337"/>
    <n v="9.0726137029084525E-2"/>
  </r>
  <r>
    <n v="1508"/>
    <s v="265c20dd-90b0-4fd3-8429-1dd4bf918af3"/>
    <x v="1"/>
    <x v="0"/>
    <x v="1"/>
    <s v="в ипотеке"/>
    <s v="консолидация кредитов"/>
    <n v="475332"/>
    <n v="667"/>
    <n v="988969"/>
    <n v="11702.86"/>
    <n v="15.3"/>
    <n v="35.265240640000002"/>
    <n v="12"/>
    <n v="206207"/>
    <n v="414546"/>
    <n v="1"/>
    <n v="0.94359000460712528"/>
    <n v="0.88814913448735022"/>
    <n v="0.40074137090909095"/>
    <n v="0.26190476190476192"/>
    <n v="0.14285714285714285"/>
    <n v="82414.083333333328"/>
    <n v="0.14200073005321706"/>
  </r>
  <r>
    <n v="1766"/>
    <s v="728b75b1-a1eb-46e2-84e4-244ba0067b1f"/>
    <x v="0"/>
    <x v="0"/>
    <x v="1"/>
    <s v="в ипотеке"/>
    <s v="консолидация кредитов"/>
    <n v="379610"/>
    <n v="0"/>
    <n v="1168044"/>
    <n v="9838.58"/>
    <n v="20.9"/>
    <n v="35.265240640000002"/>
    <n v="9"/>
    <n v="130302"/>
    <n v="414480"/>
    <n v="0"/>
    <n v="0.39861777001805559"/>
    <n v="0"/>
    <n v="0.40074137090909095"/>
    <n v="0.19047619047619047"/>
    <n v="0"/>
    <n v="97337"/>
    <n v="0.1010774936560609"/>
  </r>
  <r>
    <n v="1447"/>
    <s v="0332dbab-ce6a-4eea-89f0-6b9e1c42eb21"/>
    <x v="0"/>
    <x v="1"/>
    <x v="1"/>
    <s v="в аренде"/>
    <s v="консолидация кредитов"/>
    <n v="309594.52439999999"/>
    <n v="730"/>
    <n v="857489"/>
    <n v="3265.53"/>
    <n v="20.100000000000001"/>
    <n v="22"/>
    <n v="15"/>
    <n v="112575"/>
    <n v="413798"/>
    <n v="0"/>
    <n v="-1.2411115481956205E-10"/>
    <n v="0.9720372836218375"/>
    <n v="0.25"/>
    <n v="0.33333333333333331"/>
    <n v="0"/>
    <n v="71457.416666666672"/>
    <n v="4.5698965234539451E-2"/>
  </r>
  <r>
    <n v="17"/>
    <s v="abb4c446-08ea-49ff-aeb8-5e1e9da673e7"/>
    <x v="1"/>
    <x v="0"/>
    <x v="9"/>
    <s v="в ипотеке"/>
    <s v="консолидация кредитов"/>
    <n v="653004"/>
    <n v="0"/>
    <n v="1168044"/>
    <n v="14537.09"/>
    <n v="20.5"/>
    <n v="35.265240640000002"/>
    <n v="9"/>
    <n v="302309"/>
    <n v="413754"/>
    <n v="0"/>
    <n v="1.9551266091902846"/>
    <n v="0"/>
    <n v="0.40074137090909095"/>
    <n v="0.19047619047619047"/>
    <n v="0"/>
    <n v="97337"/>
    <n v="0.14934803825883272"/>
  </r>
  <r>
    <n v="726"/>
    <s v="af81a0bf-85b7-42b3-9e6c-bb3f4c5f89a3"/>
    <x v="0"/>
    <x v="1"/>
    <x v="9"/>
    <s v="в собственности"/>
    <s v="консолидация кредитов"/>
    <n v="309594.52439999999"/>
    <n v="741"/>
    <n v="1028698"/>
    <n v="15258.9"/>
    <n v="9.5"/>
    <n v="35.265240640000002"/>
    <n v="17"/>
    <n v="157529"/>
    <n v="413600"/>
    <n v="0"/>
    <n v="-1.2411115481956205E-10"/>
    <n v="0.98668442077230356"/>
    <n v="0.40074137090909095"/>
    <n v="0.38095238095238093"/>
    <n v="0"/>
    <n v="85724.833333333328"/>
    <n v="0.17799859628384618"/>
  </r>
  <r>
    <n v="87"/>
    <s v="f55d6d2b-646b-4d5d-996e-85f78f6fe3f2"/>
    <x v="0"/>
    <x v="1"/>
    <x v="3"/>
    <s v="в аренде"/>
    <s v="консолидация кредитов"/>
    <n v="378334"/>
    <n v="714"/>
    <n v="2120514"/>
    <n v="35695.300000000003"/>
    <n v="17"/>
    <n v="24"/>
    <n v="12"/>
    <n v="75335"/>
    <n v="413402"/>
    <n v="0"/>
    <n v="0.39135314358593287"/>
    <n v="0.95073235685752333"/>
    <n v="0.27272727272727271"/>
    <n v="0.26190476190476192"/>
    <n v="0"/>
    <n v="176709.5"/>
    <n v="0.20199989247889899"/>
  </r>
  <r>
    <n v="1005"/>
    <s v="9f971c03-73fa-4cb0-9b71-95eb9a8ff399"/>
    <x v="0"/>
    <x v="1"/>
    <x v="6"/>
    <s v="в аренде"/>
    <s v="консолидация кредитов"/>
    <n v="172040"/>
    <n v="705"/>
    <n v="722988"/>
    <n v="5850.1"/>
    <n v="11.4"/>
    <n v="22"/>
    <n v="8"/>
    <n v="142082"/>
    <n v="413358"/>
    <n v="0"/>
    <n v="-0.78313654700053148"/>
    <n v="0.93874833555259651"/>
    <n v="0.25"/>
    <n v="0.16666666666666666"/>
    <n v="0"/>
    <n v="60249"/>
    <n v="9.7098707032481871E-2"/>
  </r>
  <r>
    <n v="1509"/>
    <s v="4d1a6974-a684-474e-b47c-b1496352e95c"/>
    <x v="0"/>
    <x v="1"/>
    <x v="1"/>
    <s v="в аренде"/>
    <s v="консолидация кредитов"/>
    <n v="384648"/>
    <n v="745"/>
    <n v="1267110"/>
    <n v="26081.3"/>
    <n v="20.9"/>
    <n v="35.265240640000002"/>
    <n v="13"/>
    <n v="344831"/>
    <n v="413314"/>
    <n v="0"/>
    <n v="0.427300519206954"/>
    <n v="0.99201065246338216"/>
    <n v="0.40074137090909095"/>
    <n v="0.2857142857142857"/>
    <n v="0"/>
    <n v="105592.5"/>
    <n v="0.24699955015744487"/>
  </r>
  <r>
    <n v="521"/>
    <s v="7da65710-9929-40ab-b7f5-d2c2db06adb0"/>
    <x v="0"/>
    <x v="1"/>
    <x v="9"/>
    <s v="в ипотеке"/>
    <s v="консолидация кредитов"/>
    <n v="263428"/>
    <n v="0"/>
    <n v="1168044"/>
    <n v="12417.64"/>
    <n v="13.6"/>
    <n v="52"/>
    <n v="5"/>
    <n v="82023"/>
    <n v="412984"/>
    <n v="1"/>
    <n v="-0.26283899184470627"/>
    <n v="0"/>
    <n v="0.59090909090909094"/>
    <n v="9.5238095238095233E-2"/>
    <n v="0.14285714285714285"/>
    <n v="97337"/>
    <n v="0.12757368729260199"/>
  </r>
  <r>
    <n v="1314"/>
    <s v="780f2dba-adea-4d8b-bbd1-c55e37882c40"/>
    <x v="0"/>
    <x v="1"/>
    <x v="3"/>
    <s v="в ипотеке"/>
    <s v="консолидация кредитов"/>
    <n v="309594.52439999999"/>
    <n v="739"/>
    <n v="1501912"/>
    <n v="27409.97"/>
    <n v="42.3"/>
    <n v="35.265240640000002"/>
    <n v="14"/>
    <n v="180405"/>
    <n v="412808"/>
    <n v="1"/>
    <n v="-1.2411115481956205E-10"/>
    <n v="0.98402130492676432"/>
    <n v="0.40074137090909095"/>
    <n v="0.30952380952380953"/>
    <n v="0.14285714285714285"/>
    <n v="125159.33333333333"/>
    <n v="0.2190006072259893"/>
  </r>
  <r>
    <n v="970"/>
    <s v="4c7abe43-507b-4d01-b3ec-b46b82ecbe04"/>
    <x v="0"/>
    <x v="1"/>
    <x v="0"/>
    <s v="в собственности"/>
    <s v="иное"/>
    <n v="306064"/>
    <n v="0"/>
    <n v="1168044"/>
    <n v="5997.92"/>
    <n v="18.3"/>
    <n v="35.265240640000002"/>
    <n v="3"/>
    <n v="321784"/>
    <n v="412610"/>
    <n v="0"/>
    <n v="-2.0100267267915417E-2"/>
    <n v="0"/>
    <n v="0.40074137090909095"/>
    <n v="4.7619047619047616E-2"/>
    <n v="0"/>
    <n v="97337"/>
    <n v="6.1620144446613311E-2"/>
  </r>
  <r>
    <n v="918"/>
    <s v="e53e2f03-33d4-4c4c-a387-578ebd999b1b"/>
    <x v="0"/>
    <x v="1"/>
    <x v="1"/>
    <s v="в ипотеке"/>
    <s v="консолидация кредитов"/>
    <n v="134288"/>
    <n v="723"/>
    <n v="869801"/>
    <n v="13336.86"/>
    <n v="15.4"/>
    <n v="35.265240640000002"/>
    <n v="10"/>
    <n v="267007"/>
    <n v="411664"/>
    <n v="0"/>
    <n v="-0.99806928764747316"/>
    <n v="0.96271637816245004"/>
    <n v="0.40074137090909095"/>
    <n v="0.21428571428571427"/>
    <n v="0"/>
    <n v="72483.416666666672"/>
    <n v="0.18399877673168921"/>
  </r>
  <r>
    <n v="1404"/>
    <s v="eb37cb89-507e-4390-8a9c-c9e1eafc2d50"/>
    <x v="0"/>
    <x v="0"/>
    <x v="4"/>
    <s v="в ипотеке"/>
    <s v="консолидация кредитов"/>
    <n v="309594.52439999999"/>
    <n v="711"/>
    <n v="1708974"/>
    <n v="23925.56"/>
    <n v="20.2"/>
    <n v="35.265240640000002"/>
    <n v="9"/>
    <n v="284430"/>
    <n v="411158"/>
    <n v="0"/>
    <n v="-1.2411115481956205E-10"/>
    <n v="0.94673768308921435"/>
    <n v="0.40074137090909095"/>
    <n v="0.19047619047619047"/>
    <n v="0"/>
    <n v="142414.5"/>
    <n v="0.16799946634647456"/>
  </r>
  <r>
    <n v="1139"/>
    <s v="41efe084-10a2-421e-887d-a7bdcac12bf7"/>
    <x v="0"/>
    <x v="0"/>
    <x v="7"/>
    <s v="в ипотеке"/>
    <s v="консолидация кредитов"/>
    <n v="306592"/>
    <n v="688"/>
    <n v="1032878"/>
    <n v="19022.23"/>
    <n v="15.6"/>
    <n v="78"/>
    <n v="12"/>
    <n v="179265"/>
    <n v="411048"/>
    <n v="1"/>
    <n v="-1.7094214951174972E-2"/>
    <n v="0.91611185086551261"/>
    <n v="0.88636363636363635"/>
    <n v="0.26190476190476192"/>
    <n v="0.14285714285714285"/>
    <n v="86073.166666666672"/>
    <n v="0.22100069901769617"/>
  </r>
  <r>
    <n v="146"/>
    <s v="0d165460-bb88-4a53-b8aa-cdbf8c3f342c"/>
    <x v="0"/>
    <x v="1"/>
    <x v="3"/>
    <s v="в ипотеке"/>
    <s v="консолидация кредитов"/>
    <n v="196460"/>
    <n v="746"/>
    <n v="942590"/>
    <n v="15160.1"/>
    <n v="23.5"/>
    <n v="35.265240640000002"/>
    <n v="8"/>
    <n v="138700"/>
    <n v="410718"/>
    <n v="0"/>
    <n v="-0.64410662735128588"/>
    <n v="0.99334221038615178"/>
    <n v="0.40074137090909095"/>
    <n v="0.16666666666666666"/>
    <n v="0"/>
    <n v="78549.166666666672"/>
    <n v="0.19300141100584559"/>
  </r>
  <r>
    <n v="1149"/>
    <s v="66cce1d8-9e3d-484f-8849-971ee395e4d4"/>
    <x v="0"/>
    <x v="0"/>
    <x v="0"/>
    <s v="в аренде"/>
    <s v="консолидация кредитов"/>
    <n v="288552"/>
    <n v="695"/>
    <n v="1015968"/>
    <n v="15493.36"/>
    <n v="6.2"/>
    <n v="35.265240640000002"/>
    <n v="11"/>
    <n v="191007"/>
    <n v="410322"/>
    <n v="0"/>
    <n v="-0.11980100243980681"/>
    <n v="0.92543275632490019"/>
    <n v="0.40074137090909095"/>
    <n v="0.23809523809523808"/>
    <n v="0"/>
    <n v="84664"/>
    <n v="0.18299820466786357"/>
  </r>
  <r>
    <n v="966"/>
    <s v="840763ec-bdab-4bb2-ab0a-87c037c3a378"/>
    <x v="0"/>
    <x v="1"/>
    <x v="3"/>
    <s v="в ипотеке"/>
    <s v="консолидация кредитов"/>
    <n v="327096"/>
    <n v="735"/>
    <n v="903982"/>
    <n v="25612.57"/>
    <n v="17.899999999999999"/>
    <n v="35.265240640000002"/>
    <n v="17"/>
    <n v="178524"/>
    <n v="410124"/>
    <n v="2"/>
    <n v="9.96408166822456E-2"/>
    <n v="0.97869507323568572"/>
    <n v="0.40074137090909095"/>
    <n v="0.38095238095238093"/>
    <n v="0.2857142857142857"/>
    <n v="75331.833333333328"/>
    <n v="0.33999663710118122"/>
  </r>
  <r>
    <n v="1440"/>
    <s v="37a544e5-7dc7-42f1-916b-23a259fac590"/>
    <x v="0"/>
    <x v="1"/>
    <x v="9"/>
    <s v="в аренде"/>
    <s v="консолидация кредитов"/>
    <n v="309594.52439999999"/>
    <n v="743"/>
    <n v="1265134"/>
    <n v="33315.17"/>
    <n v="14.5"/>
    <n v="35.265240640000002"/>
    <n v="13"/>
    <n v="190152"/>
    <n v="410036"/>
    <n v="0"/>
    <n v="-1.2411115481956205E-10"/>
    <n v="0.98934753661784292"/>
    <n v="0.40074137090909095"/>
    <n v="0.2857142857142857"/>
    <n v="0"/>
    <n v="105427.83333333333"/>
    <n v="0.31599975970924821"/>
  </r>
  <r>
    <n v="728"/>
    <s v="5e255085-de6f-4e39-b35e-c1a86231d357"/>
    <x v="0"/>
    <x v="1"/>
    <x v="0"/>
    <s v="в аренде"/>
    <s v="консолидация кредитов"/>
    <n v="188298"/>
    <n v="723"/>
    <n v="1281778"/>
    <n v="21790.34"/>
    <n v="23.9"/>
    <n v="31"/>
    <n v="14"/>
    <n v="161063"/>
    <n v="409882"/>
    <n v="0"/>
    <n v="-0.69057518608089863"/>
    <n v="0.96271637816245004"/>
    <n v="0.35227272727272729"/>
    <n v="0.30952380952380953"/>
    <n v="0"/>
    <n v="106814.83333333333"/>
    <n v="0.20400106726749875"/>
  </r>
  <r>
    <n v="254"/>
    <s v="07838ed8-d984-456f-bd10-308126ab9774"/>
    <x v="0"/>
    <x v="1"/>
    <x v="1"/>
    <s v="в ипотеке"/>
    <s v="консолидация кредитов"/>
    <n v="431288"/>
    <n v="738"/>
    <n v="1378165"/>
    <n v="33879.85"/>
    <n v="28.8"/>
    <n v="35.265240640000002"/>
    <n v="15"/>
    <n v="280687"/>
    <n v="409838"/>
    <n v="1"/>
    <n v="0.6928351405190265"/>
    <n v="0.9826897470039947"/>
    <n v="0.40074137090909095"/>
    <n v="0.33333333333333331"/>
    <n v="0.14285714285714285"/>
    <n v="114847.08333333333"/>
    <n v="0.29499965533880196"/>
  </r>
  <r>
    <n v="1723"/>
    <s v="798df618-0e1b-4813-b0cd-953babc73710"/>
    <x v="1"/>
    <x v="0"/>
    <x v="3"/>
    <s v="в аренде"/>
    <s v="консолидация кредитов"/>
    <n v="310332"/>
    <n v="0"/>
    <n v="1168044"/>
    <n v="19574.939999999999"/>
    <n v="13.8"/>
    <n v="35.265240640000002"/>
    <n v="18"/>
    <n v="273011"/>
    <n v="409464"/>
    <n v="0"/>
    <n v="4.1986556257365051E-3"/>
    <n v="0"/>
    <n v="0.40074137090909095"/>
    <n v="0.40476190476190477"/>
    <n v="0"/>
    <n v="97337"/>
    <n v="0.20110482139371461"/>
  </r>
  <r>
    <n v="1572"/>
    <s v="f78f3759-9ff6-483b-a277-695810b0b8eb"/>
    <x v="0"/>
    <x v="0"/>
    <x v="1"/>
    <s v="в ипотеке"/>
    <s v="консолидация кредитов"/>
    <n v="319572"/>
    <n v="0"/>
    <n v="1168044"/>
    <n v="33020.86"/>
    <n v="19.100000000000001"/>
    <n v="35.265240640000002"/>
    <n v="16"/>
    <n v="178600"/>
    <n v="408672"/>
    <n v="1"/>
    <n v="5.6804571168694272E-2"/>
    <n v="0"/>
    <n v="0.40074137090909095"/>
    <n v="0.35714285714285715"/>
    <n v="0.14285714285714285"/>
    <n v="97337"/>
    <n v="0.33924263127073978"/>
  </r>
  <r>
    <n v="1502"/>
    <s v="be88bd89-226e-4349-90e1-8647f88bb5d0"/>
    <x v="1"/>
    <x v="1"/>
    <x v="0"/>
    <s v="в аренде"/>
    <s v="консолидация кредитов"/>
    <n v="184492"/>
    <n v="741"/>
    <n v="758708"/>
    <n v="14099.33"/>
    <n v="10.5"/>
    <n v="80"/>
    <n v="7"/>
    <n v="104329"/>
    <n v="408078"/>
    <n v="0"/>
    <n v="-0.7122438131974026"/>
    <n v="0.98668442077230356"/>
    <n v="0.90909090909090906"/>
    <n v="0.14285714285714285"/>
    <n v="0"/>
    <n v="63225.666666666664"/>
    <n v="0.22300010017028951"/>
  </r>
  <r>
    <n v="549"/>
    <s v="982182e0-0b3e-4129-ad3c-6fc16f4783aa"/>
    <x v="0"/>
    <x v="0"/>
    <x v="1"/>
    <s v="в аренде"/>
    <s v="консолидация кредитов"/>
    <n v="309594.52439999999"/>
    <n v="719"/>
    <n v="1090543"/>
    <n v="26718.18"/>
    <n v="20.9"/>
    <n v="35.265240640000002"/>
    <n v="15"/>
    <n v="264461"/>
    <n v="407176"/>
    <n v="0"/>
    <n v="-1.2411115481956205E-10"/>
    <n v="0.95739014647137155"/>
    <n v="0.40074137090909095"/>
    <n v="0.33333333333333331"/>
    <n v="0"/>
    <n v="90878.583333333328"/>
    <n v="0.29399864104395701"/>
  </r>
  <r>
    <n v="1420"/>
    <s v="69cf6d62-9f60-4786-a2a8-afaedf87ce2e"/>
    <x v="1"/>
    <x v="0"/>
    <x v="0"/>
    <s v="в собственности"/>
    <s v="консолидация кредитов"/>
    <n v="215578"/>
    <n v="665"/>
    <n v="595783"/>
    <n v="8291.2199999999993"/>
    <n v="11"/>
    <n v="35.265240640000002"/>
    <n v="11"/>
    <n v="220115"/>
    <n v="407154"/>
    <n v="0"/>
    <n v="-0.53526248304930901"/>
    <n v="0.88548601864181087"/>
    <n v="0.40074137090909095"/>
    <n v="0.23809523809523808"/>
    <n v="0"/>
    <n v="49648.583333333336"/>
    <n v="0.16699811844245302"/>
  </r>
  <r>
    <n v="532"/>
    <s v="1e8b7f7b-2457-4e41-a98a-81331aa0584f"/>
    <x v="0"/>
    <x v="1"/>
    <x v="1"/>
    <s v="в ипотеке"/>
    <s v="консолидация кредитов"/>
    <n v="156552"/>
    <n v="720"/>
    <n v="1840397"/>
    <n v="31440.25"/>
    <n v="19.100000000000001"/>
    <n v="45"/>
    <n v="10"/>
    <n v="258400"/>
    <n v="406538"/>
    <n v="0"/>
    <n v="-0.87131408162491775"/>
    <n v="0.95872170439414117"/>
    <n v="0.51136363636363635"/>
    <n v="0.21428571428571427"/>
    <n v="0"/>
    <n v="153366.41666666666"/>
    <n v="0.2050008775280551"/>
  </r>
  <r>
    <n v="1565"/>
    <s v="dd44a6d0-4997-487f-adf0-e85f537dd45b"/>
    <x v="0"/>
    <x v="0"/>
    <x v="2"/>
    <s v="в аренде"/>
    <s v="консолидация кредитов"/>
    <n v="218350"/>
    <n v="676"/>
    <n v="1282310"/>
    <n v="7020.69"/>
    <n v="16.899999999999999"/>
    <n v="35.265240640000002"/>
    <n v="8"/>
    <n v="232617"/>
    <n v="406252"/>
    <n v="1"/>
    <n v="-0.51948070838642169"/>
    <n v="0.90013315579227693"/>
    <n v="0.40074137090909095"/>
    <n v="0.16666666666666666"/>
    <n v="0.14285714285714285"/>
    <n v="106859.16666666667"/>
    <n v="6.5700400059268027E-2"/>
  </r>
  <r>
    <n v="402"/>
    <s v="2a01b536-ed56-49a8-b2b6-b07f131cb7dd"/>
    <x v="1"/>
    <x v="1"/>
    <x v="1"/>
    <s v="в собственности"/>
    <s v="консолидация кредитов"/>
    <n v="327404"/>
    <n v="0"/>
    <n v="1168044"/>
    <n v="26012.9"/>
    <n v="17"/>
    <n v="35.265240640000002"/>
    <n v="12"/>
    <n v="246525"/>
    <n v="406032"/>
    <n v="0"/>
    <n v="0.1013943472003442"/>
    <n v="0"/>
    <n v="0.40074137090909095"/>
    <n v="0.26190476190476192"/>
    <n v="0"/>
    <n v="97337"/>
    <n v="0.26724575444075738"/>
  </r>
  <r>
    <n v="925"/>
    <s v="916d95cf-2225-4ea8-a273-2ae5567be19d"/>
    <x v="0"/>
    <x v="1"/>
    <x v="2"/>
    <s v="в ипотеке"/>
    <s v="консолидация кредитов"/>
    <n v="268532"/>
    <n v="720"/>
    <n v="1855369"/>
    <n v="28912.87"/>
    <n v="11"/>
    <n v="15"/>
    <n v="13"/>
    <n v="159847"/>
    <n v="404998"/>
    <n v="0"/>
    <n v="-0.2337804861162153"/>
    <n v="0.95872170439414117"/>
    <n v="0.17045454545454544"/>
    <n v="0.2857142857142857"/>
    <n v="0"/>
    <n v="154614.08333333334"/>
    <n v="0.18700023553266221"/>
  </r>
  <r>
    <n v="1697"/>
    <s v="cd65a2dd-4f9a-4224-be7e-e03baac13687"/>
    <x v="0"/>
    <x v="0"/>
    <x v="1"/>
    <s v="в ипотеке"/>
    <s v="иное"/>
    <n v="309594.52439999999"/>
    <n v="701"/>
    <n v="1571946"/>
    <n v="26461.11"/>
    <n v="17.899999999999999"/>
    <n v="35.265240640000002"/>
    <n v="8"/>
    <n v="332196"/>
    <n v="404866"/>
    <n v="0"/>
    <n v="-1.2411115481956205E-10"/>
    <n v="0.93342210386151803"/>
    <n v="0.40074137090909095"/>
    <n v="0.16666666666666666"/>
    <n v="0"/>
    <n v="130995.5"/>
    <n v="0.20200014504315034"/>
  </r>
  <r>
    <n v="480"/>
    <s v="9cfde7db-c5d9-40cb-84e4-210f6b28204d"/>
    <x v="0"/>
    <x v="1"/>
    <x v="0"/>
    <s v="в аренде"/>
    <s v="консолидация кредитов"/>
    <n v="324346"/>
    <n v="742"/>
    <n v="954370"/>
    <n v="17019.63"/>
    <n v="10"/>
    <n v="34"/>
    <n v="17"/>
    <n v="121448"/>
    <n v="404096"/>
    <n v="0"/>
    <n v="8.3984294199222459E-2"/>
    <n v="0.98801597869507318"/>
    <n v="0.38636363636363635"/>
    <n v="0.38095238095238093"/>
    <n v="0"/>
    <n v="79530.833333333328"/>
    <n v="0.21400039816842528"/>
  </r>
  <r>
    <n v="1687"/>
    <s v="2e3817d2-1fd0-433a-8474-6855663ba1f9"/>
    <x v="1"/>
    <x v="1"/>
    <x v="1"/>
    <s v="в аренде"/>
    <s v="консолидация кредитов"/>
    <n v="242528"/>
    <n v="698"/>
    <n v="582730"/>
    <n v="13451.43"/>
    <n v="14.2"/>
    <n v="30"/>
    <n v="13"/>
    <n v="252301"/>
    <n v="404052"/>
    <n v="2"/>
    <n v="-0.38182856271568216"/>
    <n v="0.92942743009320905"/>
    <n v="0.34090909090909088"/>
    <n v="0.2857142857142857"/>
    <n v="0.2857142857142857"/>
    <n v="48560.833333333336"/>
    <n v="0.27700163025758068"/>
  </r>
  <r>
    <n v="467"/>
    <s v="b9254a96-7185-49bb-a1a9-ab93a4adbe24"/>
    <x v="0"/>
    <x v="0"/>
    <x v="7"/>
    <s v="в собственности"/>
    <s v="консолидация кредитов"/>
    <n v="267784"/>
    <n v="689"/>
    <n v="1638104"/>
    <n v="48050.62"/>
    <n v="12.2"/>
    <n v="20"/>
    <n v="10"/>
    <n v="60325"/>
    <n v="403722"/>
    <n v="0"/>
    <n v="-0.2380390602315976"/>
    <n v="0.91744340878828234"/>
    <n v="0.22727272727272727"/>
    <n v="0.21428571428571427"/>
    <n v="0"/>
    <n v="136508.66666666666"/>
    <n v="0.35199684513315399"/>
  </r>
  <r>
    <n v="757"/>
    <s v="a645ef75-f106-4530-aab5-24ff886e55a1"/>
    <x v="0"/>
    <x v="1"/>
    <x v="0"/>
    <s v="в ипотеке"/>
    <s v="консолидация кредитов"/>
    <n v="347028"/>
    <n v="743"/>
    <n v="1685889"/>
    <n v="8836.9"/>
    <n v="16.899999999999999"/>
    <n v="35.265240640000002"/>
    <n v="13"/>
    <n v="127224"/>
    <n v="403612"/>
    <n v="1"/>
    <n v="0.21311929163919735"/>
    <n v="0.98934753661784292"/>
    <n v="0.40074137090909095"/>
    <n v="0.2857142857142857"/>
    <n v="0.14285714285714285"/>
    <n v="140490.75"/>
    <n v="6.2900226527369235E-2"/>
  </r>
  <r>
    <n v="321"/>
    <s v="8980f73f-9444-476b-9f9d-a03b7cbca798"/>
    <x v="0"/>
    <x v="1"/>
    <x v="10"/>
    <s v="в ипотеке"/>
    <s v="консолидация кредитов"/>
    <n v="309594.52439999999"/>
    <n v="747"/>
    <n v="914432"/>
    <n v="15088.09"/>
    <n v="16.600000000000001"/>
    <n v="35.265240640000002"/>
    <n v="8"/>
    <n v="202084"/>
    <n v="403458"/>
    <n v="0"/>
    <n v="-1.2411115481956205E-10"/>
    <n v="0.9946737683089214"/>
    <n v="0.40074137090909095"/>
    <n v="0.16666666666666666"/>
    <n v="0"/>
    <n v="76202.666666666672"/>
    <n v="0.19799950132978722"/>
  </r>
  <r>
    <n v="1076"/>
    <s v="f554efff-6a6f-4c68-8627-e2a9f4641af6"/>
    <x v="0"/>
    <x v="1"/>
    <x v="3"/>
    <s v="в собственности"/>
    <s v="консолидация кредитов"/>
    <n v="183326"/>
    <n v="707"/>
    <n v="1248053"/>
    <n v="15392.47"/>
    <n v="11.4"/>
    <n v="35.265240640000002"/>
    <n v="13"/>
    <n v="266361"/>
    <n v="403172"/>
    <n v="0"/>
    <n v="-0.71888217873020444"/>
    <n v="0.94141145139813587"/>
    <n v="0.40074137090909095"/>
    <n v="0.2857142857142857"/>
    <n v="0"/>
    <n v="104004.41666666667"/>
    <n v="0.14799823404935528"/>
  </r>
  <r>
    <n v="1626"/>
    <s v="0d327452-6657-45d3-9260-cd9ae68ffaa2"/>
    <x v="0"/>
    <x v="1"/>
    <x v="3"/>
    <s v="в аренде"/>
    <s v="иное"/>
    <n v="387244"/>
    <n v="725"/>
    <n v="2316480"/>
    <n v="4285.45"/>
    <n v="7.1"/>
    <n v="35.265240640000002"/>
    <n v="6"/>
    <n v="75544"/>
    <n v="403062"/>
    <n v="0"/>
    <n v="0.44208027643092784"/>
    <n v="0.96537949400798939"/>
    <n v="0.40074137090909095"/>
    <n v="0.11904761904761904"/>
    <n v="0"/>
    <n v="193040"/>
    <n v="2.2199803149606297E-2"/>
  </r>
  <r>
    <n v="1438"/>
    <s v="f00775f8-f70a-47e2-84c2-7597aab3b430"/>
    <x v="0"/>
    <x v="0"/>
    <x v="1"/>
    <s v="в ипотеке"/>
    <s v="малый бизнес"/>
    <n v="548790"/>
    <n v="686"/>
    <n v="2972189"/>
    <n v="6885.6"/>
    <n v="30"/>
    <n v="41"/>
    <n v="12"/>
    <n v="21565"/>
    <n v="402930"/>
    <n v="0"/>
    <n v="1.3618070331736396"/>
    <n v="0.91344873501997337"/>
    <n v="0.46590909090909088"/>
    <n v="0.26190476190476192"/>
    <n v="0"/>
    <n v="247682.41666666666"/>
    <n v="2.7800116345225691E-2"/>
  </r>
  <r>
    <n v="53"/>
    <s v="06d6c4a1-7a06-41c5-aeb1-fe0d7e5c895e"/>
    <x v="1"/>
    <x v="1"/>
    <x v="3"/>
    <s v="в аренде"/>
    <s v="консолидация кредитов"/>
    <n v="214874"/>
    <n v="0"/>
    <n v="1168044"/>
    <n v="20322.78"/>
    <n v="15.6"/>
    <n v="69"/>
    <n v="8"/>
    <n v="285589"/>
    <n v="402776"/>
    <n v="0"/>
    <n v="-0.53927055280496294"/>
    <n v="0"/>
    <n v="0.78409090909090906"/>
    <n v="0.16666666666666666"/>
    <n v="0"/>
    <n v="97337"/>
    <n v="0.20878781963693147"/>
  </r>
  <r>
    <n v="19"/>
    <s v="c67b2cb5-9f91-4bcb-9a03-03d1589c6c1a"/>
    <x v="0"/>
    <x v="1"/>
    <x v="1"/>
    <s v="в аренде"/>
    <s v="консолидация кредитов"/>
    <n v="66396"/>
    <n v="0"/>
    <n v="1168044"/>
    <n v="9898.81"/>
    <n v="27.1"/>
    <n v="35.265240640000002"/>
    <n v="23"/>
    <n v="9728"/>
    <n v="402380"/>
    <n v="1"/>
    <n v="-1.3845975147083487"/>
    <n v="0"/>
    <n v="0.40074137090909095"/>
    <n v="0.52380952380952384"/>
    <n v="0.14285714285714285"/>
    <n v="97337"/>
    <n v="0.10169627171579153"/>
  </r>
  <r>
    <n v="1865"/>
    <s v="687a242e-2127-45af-a616-8b869244a464"/>
    <x v="0"/>
    <x v="1"/>
    <x v="5"/>
    <s v="в аренде"/>
    <s v="консолидация кредитов"/>
    <n v="328944"/>
    <n v="663"/>
    <n v="1231048"/>
    <n v="25954.57"/>
    <n v="22.5"/>
    <n v="27"/>
    <n v="17"/>
    <n v="205523"/>
    <n v="401302"/>
    <n v="0"/>
    <n v="0.11016199979083716"/>
    <n v="0.88282290279627162"/>
    <n v="0.30681818181818182"/>
    <n v="0.38095238095238093"/>
    <n v="0"/>
    <n v="102587.33333333333"/>
    <n v="0.25299975305593286"/>
  </r>
  <r>
    <n v="1983"/>
    <s v="feb567e7-9746-4cbf-a939-de2d0412ef84"/>
    <x v="0"/>
    <x v="1"/>
    <x v="5"/>
    <s v="в ипотеке"/>
    <s v="консолидация кредитов"/>
    <n v="139414"/>
    <n v="726"/>
    <n v="526794"/>
    <n v="7989.69"/>
    <n v="6.5"/>
    <n v="35.265240640000002"/>
    <n v="14"/>
    <n v="187625"/>
    <n v="400840"/>
    <n v="0"/>
    <n v="-0.96888552973911801"/>
    <n v="0.96671105193075901"/>
    <n v="0.40074137090909095"/>
    <n v="0.30952380952380953"/>
    <n v="0"/>
    <n v="43899.5"/>
    <n v="0.1819995671932482"/>
  </r>
  <r>
    <n v="1021"/>
    <s v="93863691-c7ed-4af7-b53e-a85570383460"/>
    <x v="0"/>
    <x v="1"/>
    <x v="8"/>
    <s v="в аренде"/>
    <s v="консолидация кредитов"/>
    <n v="307538"/>
    <n v="739"/>
    <n v="1043442"/>
    <n v="22259.83"/>
    <n v="9"/>
    <n v="35.265240640000002"/>
    <n v="10"/>
    <n v="170525"/>
    <n v="399674"/>
    <n v="0"/>
    <n v="-1.1708371217015011E-2"/>
    <n v="0.98402130492676432"/>
    <n v="0.40074137090909095"/>
    <n v="0.21428571428571427"/>
    <n v="0"/>
    <n v="86953.5"/>
    <n v="0.25599694089369607"/>
  </r>
  <r>
    <n v="491"/>
    <s v="e5bac7ba-ee32-48e5-a24c-4ed300c4996a"/>
    <x v="0"/>
    <x v="1"/>
    <x v="1"/>
    <s v="в ипотеке"/>
    <s v="консолидация кредитов"/>
    <n v="214962"/>
    <n v="745"/>
    <n v="540607"/>
    <n v="7703.74"/>
    <n v="19.399999999999999"/>
    <n v="35.265240640000002"/>
    <n v="7"/>
    <n v="114247"/>
    <n v="399652"/>
    <n v="0"/>
    <n v="-0.53876954408550615"/>
    <n v="0.99201065246338216"/>
    <n v="0.40074137090909095"/>
    <n v="0.14285714285714285"/>
    <n v="0"/>
    <n v="45050.583333333336"/>
    <n v="0.17100200330369381"/>
  </r>
  <r>
    <n v="1775"/>
    <s v="ed635a2a-c667-45e4-9c56-a03c5af5fb97"/>
    <x v="1"/>
    <x v="0"/>
    <x v="1"/>
    <s v="в ипотеке"/>
    <s v="консолидация кредитов"/>
    <n v="419298"/>
    <n v="687"/>
    <n v="1524712"/>
    <n v="24268.32"/>
    <n v="10.5"/>
    <n v="35.265240640000002"/>
    <n v="11"/>
    <n v="208658"/>
    <n v="399344"/>
    <n v="0"/>
    <n v="0.62457270249304564"/>
    <n v="0.91478029294274299"/>
    <n v="0.40074137090909095"/>
    <n v="0.23809523809523808"/>
    <n v="0"/>
    <n v="127059.33333333333"/>
    <n v="0.19099990030904199"/>
  </r>
  <r>
    <n v="1684"/>
    <s v="8a589bd6-5856-45e9-87f9-68ddda842c4e"/>
    <x v="0"/>
    <x v="1"/>
    <x v="3"/>
    <s v="в аренде"/>
    <s v="консолидация кредитов"/>
    <n v="266992"/>
    <n v="745"/>
    <n v="864671"/>
    <n v="1441.15"/>
    <n v="17.2"/>
    <n v="35.265240640000002"/>
    <n v="8"/>
    <n v="31008"/>
    <n v="398992"/>
    <n v="1"/>
    <n v="-0.24254813870670827"/>
    <n v="0.99201065246338216"/>
    <n v="0.40074137090909095"/>
    <n v="0.16666666666666666"/>
    <n v="0.14285714285714285"/>
    <n v="72055.916666666672"/>
    <n v="2.0000439473510732E-2"/>
  </r>
  <r>
    <n v="778"/>
    <s v="d2592b4e-f032-42c6-8fdf-3023fa3c9ce7"/>
    <x v="0"/>
    <x v="1"/>
    <x v="9"/>
    <s v="в собственности"/>
    <s v="консолидация кредитов"/>
    <n v="172436"/>
    <n v="740"/>
    <n v="1340222"/>
    <n v="14965.92"/>
    <n v="19.8"/>
    <n v="35.265240640000002"/>
    <n v="6"/>
    <n v="178410"/>
    <n v="398816"/>
    <n v="7"/>
    <n v="-0.78088200776297612"/>
    <n v="0.98535286284953394"/>
    <n v="0.40074137090909095"/>
    <n v="0.11904761904761904"/>
    <n v="1"/>
    <n v="111685.16666666667"/>
    <n v="0.13400096401939379"/>
  </r>
  <r>
    <n v="71"/>
    <s v="c2fe5a7f-9826-48ad-ae02-b2c31cae3463"/>
    <x v="0"/>
    <x v="1"/>
    <x v="0"/>
    <s v="в аренде"/>
    <s v="консолидация кредитов"/>
    <n v="211222"/>
    <n v="694"/>
    <n v="947625"/>
    <n v="8923.35"/>
    <n v="18"/>
    <n v="65"/>
    <n v="9"/>
    <n v="93081"/>
    <n v="397694"/>
    <n v="1"/>
    <n v="-0.56006241466241768"/>
    <n v="0.92410119840213045"/>
    <n v="0.73863636363636365"/>
    <n v="0.19047619047619047"/>
    <n v="0.14285714285714285"/>
    <n v="78968.75"/>
    <n v="0.11299849624060151"/>
  </r>
  <r>
    <n v="194"/>
    <s v="0c83cac3-592e-4d36-a601-b4e50af8e96e"/>
    <x v="0"/>
    <x v="1"/>
    <x v="1"/>
    <s v="в ипотеке"/>
    <s v="консолидация кредитов"/>
    <n v="355410"/>
    <n v="0"/>
    <n v="1168044"/>
    <n v="13237.11"/>
    <n v="13.7"/>
    <n v="35.265240640000002"/>
    <n v="6"/>
    <n v="297293"/>
    <n v="397518"/>
    <n v="1"/>
    <n v="0.26084037216745193"/>
    <n v="0"/>
    <n v="0.40074137090909095"/>
    <n v="0.11904761904761904"/>
    <n v="0.14285714285714285"/>
    <n v="97337"/>
    <n v="0.1359925824712083"/>
  </r>
  <r>
    <n v="233"/>
    <s v="a02537d3-16b1-4a7a-a8a0-e7cf0ff98e6c"/>
    <x v="0"/>
    <x v="1"/>
    <x v="1"/>
    <s v="в аренде"/>
    <s v="консолидация кредитов"/>
    <n v="504658"/>
    <n v="685"/>
    <n v="3874100"/>
    <n v="4100.2"/>
    <n v="16"/>
    <n v="1"/>
    <n v="7"/>
    <n v="167827"/>
    <n v="397408"/>
    <n v="0"/>
    <n v="1.110551160366084"/>
    <n v="0.91211717709720375"/>
    <n v="1.1363636363636364E-2"/>
    <n v="0.14285714285714285"/>
    <n v="0"/>
    <n v="322841.66666666669"/>
    <n v="1.2700343305541931E-2"/>
  </r>
  <r>
    <n v="1197"/>
    <s v="0d31509a-b754-46dd-8d97-649e98a2b234"/>
    <x v="1"/>
    <x v="0"/>
    <x v="1"/>
    <s v="в ипотеке"/>
    <s v="иное"/>
    <n v="359392"/>
    <n v="0"/>
    <n v="1168044"/>
    <n v="19534.849999999999"/>
    <n v="12"/>
    <n v="7"/>
    <n v="7"/>
    <n v="58539"/>
    <n v="396440"/>
    <n v="0"/>
    <n v="0.28351101672286944"/>
    <n v="0"/>
    <n v="7.9545454545454544E-2"/>
    <n v="0.14285714285714285"/>
    <n v="0"/>
    <n v="97337"/>
    <n v="0.20069295334764783"/>
  </r>
  <r>
    <n v="479"/>
    <s v="6cd3f9d2-fa0c-4cf3-b0ce-de0d07daebc7"/>
    <x v="0"/>
    <x v="1"/>
    <x v="2"/>
    <s v="в аренде"/>
    <s v="консолидация кредитов"/>
    <n v="309594.52439999999"/>
    <n v="723"/>
    <n v="898092"/>
    <n v="22976.13"/>
    <n v="18.3"/>
    <n v="35.265240640000002"/>
    <n v="13"/>
    <n v="187777"/>
    <n v="396044"/>
    <n v="1"/>
    <n v="-1.2411115481956205E-10"/>
    <n v="0.96271637816245004"/>
    <n v="0.40074137090909095"/>
    <n v="0.2857142857142857"/>
    <n v="0.14285714285714285"/>
    <n v="74841"/>
    <n v="0.30699923838537702"/>
  </r>
  <r>
    <n v="472"/>
    <s v="eb069b14-27ec-4f73-ac76-ae19d18cef36"/>
    <x v="0"/>
    <x v="1"/>
    <x v="6"/>
    <s v="в аренде"/>
    <s v="консолидация кредитов"/>
    <n v="151602"/>
    <n v="739"/>
    <n v="1084805"/>
    <n v="7204.99"/>
    <n v="10.7"/>
    <n v="61"/>
    <n v="6"/>
    <n v="69331"/>
    <n v="395472"/>
    <n v="0"/>
    <n v="-0.89949582209435941"/>
    <n v="0.98402130492676432"/>
    <n v="0.69318181818181823"/>
    <n v="0.11904761904761904"/>
    <n v="0"/>
    <n v="90400.416666666672"/>
    <n v="7.9700849461423931E-2"/>
  </r>
  <r>
    <n v="1224"/>
    <s v="8147b8dc-d83b-449e-a7ef-8ffa03702f5d"/>
    <x v="0"/>
    <x v="1"/>
    <x v="6"/>
    <s v="в аренде"/>
    <s v="консолидация кредитов"/>
    <n v="255662"/>
    <n v="724"/>
    <n v="763040"/>
    <n v="14561.22"/>
    <n v="12.5"/>
    <n v="35.265240640000002"/>
    <n v="13"/>
    <n v="273714"/>
    <n v="395208"/>
    <n v="0"/>
    <n v="-0.3070530113367636"/>
    <n v="0.96404793608521966"/>
    <n v="0.40074137090909095"/>
    <n v="0.2857142857142857"/>
    <n v="0"/>
    <n v="63586.666666666664"/>
    <n v="0.2289980079681275"/>
  </r>
  <r>
    <n v="133"/>
    <s v="c9e10069-780c-4853-aa6f-092a425f2663"/>
    <x v="0"/>
    <x v="0"/>
    <x v="0"/>
    <s v="в аренде"/>
    <s v="консолидация кредитов"/>
    <n v="262724"/>
    <n v="695"/>
    <n v="1229072"/>
    <n v="21508.76"/>
    <n v="21.8"/>
    <n v="35.265240640000002"/>
    <n v="5"/>
    <n v="337725"/>
    <n v="394218"/>
    <n v="0"/>
    <n v="-0.2668470616003602"/>
    <n v="0.92543275632490019"/>
    <n v="0.40074137090909095"/>
    <n v="9.5238095238095233E-2"/>
    <n v="0"/>
    <n v="102422.66666666667"/>
    <n v="0.20999999999999996"/>
  </r>
  <r>
    <n v="392"/>
    <s v="6d385ad8-34ab-4eb7-8364-97a516c00e3a"/>
    <x v="0"/>
    <x v="1"/>
    <x v="4"/>
    <s v="в ипотеке"/>
    <s v="консолидация кредитов"/>
    <n v="161656"/>
    <n v="749"/>
    <n v="874874"/>
    <n v="12226.5"/>
    <n v="16.100000000000001"/>
    <n v="19"/>
    <n v="10"/>
    <n v="159676"/>
    <n v="394218"/>
    <n v="0"/>
    <n v="-0.84225557589642686"/>
    <n v="0.99733688415446076"/>
    <n v="0.21590909090909091"/>
    <n v="0.21428571428571427"/>
    <n v="0"/>
    <n v="72906.166666666672"/>
    <n v="0.16770186335403725"/>
  </r>
  <r>
    <n v="698"/>
    <s v="858a7ef5-165d-4667-84ea-6d2e8bfedc15"/>
    <x v="0"/>
    <x v="1"/>
    <x v="4"/>
    <s v="в ипотеке"/>
    <s v="консолидация кредитов"/>
    <n v="265738"/>
    <n v="0"/>
    <n v="1168044"/>
    <n v="11153.95"/>
    <n v="14"/>
    <n v="81"/>
    <n v="11"/>
    <n v="196669"/>
    <n v="393976"/>
    <n v="1"/>
    <n v="-0.24968751295896682"/>
    <n v="0"/>
    <n v="0.92045454545454541"/>
    <n v="0.23809523809523808"/>
    <n v="0.14285714285714285"/>
    <n v="97337"/>
    <n v="0.11459105992582472"/>
  </r>
  <r>
    <n v="1706"/>
    <s v="5a169042-6120-4528-be22-c8d81582246a"/>
    <x v="1"/>
    <x v="1"/>
    <x v="1"/>
    <s v="в ипотеке"/>
    <s v="консолидация кредитов"/>
    <n v="215138"/>
    <n v="734"/>
    <n v="1746461"/>
    <n v="11424.7"/>
    <n v="25.8"/>
    <n v="25"/>
    <n v="8"/>
    <n v="324501"/>
    <n v="393844"/>
    <n v="0"/>
    <n v="-0.53776752664659266"/>
    <n v="0.9773635153129161"/>
    <n v="0.28409090909090912"/>
    <n v="0.16666666666666666"/>
    <n v="0"/>
    <n v="145538.41666666666"/>
    <n v="7.8499548515540862E-2"/>
  </r>
  <r>
    <n v="1884"/>
    <s v="80396301-b0ac-417c-8e58-faf83f80a07e"/>
    <x v="0"/>
    <x v="0"/>
    <x v="8"/>
    <s v="в ипотеке"/>
    <s v="консолидация кредитов"/>
    <n v="371822"/>
    <n v="731"/>
    <n v="2198110"/>
    <n v="34803.25"/>
    <n v="18.5"/>
    <n v="50"/>
    <n v="10"/>
    <n v="154242"/>
    <n v="391666"/>
    <n v="0"/>
    <n v="0.35427849834613406"/>
    <n v="0.97336884154460723"/>
    <n v="0.56818181818181823"/>
    <n v="0.21428571428571427"/>
    <n v="0"/>
    <n v="183175.83333333334"/>
    <n v="0.18999913562105625"/>
  </r>
  <r>
    <n v="1435"/>
    <s v="2448e353-eaa6-48b3-9c84-b1555faf5d2c"/>
    <x v="1"/>
    <x v="1"/>
    <x v="1"/>
    <s v="в ипотеке"/>
    <s v="консолидация кредитов"/>
    <n v="207680"/>
    <n v="733"/>
    <n v="529511"/>
    <n v="7589.74"/>
    <n v="14.5"/>
    <n v="35.265240640000002"/>
    <n v="9"/>
    <n v="113316"/>
    <n v="390522"/>
    <n v="0"/>
    <n v="-0.58022801562055148"/>
    <n v="0.97603195739014648"/>
    <n v="0.40074137090909095"/>
    <n v="0.19047619047619047"/>
    <n v="0"/>
    <n v="44125.916666666664"/>
    <n v="0.17200186587247479"/>
  </r>
  <r>
    <n v="545"/>
    <s v="fd1688de-094b-43e1-a37c-94c0f457636d"/>
    <x v="0"/>
    <x v="1"/>
    <x v="1"/>
    <s v="в аренде"/>
    <s v="консолидация кредитов"/>
    <n v="306482"/>
    <n v="740"/>
    <n v="1134414"/>
    <n v="22688.28"/>
    <n v="19.600000000000001"/>
    <n v="41"/>
    <n v="12"/>
    <n v="194389"/>
    <n v="389400"/>
    <n v="0"/>
    <n v="-1.7720475850495899E-2"/>
    <n v="0.98535286284953394"/>
    <n v="0.46590909090909088"/>
    <n v="0.26190476190476192"/>
    <n v="0"/>
    <n v="94534.5"/>
    <n v="0.24"/>
  </r>
  <r>
    <n v="107"/>
    <s v="151e8706-cbcc-4d7f-bff0-a13ef9f5807a"/>
    <x v="1"/>
    <x v="0"/>
    <x v="1"/>
    <s v="в ипотеке"/>
    <s v="консолидация кредитов"/>
    <n v="556336"/>
    <n v="714"/>
    <n v="1402960"/>
    <n v="19524.400000000001"/>
    <n v="19.5"/>
    <n v="38"/>
    <n v="5"/>
    <n v="317338"/>
    <n v="389246"/>
    <n v="0"/>
    <n v="1.404768530867055"/>
    <n v="0.95073235685752333"/>
    <n v="0.43181818181818182"/>
    <n v="9.5238095238095233E-2"/>
    <n v="0"/>
    <n v="116913.33333333333"/>
    <n v="0.16699891657638138"/>
  </r>
  <r>
    <n v="141"/>
    <s v="735e7283-7724-484c-b113-d50e04e92c63"/>
    <x v="1"/>
    <x v="1"/>
    <x v="2"/>
    <s v="в аренде"/>
    <s v="ремонт жилья"/>
    <n v="232716"/>
    <n v="637"/>
    <n v="1049427"/>
    <n v="12942.99"/>
    <n v="9.5"/>
    <n v="61"/>
    <n v="20"/>
    <n v="226442"/>
    <n v="389026"/>
    <n v="0"/>
    <n v="-0.43769103493510875"/>
    <n v="0.84820239680426102"/>
    <n v="0.69318181818181823"/>
    <n v="0.45238095238095238"/>
    <n v="0"/>
    <n v="87452.25"/>
    <n v="0.14800065178425942"/>
  </r>
  <r>
    <n v="825"/>
    <s v="f6af927e-8cf8-4f51-bf42-bc3a84e880e0"/>
    <x v="1"/>
    <x v="0"/>
    <x v="9"/>
    <s v="в аренде"/>
    <s v="приобретение автомобиля"/>
    <n v="133012"/>
    <n v="717"/>
    <n v="1194606"/>
    <n v="12712.71"/>
    <n v="16.399999999999999"/>
    <n v="56"/>
    <n v="9"/>
    <n v="119586"/>
    <n v="387904"/>
    <n v="0"/>
    <n v="-1.0053339140795958"/>
    <n v="0.9547270306258322"/>
    <n v="0.63636363636363635"/>
    <n v="0.19047619047619047"/>
    <n v="0"/>
    <n v="99550.5"/>
    <n v="0.12770111651875177"/>
  </r>
  <r>
    <n v="831"/>
    <s v="b470a9ba-f292-40c8-8930-bc030ef950d7"/>
    <x v="0"/>
    <x v="1"/>
    <x v="7"/>
    <s v="в аренде"/>
    <s v="консолидация кредитов"/>
    <n v="267542"/>
    <n v="746"/>
    <n v="1578881"/>
    <n v="15657.33"/>
    <n v="10"/>
    <n v="71"/>
    <n v="11"/>
    <n v="195966"/>
    <n v="387882"/>
    <n v="0"/>
    <n v="-0.23941683421010365"/>
    <n v="0.99334221038615178"/>
    <n v="0.80681818181818177"/>
    <n v="0.23809523809523808"/>
    <n v="0"/>
    <n v="131573.41666666666"/>
    <n v="0.11900070999651019"/>
  </r>
  <r>
    <n v="95"/>
    <s v="40deeacb-f472-4241-9861-56ce8bfe3151"/>
    <x v="0"/>
    <x v="1"/>
    <x v="8"/>
    <s v="в аренде"/>
    <s v="консолидация кредитов"/>
    <n v="306548"/>
    <n v="0"/>
    <n v="1168044"/>
    <n v="11157.37"/>
    <n v="17.5"/>
    <n v="35.265240640000002"/>
    <n v="10"/>
    <n v="200127"/>
    <n v="387508"/>
    <n v="0"/>
    <n v="-1.7344719310903343E-2"/>
    <n v="0"/>
    <n v="0.40074137090909095"/>
    <n v="0.21428571428571427"/>
    <n v="0"/>
    <n v="97337"/>
    <n v="0.11462619558852236"/>
  </r>
  <r>
    <n v="4"/>
    <s v="e777faab-98ae-45af-9a86-7ce5b33b1011"/>
    <x v="0"/>
    <x v="0"/>
    <x v="6"/>
    <s v="в собственности"/>
    <s v="консолидация кредитов"/>
    <n v="347666"/>
    <n v="721"/>
    <n v="806949"/>
    <n v="8741.9"/>
    <n v="12"/>
    <n v="35.265240640000002"/>
    <n v="9"/>
    <n v="256329"/>
    <n v="386958"/>
    <n v="0"/>
    <n v="0.21675160485525874"/>
    <n v="0.96005326231691079"/>
    <n v="0.40074137090909095"/>
    <n v="0.19047619047619047"/>
    <n v="0"/>
    <n v="67245.75"/>
    <n v="0.12999929363565726"/>
  </r>
  <r>
    <n v="1331"/>
    <s v="511909f0-3ab2-4929-a383-6bf74f93b74d"/>
    <x v="1"/>
    <x v="1"/>
    <x v="6"/>
    <s v="в аренде"/>
    <s v="иное"/>
    <n v="212058"/>
    <n v="690"/>
    <n v="763116"/>
    <n v="7313.1"/>
    <n v="6.8"/>
    <n v="35.265240640000002"/>
    <n v="10"/>
    <n v="142861"/>
    <n v="386474"/>
    <n v="0"/>
    <n v="-0.55530283182757867"/>
    <n v="0.91877496671105197"/>
    <n v="0.40074137090909095"/>
    <n v="0.21428571428571427"/>
    <n v="0"/>
    <n v="63593"/>
    <n v="0.11499850612488796"/>
  </r>
  <r>
    <n v="738"/>
    <s v="d5a5f0e6-8396-4647-be2b-62765db34da4"/>
    <x v="0"/>
    <x v="1"/>
    <x v="5"/>
    <s v="в аренде"/>
    <s v="консолидация кредитов"/>
    <n v="259820"/>
    <n v="0"/>
    <n v="1168044"/>
    <n v="19026.98"/>
    <n v="9.9"/>
    <n v="35.265240640000002"/>
    <n v="8"/>
    <n v="181678"/>
    <n v="385308"/>
    <n v="1"/>
    <n v="-0.28338034934243261"/>
    <n v="0"/>
    <n v="0.40074137090909095"/>
    <n v="0.16666666666666666"/>
    <n v="0.14285714285714285"/>
    <n v="97337"/>
    <n v="0.19547530743704861"/>
  </r>
  <r>
    <n v="1472"/>
    <s v="75fc6688-6d38-4b76-b145-c80552130679"/>
    <x v="0"/>
    <x v="1"/>
    <x v="8"/>
    <s v="в аренде"/>
    <s v="консолидация кредитов"/>
    <n v="328152"/>
    <n v="699"/>
    <n v="944680"/>
    <n v="18027.77"/>
    <n v="15.6"/>
    <n v="71"/>
    <n v="16"/>
    <n v="301169"/>
    <n v="385308"/>
    <n v="0"/>
    <n v="0.10565292131572648"/>
    <n v="0.93075898801597867"/>
    <n v="0.80681818181818177"/>
    <n v="0.35714285714285715"/>
    <n v="0"/>
    <n v="78723.333333333328"/>
    <n v="0.2290016090104586"/>
  </r>
  <r>
    <n v="184"/>
    <s v="7d09ca08-2cdd-4da0-8419-56efa1742725"/>
    <x v="0"/>
    <x v="1"/>
    <x v="1"/>
    <s v="в ипотеке"/>
    <s v="консолидация кредитов"/>
    <n v="333124"/>
    <n v="703"/>
    <n v="1300246"/>
    <n v="13110.76"/>
    <n v="14.6"/>
    <n v="22"/>
    <n v="10"/>
    <n v="173128"/>
    <n v="384032"/>
    <n v="0"/>
    <n v="0.13395991396503235"/>
    <n v="0.93608521970705727"/>
    <n v="0.25"/>
    <n v="0.21428571428571427"/>
    <n v="0"/>
    <n v="108353.83333333333"/>
    <n v="0.12099950317093842"/>
  </r>
  <r>
    <n v="1116"/>
    <s v="655fe105-0c6b-4f85-b1b0-e63abcb64c29"/>
    <x v="0"/>
    <x v="1"/>
    <x v="10"/>
    <s v="в ипотеке"/>
    <s v="консолидация кредитов"/>
    <n v="115566"/>
    <n v="0"/>
    <n v="1168044"/>
    <n v="17219.13"/>
    <n v="15.2"/>
    <n v="35.265240640000002"/>
    <n v="13"/>
    <n v="116375"/>
    <n v="383878"/>
    <n v="1"/>
    <n v="-1.1046588927118948"/>
    <n v="0"/>
    <n v="0.40074137090909095"/>
    <n v="0.2857142857142857"/>
    <n v="0.14285714285714285"/>
    <n v="97337"/>
    <n v="0.17690220573882492"/>
  </r>
  <r>
    <n v="818"/>
    <s v="85338b3c-6715-4eca-81f4-44540110f1cb"/>
    <x v="0"/>
    <x v="1"/>
    <x v="2"/>
    <s v="в собственности"/>
    <s v="ремонт жилья"/>
    <n v="158620"/>
    <n v="694"/>
    <n v="475665"/>
    <n v="3900.51"/>
    <n v="9.8000000000000007"/>
    <n v="31"/>
    <n v="11"/>
    <n v="84835"/>
    <n v="383724"/>
    <n v="0"/>
    <n v="-0.85954037671768435"/>
    <n v="0.92410119840213045"/>
    <n v="0.35227272727272729"/>
    <n v="0.23809523809523808"/>
    <n v="0"/>
    <n v="39638.75"/>
    <n v="9.8401437986818455E-2"/>
  </r>
  <r>
    <n v="1318"/>
    <s v="cbd968ff-3af4-493b-86d0-9bbc1a0c9100"/>
    <x v="0"/>
    <x v="1"/>
    <x v="1"/>
    <s v="в аренде"/>
    <s v="консолидация кредитов"/>
    <n v="111012"/>
    <n v="699"/>
    <n v="325945"/>
    <n v="2015.52"/>
    <n v="9.1999999999999993"/>
    <n v="35.265240640000002"/>
    <n v="7"/>
    <n v="45410"/>
    <n v="383724"/>
    <n v="0"/>
    <n v="-1.1305860939437811"/>
    <n v="0.93075898801597867"/>
    <n v="0.40074137090909095"/>
    <n v="0.14285714285714285"/>
    <n v="0"/>
    <n v="27162.083333333332"/>
    <n v="7.4203439230545037E-2"/>
  </r>
  <r>
    <n v="982"/>
    <s v="5d4cc1e3-7890-401e-9760-2a1dafb7d00c"/>
    <x v="1"/>
    <x v="0"/>
    <x v="3"/>
    <s v="в аренде"/>
    <s v="консолидация кредитов"/>
    <n v="268730"/>
    <n v="681"/>
    <n v="1218432"/>
    <n v="19819.66"/>
    <n v="16.3"/>
    <n v="35.265240640000002"/>
    <n v="6"/>
    <n v="265677"/>
    <n v="383086"/>
    <n v="0"/>
    <n v="-0.23265321649743764"/>
    <n v="0.90679094540612515"/>
    <n v="0.40074137090909095"/>
    <n v="0.11904761904761904"/>
    <n v="0"/>
    <n v="101536"/>
    <n v="0.19519835329341317"/>
  </r>
  <r>
    <n v="1824"/>
    <s v="2efb40b1-c1ca-4ff9-b2e2-176960af0cd5"/>
    <x v="0"/>
    <x v="1"/>
    <x v="9"/>
    <s v="в ипотеке"/>
    <s v="консолидация кредитов"/>
    <n v="262966"/>
    <n v="746"/>
    <n v="757036"/>
    <n v="7128.8"/>
    <n v="16.8"/>
    <n v="35.265240640000002"/>
    <n v="7"/>
    <n v="189601"/>
    <n v="381128"/>
    <n v="2"/>
    <n v="-0.26546928762185418"/>
    <n v="0.99334221038615178"/>
    <n v="0.40074137090909095"/>
    <n v="0.14285714285714285"/>
    <n v="0.2857142857142857"/>
    <n v="63086.333333333336"/>
    <n v="0.11300070274068869"/>
  </r>
  <r>
    <n v="1895"/>
    <s v="ab53ab60-b284-45b4-965b-2dc5dd87d3bf"/>
    <x v="1"/>
    <x v="1"/>
    <x v="1"/>
    <s v="в аренде"/>
    <s v="консолидация кредитов"/>
    <n v="103686"/>
    <n v="0"/>
    <n v="1168044"/>
    <n v="9779.8700000000008"/>
    <n v="9.4"/>
    <n v="35.265240640000002"/>
    <n v="12"/>
    <n v="114152"/>
    <n v="380864"/>
    <n v="0"/>
    <n v="-1.1722950698385548"/>
    <n v="0"/>
    <n v="0.40074137090909095"/>
    <n v="0.26190476190476192"/>
    <n v="0"/>
    <n v="97337"/>
    <n v="0.10047433144641812"/>
  </r>
  <r>
    <n v="998"/>
    <s v="2b38d634-6d1b-438e-b614-3b3dbac96d48"/>
    <x v="0"/>
    <x v="0"/>
    <x v="1"/>
    <s v="в аренде"/>
    <s v="консолидация кредитов"/>
    <n v="387310"/>
    <n v="708"/>
    <n v="1368418"/>
    <n v="14368.37"/>
    <n v="22.9"/>
    <n v="24"/>
    <n v="3"/>
    <n v="234422"/>
    <n v="380688"/>
    <n v="0"/>
    <n v="0.44245603297052039"/>
    <n v="0.94274300932090549"/>
    <n v="0.27272727272727271"/>
    <n v="4.7619047619047616E-2"/>
    <n v="0"/>
    <n v="114034.83333333333"/>
    <n v="0.12599983338424373"/>
  </r>
  <r>
    <n v="733"/>
    <s v="f04a5152-3154-426b-8647-4f9ce778f861"/>
    <x v="1"/>
    <x v="0"/>
    <x v="3"/>
    <s v="в аренде"/>
    <s v="консолидация кредитов"/>
    <n v="263362"/>
    <n v="731"/>
    <n v="614118"/>
    <n v="8300.91"/>
    <n v="14.1"/>
    <n v="35.265240640000002"/>
    <n v="8"/>
    <n v="158213"/>
    <n v="380050"/>
    <n v="0"/>
    <n v="-0.26321474838429881"/>
    <n v="0.97336884154460723"/>
    <n v="0.40074137090909095"/>
    <n v="0.16666666666666666"/>
    <n v="0"/>
    <n v="51176.5"/>
    <n v="0.16220159643586413"/>
  </r>
  <r>
    <n v="1631"/>
    <s v="4b6003ad-5e2a-404e-b955-b4ec6a1d4123"/>
    <x v="1"/>
    <x v="1"/>
    <x v="1"/>
    <s v="в ипотеке"/>
    <s v="консолидация кредитов"/>
    <n v="213378"/>
    <n v="0"/>
    <n v="1168044"/>
    <n v="10135.36"/>
    <n v="9.3000000000000007"/>
    <n v="35.265240640000002"/>
    <n v="10"/>
    <n v="231686"/>
    <n v="379984"/>
    <n v="0"/>
    <n v="-0.54778770103572749"/>
    <n v="0"/>
    <n v="0.40074137090909095"/>
    <n v="0.21428571428571427"/>
    <n v="0"/>
    <n v="97337"/>
    <n v="0.10412648838571151"/>
  </r>
  <r>
    <n v="52"/>
    <s v="2884d362-391a-4941-af69-c825cae18002"/>
    <x v="1"/>
    <x v="0"/>
    <x v="1"/>
    <s v="в аренде"/>
    <s v="консолидация кредитов"/>
    <n v="219692"/>
    <n v="661"/>
    <n v="527839"/>
    <n v="14207.63"/>
    <n v="17"/>
    <n v="48"/>
    <n v="9"/>
    <n v="254277"/>
    <n v="379918"/>
    <n v="0"/>
    <n v="-0.51184032541470637"/>
    <n v="0.88015978695073238"/>
    <n v="0.54545454545454541"/>
    <n v="0.19047619047619047"/>
    <n v="0"/>
    <n v="43986.583333333336"/>
    <n v="0.32299917209603685"/>
  </r>
  <r>
    <n v="1693"/>
    <s v="7d20bfbe-3a36-4eb8-b237-cab70920d527"/>
    <x v="1"/>
    <x v="1"/>
    <x v="4"/>
    <s v="в аренде"/>
    <s v="консолидация кредитов"/>
    <n v="171710"/>
    <n v="731"/>
    <n v="926820"/>
    <n v="12203.13"/>
    <n v="16.5"/>
    <n v="35.265240640000002"/>
    <n v="19"/>
    <n v="115672"/>
    <n v="379412"/>
    <n v="1"/>
    <n v="-0.78501532969849419"/>
    <n v="0.97336884154460723"/>
    <n v="0.40074137090909095"/>
    <n v="0.42857142857142855"/>
    <n v="0.14285714285714285"/>
    <n v="77235"/>
    <n v="0.158"/>
  </r>
  <r>
    <n v="1928"/>
    <s v="ca3c336d-32c3-4cf4-bbad-4967f3e60eb8"/>
    <x v="0"/>
    <x v="0"/>
    <x v="3"/>
    <s v="в ипотеке"/>
    <s v="консолидация кредитов"/>
    <n v="445588"/>
    <n v="0"/>
    <n v="1168044"/>
    <n v="26681.32"/>
    <n v="23.1"/>
    <n v="35.265240640000002"/>
    <n v="8"/>
    <n v="220267"/>
    <n v="378972"/>
    <n v="0"/>
    <n v="0.7742490574307469"/>
    <n v="0"/>
    <n v="0.40074137090909095"/>
    <n v="0.16666666666666666"/>
    <n v="0"/>
    <n v="97337"/>
    <n v="0.27411282451688462"/>
  </r>
  <r>
    <n v="436"/>
    <s v="35de5f47-b2b9-4e16-af6a-5455ade15f11"/>
    <x v="0"/>
    <x v="1"/>
    <x v="2"/>
    <s v="в ипотеке"/>
    <s v="консолидация кредитов"/>
    <n v="405746"/>
    <n v="742"/>
    <n v="1168044"/>
    <n v="21511.42"/>
    <n v="13.8"/>
    <n v="35.265240640000002"/>
    <n v="9"/>
    <n v="286748"/>
    <n v="378598"/>
    <n v="1"/>
    <n v="0.54741735969670757"/>
    <n v="0.98801597869507318"/>
    <n v="0.40074137090909095"/>
    <n v="0.19047619047619047"/>
    <n v="0.14285714285714285"/>
    <n v="97337"/>
    <n v="0.22099941440562168"/>
  </r>
  <r>
    <n v="1975"/>
    <s v="8bd7e755-6d55-414b-bdce-2cc4561bb223"/>
    <x v="0"/>
    <x v="1"/>
    <x v="5"/>
    <s v="в аренде"/>
    <s v="консолидация кредитов"/>
    <n v="109978"/>
    <n v="751"/>
    <n v="1044696"/>
    <n v="16540.830000000002"/>
    <n v="18.899999999999999"/>
    <n v="32"/>
    <n v="18"/>
    <n v="42826"/>
    <n v="378598"/>
    <n v="0"/>
    <n v="-1.1364729463973977"/>
    <n v="1"/>
    <n v="0.36363636363636365"/>
    <n v="0.40476190476190477"/>
    <n v="0"/>
    <n v="87058"/>
    <n v="0.18999781754692277"/>
  </r>
  <r>
    <n v="246"/>
    <s v="d05982f1-bfcd-418f-add8-afcdd79c1e02"/>
    <x v="1"/>
    <x v="0"/>
    <x v="1"/>
    <s v="в аренде"/>
    <s v="консолидация кредитов"/>
    <n v="427988"/>
    <n v="729"/>
    <n v="1624082"/>
    <n v="3640.78"/>
    <n v="19.2"/>
    <n v="35.265240640000002"/>
    <n v="5"/>
    <n v="132088"/>
    <n v="378576"/>
    <n v="0"/>
    <n v="0.67404731353939873"/>
    <n v="0.97070572569906788"/>
    <n v="0.40074137090909095"/>
    <n v="9.5238095238095233E-2"/>
    <n v="0"/>
    <n v="135340.16666666666"/>
    <n v="2.6900956971384452E-2"/>
  </r>
  <r>
    <n v="498"/>
    <s v="90ae759f-f8c8-41b7-ba0c-e0d1a334f568"/>
    <x v="1"/>
    <x v="1"/>
    <x v="1"/>
    <s v="в ипотеке"/>
    <s v="консолидация кредитов"/>
    <n v="221320"/>
    <n v="740"/>
    <n v="860130"/>
    <n v="5390.11"/>
    <n v="14"/>
    <n v="21"/>
    <n v="11"/>
    <n v="117952"/>
    <n v="378334"/>
    <n v="1"/>
    <n v="-0.50257166410475662"/>
    <n v="0.98535286284953394"/>
    <n v="0.23863636363636365"/>
    <n v="0.23809523809523808"/>
    <n v="0.14285714285714285"/>
    <n v="71677.5"/>
    <n v="7.5199469847581177E-2"/>
  </r>
  <r>
    <n v="1457"/>
    <s v="0fde2e42-e7af-4ec6-b51a-b74b5c410f03"/>
    <x v="0"/>
    <x v="0"/>
    <x v="3"/>
    <s v="в ипотеке"/>
    <s v="консолидация кредитов"/>
    <n v="432168"/>
    <n v="714"/>
    <n v="2090114"/>
    <n v="18114.41"/>
    <n v="18.7"/>
    <n v="18"/>
    <n v="10"/>
    <n v="154508"/>
    <n v="378202"/>
    <n v="0"/>
    <n v="0.69784522771359392"/>
    <n v="0.95073235685752333"/>
    <n v="0.20454545454545456"/>
    <n v="0.21428571428571427"/>
    <n v="0"/>
    <n v="174176.16666666666"/>
    <n v="0.10400050906314201"/>
  </r>
  <r>
    <n v="1498"/>
    <s v="f6b656ba-bd37-441a-bdf4-96b2f5544fd4"/>
    <x v="0"/>
    <x v="0"/>
    <x v="1"/>
    <s v="в ипотеке"/>
    <s v="консолидация кредитов"/>
    <n v="355454"/>
    <n v="0"/>
    <n v="1168044"/>
    <n v="24123.35"/>
    <n v="13.9"/>
    <n v="35.265240640000002"/>
    <n v="21"/>
    <n v="263663"/>
    <n v="377828"/>
    <n v="0"/>
    <n v="0.26109087652718027"/>
    <n v="0"/>
    <n v="0.40074137090909095"/>
    <n v="0.47619047619047616"/>
    <n v="0"/>
    <n v="97337"/>
    <n v="0.2478333008003123"/>
  </r>
  <r>
    <n v="1621"/>
    <s v="2728bf13-764f-44da-8938-0c1cea146b4e"/>
    <x v="0"/>
    <x v="1"/>
    <x v="5"/>
    <s v="в аренде"/>
    <s v="консолидация кредитов"/>
    <n v="143352"/>
    <n v="699"/>
    <n v="671783"/>
    <n v="11868.16"/>
    <n v="9.9"/>
    <n v="35.265240640000002"/>
    <n v="7"/>
    <n v="236531"/>
    <n v="377740"/>
    <n v="0"/>
    <n v="-0.94646538954342885"/>
    <n v="0.93075898801597867"/>
    <n v="0.40074137090909095"/>
    <n v="0.14285714285714285"/>
    <n v="0"/>
    <n v="55981.916666666664"/>
    <n v="0.21199988686822976"/>
  </r>
  <r>
    <n v="288"/>
    <s v="735ddd4f-0c4a-41b8-ba3b-f52b98fa8e2e"/>
    <x v="0"/>
    <x v="1"/>
    <x v="2"/>
    <s v="в аренде"/>
    <s v="консолидация кредитов"/>
    <n v="110902"/>
    <n v="697"/>
    <n v="2202917"/>
    <n v="30290.18"/>
    <n v="11.5"/>
    <n v="35.265240640000002"/>
    <n v="20"/>
    <n v="104291"/>
    <n v="377366"/>
    <n v="0"/>
    <n v="-1.1312123548431021"/>
    <n v="0.92809587217043943"/>
    <n v="0.40074137090909095"/>
    <n v="0.45238095238095238"/>
    <n v="0"/>
    <n v="183576.41666666666"/>
    <n v="0.1650003881217495"/>
  </r>
  <r>
    <n v="1660"/>
    <s v="4de7f66c-71a9-4b46-841b-1690269e98a2"/>
    <x v="0"/>
    <x v="1"/>
    <x v="1"/>
    <s v="в ипотеке"/>
    <s v="консолидация кредитов"/>
    <n v="218020"/>
    <n v="737"/>
    <n v="860491"/>
    <n v="6403.38"/>
    <n v="24.9"/>
    <n v="78"/>
    <n v="11"/>
    <n v="140125"/>
    <n v="377322"/>
    <n v="1"/>
    <n v="-0.5213594910843844"/>
    <n v="0.98135818908122507"/>
    <n v="0.88636363636363635"/>
    <n v="0.23809523809523808"/>
    <n v="0.14285714285714285"/>
    <n v="71707.583333333328"/>
    <n v="8.929850515577735E-2"/>
  </r>
  <r>
    <n v="388"/>
    <s v="77cc7b59-b2db-4c65-bfb6-d878b1a228fa"/>
    <x v="0"/>
    <x v="0"/>
    <x v="6"/>
    <s v="в аренде"/>
    <s v="консолидация кредитов"/>
    <n v="380622"/>
    <n v="657"/>
    <n v="969665"/>
    <n v="26665.74"/>
    <n v="10.6"/>
    <n v="35.265240640000002"/>
    <n v="5"/>
    <n v="305482"/>
    <n v="377102"/>
    <n v="0"/>
    <n v="0.40437937029180809"/>
    <n v="0.87483355525965378"/>
    <n v="0.40074137090909095"/>
    <n v="9.5238095238095233E-2"/>
    <n v="0"/>
    <n v="80805.416666666672"/>
    <n v="0.3299994121681199"/>
  </r>
  <r>
    <n v="955"/>
    <s v="49e7490e-5847-4541-9d62-c8a2b757cfdd"/>
    <x v="0"/>
    <x v="1"/>
    <x v="3"/>
    <s v="в ипотеке"/>
    <s v="консолидация кредитов"/>
    <n v="309594.52439999999"/>
    <n v="749"/>
    <n v="677635"/>
    <n v="16302.95"/>
    <n v="20.100000000000001"/>
    <n v="35.265240640000002"/>
    <n v="8"/>
    <n v="205428"/>
    <n v="376948"/>
    <n v="0"/>
    <n v="-1.2411115481956205E-10"/>
    <n v="0.99733688415446076"/>
    <n v="0.40074137090909095"/>
    <n v="0.16666666666666666"/>
    <n v="0"/>
    <n v="56469.583333333336"/>
    <n v="0.28870321043039393"/>
  </r>
  <r>
    <n v="1060"/>
    <s v="0f58de51-9c4a-4a09-9ebf-25b35fccb543"/>
    <x v="0"/>
    <x v="0"/>
    <x v="3"/>
    <s v="в аренде"/>
    <s v="консолидация кредитов"/>
    <n v="403810"/>
    <n v="674"/>
    <n v="1375581"/>
    <n v="13182.58"/>
    <n v="28.4"/>
    <n v="6"/>
    <n v="9"/>
    <n v="215422"/>
    <n v="376794"/>
    <n v="0"/>
    <n v="0.53639516786865926"/>
    <n v="0.89747003994673769"/>
    <n v="6.8181818181818177E-2"/>
    <n v="0.19047619047619047"/>
    <n v="0"/>
    <n v="114631.75"/>
    <n v="0.11499937844445365"/>
  </r>
  <r>
    <n v="460"/>
    <s v="78bd8382-79d1-46fb-b73e-13549f184e9a"/>
    <x v="0"/>
    <x v="1"/>
    <x v="7"/>
    <s v="в аренде"/>
    <s v="консолидация кредитов"/>
    <n v="309594.52439999999"/>
    <n v="745"/>
    <n v="665608"/>
    <n v="14754.07"/>
    <n v="15.5"/>
    <n v="55"/>
    <n v="5"/>
    <n v="231553"/>
    <n v="376552"/>
    <n v="0"/>
    <n v="-1.2411115481956205E-10"/>
    <n v="0.99201065246338216"/>
    <n v="0.625"/>
    <n v="9.5238095238095233E-2"/>
    <n v="0"/>
    <n v="55467.333333333336"/>
    <n v="0.26599566110984241"/>
  </r>
  <r>
    <n v="889"/>
    <s v="5d2aedf5-4d9a-409c-a600-d33f3a04e103"/>
    <x v="0"/>
    <x v="0"/>
    <x v="0"/>
    <s v="в ипотеке"/>
    <s v="консолидация кредитов"/>
    <n v="303688"/>
    <n v="703"/>
    <n v="950285"/>
    <n v="14016.68"/>
    <n v="19"/>
    <n v="38"/>
    <n v="19"/>
    <n v="58520"/>
    <n v="376442"/>
    <n v="1"/>
    <n v="-3.3627502693247414E-2"/>
    <n v="0.93608521970705727"/>
    <n v="0.43181818181818182"/>
    <n v="0.42857142857142855"/>
    <n v="0.14285714285714285"/>
    <n v="79190.416666666672"/>
    <n v="0.17699970008997301"/>
  </r>
  <r>
    <n v="1786"/>
    <s v="a88f81dd-63e9-4ee0-b6b5-b544cee9a644"/>
    <x v="0"/>
    <x v="1"/>
    <x v="3"/>
    <s v="в аренде"/>
    <s v="ремонт жилья"/>
    <n v="309594.52439999999"/>
    <n v="721"/>
    <n v="2344429"/>
    <n v="13597.73"/>
    <n v="13.2"/>
    <n v="21"/>
    <n v="10"/>
    <n v="234213"/>
    <n v="376134"/>
    <n v="0"/>
    <n v="-1.2411115481956205E-10"/>
    <n v="0.96005326231691079"/>
    <n v="0.23863636363636365"/>
    <n v="0.21428571428571427"/>
    <n v="0"/>
    <n v="195369.08333333334"/>
    <n v="6.9600213954016096E-2"/>
  </r>
  <r>
    <n v="1996"/>
    <s v="8e019b6a-7659-4fd9-989a-20bdece85ab5"/>
    <x v="1"/>
    <x v="1"/>
    <x v="7"/>
    <s v="в аренде"/>
    <s v="бизнес"/>
    <n v="553080"/>
    <n v="740"/>
    <n v="1910640"/>
    <n v="2499.64"/>
    <n v="26"/>
    <n v="28"/>
    <n v="9"/>
    <n v="323"/>
    <n v="376090"/>
    <n v="0"/>
    <n v="1.3862312082471555"/>
    <n v="0.98535286284953394"/>
    <n v="0.31818181818181818"/>
    <n v="0.19047619047619047"/>
    <n v="0"/>
    <n v="159220"/>
    <n v="1.5699284009546538E-2"/>
  </r>
  <r>
    <n v="1470"/>
    <s v="f4ab24a6-9bbd-4a0b-8dc1-d1388e1a5882"/>
    <x v="0"/>
    <x v="1"/>
    <x v="1"/>
    <s v="в ипотеке"/>
    <s v="ремонт жилья"/>
    <n v="309594.52439999999"/>
    <n v="718"/>
    <n v="853898"/>
    <n v="12381.35"/>
    <n v="13.4"/>
    <n v="35.265240640000002"/>
    <n v="10"/>
    <n v="122227"/>
    <n v="375408"/>
    <n v="1"/>
    <n v="-1.2411115481956205E-10"/>
    <n v="0.95605858854860182"/>
    <n v="0.40074137090909095"/>
    <n v="0.21428571428571427"/>
    <n v="0.14285714285714285"/>
    <n v="71158.166666666672"/>
    <n v="0.17399759690267455"/>
  </r>
  <r>
    <n v="1407"/>
    <s v="a7abd60b-7a59-425d-9925-460987ec6c3e"/>
    <x v="1"/>
    <x v="1"/>
    <x v="5"/>
    <s v="в собственности"/>
    <s v="консолидация кредитов"/>
    <n v="392722"/>
    <n v="748"/>
    <n v="1168215"/>
    <n v="15089.42"/>
    <n v="30.9"/>
    <n v="30"/>
    <n v="18"/>
    <n v="120498"/>
    <n v="375056"/>
    <n v="0"/>
    <n v="0.47326806921710995"/>
    <n v="0.99600532623169102"/>
    <n v="0.34090909090909088"/>
    <n v="0.40476190476190477"/>
    <n v="0"/>
    <n v="97351.25"/>
    <n v="0.15499975603805807"/>
  </r>
  <r>
    <n v="1480"/>
    <s v="c8065825-f4d7-4db3-bede-5005691ad175"/>
    <x v="0"/>
    <x v="1"/>
    <x v="10"/>
    <s v="в аренде"/>
    <s v="консолидация кредитов"/>
    <n v="309594.52439999999"/>
    <n v="737"/>
    <n v="823878"/>
    <n v="11671.51"/>
    <n v="9.5"/>
    <n v="35.265240640000002"/>
    <n v="5"/>
    <n v="202388"/>
    <n v="374946"/>
    <n v="0"/>
    <n v="-1.2411115481956205E-10"/>
    <n v="0.98135818908122507"/>
    <n v="0.40074137090909095"/>
    <n v="9.5238095238095233E-2"/>
    <n v="0"/>
    <n v="68656.5"/>
    <n v="0.16999861629998617"/>
  </r>
  <r>
    <n v="790"/>
    <s v="a3e9cb3b-5724-402c-9d6f-cf616d9b7b35"/>
    <x v="0"/>
    <x v="1"/>
    <x v="8"/>
    <s v="в аренде"/>
    <s v="консолидация кредитов"/>
    <n v="227546"/>
    <n v="709"/>
    <n v="561450"/>
    <n v="16141.64"/>
    <n v="17.3"/>
    <n v="54"/>
    <n v="10"/>
    <n v="269667"/>
    <n v="374858"/>
    <n v="4"/>
    <n v="-0.46712529720319229"/>
    <n v="0.94407456724367511"/>
    <n v="0.61363636363636365"/>
    <n v="0.21428571428571427"/>
    <n v="0.5714285714285714"/>
    <n v="46787.5"/>
    <n v="0.34499898477157359"/>
  </r>
  <r>
    <n v="1468"/>
    <s v="e1886207-6d8b-4bcd-b6e9-0c7d7ce1b4ac"/>
    <x v="0"/>
    <x v="1"/>
    <x v="4"/>
    <s v="в ипотеке"/>
    <s v="консолидация кредитов"/>
    <n v="309594.52439999999"/>
    <n v="746"/>
    <n v="3058829"/>
    <n v="20213.72"/>
    <n v="14"/>
    <n v="24"/>
    <n v="5"/>
    <n v="21679"/>
    <n v="374528"/>
    <n v="0"/>
    <n v="-1.2411115481956205E-10"/>
    <n v="0.99334221038615178"/>
    <n v="0.27272727272727271"/>
    <n v="9.5238095238095233E-2"/>
    <n v="0"/>
    <n v="254902.41666666666"/>
    <n v="7.9299836636830642E-2"/>
  </r>
  <r>
    <n v="207"/>
    <s v="117496d1-3c6e-4299-a8f6-0e4668b6bef9"/>
    <x v="0"/>
    <x v="0"/>
    <x v="5"/>
    <s v="в аренде"/>
    <s v="консолидация кредитов"/>
    <n v="301114"/>
    <n v="645"/>
    <n v="825246"/>
    <n v="5948.71"/>
    <n v="9"/>
    <n v="35.265240640000002"/>
    <n v="10"/>
    <n v="59888"/>
    <n v="372746"/>
    <n v="1"/>
    <n v="-4.828200773735708E-2"/>
    <n v="0.8588548601864181"/>
    <n v="0.40074137090909095"/>
    <n v="0.21428571428571427"/>
    <n v="0.14285714285714285"/>
    <n v="68770.5"/>
    <n v="8.650089791407653E-2"/>
  </r>
  <r>
    <n v="635"/>
    <s v="058cea79-8bb7-4ac1-9b7d-c698263e3622"/>
    <x v="1"/>
    <x v="1"/>
    <x v="1"/>
    <s v="в аренде"/>
    <s v="консолидация кредитов"/>
    <n v="329054"/>
    <n v="710"/>
    <n v="1136694"/>
    <n v="15819.02"/>
    <n v="10.9"/>
    <n v="37"/>
    <n v="14"/>
    <n v="108091"/>
    <n v="372526"/>
    <n v="0"/>
    <n v="0.11078826069015808"/>
    <n v="0.94540612516644473"/>
    <n v="0.42045454545454547"/>
    <n v="0.30952380952380953"/>
    <n v="0"/>
    <n v="94724.5"/>
    <n v="0.16700030087253034"/>
  </r>
  <r>
    <n v="1145"/>
    <s v="b17e908e-2685-48ad-b4eb-aba50b941e45"/>
    <x v="0"/>
    <x v="1"/>
    <x v="3"/>
    <s v="в аренде"/>
    <s v="консолидация кредитов"/>
    <n v="309594.52439999999"/>
    <n v="740"/>
    <n v="575852"/>
    <n v="3987.91"/>
    <n v="15.9"/>
    <n v="35.265240640000002"/>
    <n v="10"/>
    <n v="60800"/>
    <n v="372460"/>
    <n v="0"/>
    <n v="-1.2411115481956205E-10"/>
    <n v="0.98535286284953394"/>
    <n v="0.40074137090909095"/>
    <n v="0.21428571428571427"/>
    <n v="0"/>
    <n v="47987.666666666664"/>
    <n v="8.3102811138973207E-2"/>
  </r>
  <r>
    <n v="513"/>
    <s v="529ae1a0-365c-4f30-96c9-217b8128b4e0"/>
    <x v="1"/>
    <x v="1"/>
    <x v="0"/>
    <s v="в ипотеке"/>
    <s v="иное"/>
    <n v="244398"/>
    <n v="0"/>
    <n v="1168044"/>
    <n v="4844.24"/>
    <n v="13.3"/>
    <n v="35.265240640000002"/>
    <n v="7"/>
    <n v="190456"/>
    <n v="371250"/>
    <n v="0"/>
    <n v="-0.37118212742722645"/>
    <n v="0"/>
    <n v="0.40074137090909095"/>
    <n v="0.14285714285714285"/>
    <n v="0"/>
    <n v="97337"/>
    <n v="4.9767714229943388E-2"/>
  </r>
  <r>
    <n v="1743"/>
    <s v="ec2502b6-b5fb-4b48-b06c-99c0ced63970"/>
    <x v="0"/>
    <x v="1"/>
    <x v="1"/>
    <s v="в ипотеке"/>
    <s v="консолидация кредитов"/>
    <n v="268994"/>
    <n v="751"/>
    <n v="1490645"/>
    <n v="10161.200000000001"/>
    <n v="26.4"/>
    <n v="35.265240640000002"/>
    <n v="7"/>
    <n v="35568"/>
    <n v="370986"/>
    <n v="0"/>
    <n v="-0.23115019033906742"/>
    <n v="1"/>
    <n v="0.40074137090909095"/>
    <n v="0.14285714285714285"/>
    <n v="0"/>
    <n v="124220.41666666667"/>
    <n v="8.1799757822955843E-2"/>
  </r>
  <r>
    <n v="917"/>
    <s v="673bcab3-a781-4dc4-95e0-14a78276e6a2"/>
    <x v="0"/>
    <x v="1"/>
    <x v="1"/>
    <s v="в ипотеке"/>
    <s v="консолидация кредитов"/>
    <n v="155452"/>
    <n v="743"/>
    <n v="1726074"/>
    <n v="36822.949999999997"/>
    <n v="23"/>
    <n v="36"/>
    <n v="24"/>
    <n v="216999"/>
    <n v="370612"/>
    <n v="0"/>
    <n v="-0.87757669061812704"/>
    <n v="0.98934753661784292"/>
    <n v="0.40909090909090912"/>
    <n v="0.54761904761904767"/>
    <n v="0"/>
    <n v="143839.5"/>
    <n v="0.25600026418334321"/>
  </r>
  <r>
    <n v="61"/>
    <s v="e947abb6-87fa-4e75-b381-d487bc4dd0bf"/>
    <x v="1"/>
    <x v="0"/>
    <x v="9"/>
    <s v="в ипотеке"/>
    <s v="консолидация кредитов"/>
    <n v="290224"/>
    <n v="644"/>
    <n v="837045"/>
    <n v="8230.99"/>
    <n v="18.3"/>
    <n v="10"/>
    <n v="11"/>
    <n v="176624"/>
    <n v="370480"/>
    <n v="0"/>
    <n v="-0.11028183677012873"/>
    <n v="0.85752330226364848"/>
    <n v="0.11363636363636363"/>
    <n v="0.23809523809523808"/>
    <n v="0"/>
    <n v="69753.75"/>
    <n v="0.1180006809669731"/>
  </r>
  <r>
    <n v="1533"/>
    <s v="90dcefd9-b407-45eb-9937-cf0b0177eb10"/>
    <x v="1"/>
    <x v="1"/>
    <x v="6"/>
    <s v="в ипотеке"/>
    <s v="консолидация кредитов"/>
    <n v="300388"/>
    <n v="692"/>
    <n v="1152996"/>
    <n v="25750.32"/>
    <n v="10.1"/>
    <n v="28"/>
    <n v="17"/>
    <n v="130302"/>
    <n v="369798"/>
    <n v="0"/>
    <n v="-5.241532967287519E-2"/>
    <n v="0.92143808255659121"/>
    <n v="0.31818181818181818"/>
    <n v="0.38095238095238093"/>
    <n v="0"/>
    <n v="96083"/>
    <n v="0.26800079098279611"/>
  </r>
  <r>
    <n v="1460"/>
    <s v="30e42314-3fe5-49e7-a758-dabd45d5901c"/>
    <x v="0"/>
    <x v="0"/>
    <x v="1"/>
    <s v="в ипотеке"/>
    <s v="консолидация кредитов"/>
    <n v="457402"/>
    <n v="670"/>
    <n v="903526"/>
    <n v="22362.240000000002"/>
    <n v="27.5"/>
    <n v="24"/>
    <n v="15"/>
    <n v="306736"/>
    <n v="369578"/>
    <n v="0"/>
    <n v="0.84150947801781428"/>
    <n v="0.89214380825565909"/>
    <n v="0.27272727272727271"/>
    <n v="0.33333333333333331"/>
    <n v="0"/>
    <n v="75293.833333333328"/>
    <n v="0.29699962148294573"/>
  </r>
  <r>
    <n v="556"/>
    <s v="42853f5a-caf5-4ddf-aac7-756d76c3455c"/>
    <x v="1"/>
    <x v="1"/>
    <x v="6"/>
    <s v="в ипотеке"/>
    <s v="консолидация кредитов"/>
    <n v="248402"/>
    <n v="0"/>
    <n v="1168044"/>
    <n v="7943.52"/>
    <n v="9.5"/>
    <n v="35.265240640000002"/>
    <n v="11"/>
    <n v="261991"/>
    <n v="369512"/>
    <n v="0"/>
    <n v="-0.34838623069194474"/>
    <n v="0"/>
    <n v="0.40074137090909095"/>
    <n v="0.23809523809523808"/>
    <n v="0"/>
    <n v="97337"/>
    <n v="8.1608432559047442E-2"/>
  </r>
  <r>
    <n v="644"/>
    <s v="1af5d57e-5f41-4179-8cd0-0861fca3cedd"/>
    <x v="0"/>
    <x v="1"/>
    <x v="2"/>
    <s v="в собственности"/>
    <s v="ремонт жилья"/>
    <n v="309594.52439999999"/>
    <n v="729"/>
    <n v="662473"/>
    <n v="5283.33"/>
    <n v="16.899999999999999"/>
    <n v="74"/>
    <n v="12"/>
    <n v="59356"/>
    <n v="369512"/>
    <n v="0"/>
    <n v="-1.2411115481956205E-10"/>
    <n v="0.97070572569906788"/>
    <n v="0.84090909090909094"/>
    <n v="0.26190476190476192"/>
    <n v="0"/>
    <n v="55206.083333333336"/>
    <n v="9.5701953136203277E-2"/>
  </r>
  <r>
    <n v="110"/>
    <s v="9d42ab3f-ccf7-4b8e-9dc0-54caaae9c343"/>
    <x v="0"/>
    <x v="0"/>
    <x v="1"/>
    <s v="в ипотеке"/>
    <s v="консолидация кредитов"/>
    <n v="340604"/>
    <n v="618"/>
    <n v="928701"/>
    <n v="21205.52"/>
    <n v="14.4"/>
    <n v="35.265240640000002"/>
    <n v="5"/>
    <n v="291137"/>
    <n v="368808"/>
    <n v="0"/>
    <n v="0.17654565511885528"/>
    <n v="0.82290279627163787"/>
    <n v="0.40074137090909095"/>
    <n v="9.5238095238095233E-2"/>
    <n v="0"/>
    <n v="77391.75"/>
    <n v="0.27400233228994048"/>
  </r>
  <r>
    <n v="1958"/>
    <s v="4863932d-8653-419c-86a7-64b78bc966b6"/>
    <x v="1"/>
    <x v="0"/>
    <x v="1"/>
    <s v="в ипотеке"/>
    <s v="консолидация кредитов"/>
    <n v="450296"/>
    <n v="739"/>
    <n v="864120"/>
    <n v="18578.77"/>
    <n v="22.5"/>
    <n v="38"/>
    <n v="7"/>
    <n v="59280"/>
    <n v="367004"/>
    <n v="0"/>
    <n v="0.80105302392168254"/>
    <n v="0.98402130492676432"/>
    <n v="0.43181818181818182"/>
    <n v="0.14285714285714285"/>
    <n v="0"/>
    <n v="72010"/>
    <n v="0.25800263852242744"/>
  </r>
  <r>
    <n v="1579"/>
    <s v="c33445ab-e7a6-4218-a199-579ec286d04e"/>
    <x v="0"/>
    <x v="1"/>
    <x v="8"/>
    <s v="в аренде"/>
    <s v="консолидация кредитов"/>
    <n v="309594.52439999999"/>
    <n v="738"/>
    <n v="792490"/>
    <n v="7990.83"/>
    <n v="11.6"/>
    <n v="35.265240640000002"/>
    <n v="6"/>
    <n v="238925"/>
    <n v="366894"/>
    <n v="0"/>
    <n v="-1.2411115481956205E-10"/>
    <n v="0.9826897470039947"/>
    <n v="0.40074137090909095"/>
    <n v="0.11904761904761904"/>
    <n v="0"/>
    <n v="66040.833333333328"/>
    <n v="0.1209983217453848"/>
  </r>
  <r>
    <n v="890"/>
    <s v="a0605c6c-50ae-44ce-b6c0-00819a2bfc34"/>
    <x v="0"/>
    <x v="1"/>
    <x v="7"/>
    <s v="в собственности"/>
    <s v="консолидация кредитов"/>
    <n v="175604"/>
    <n v="722"/>
    <n v="568746"/>
    <n v="8009.83"/>
    <n v="31.2"/>
    <n v="50"/>
    <n v="8"/>
    <n v="220932"/>
    <n v="366498"/>
    <n v="0"/>
    <n v="-0.76284569386253342"/>
    <n v="0.96138482023968042"/>
    <n v="0.56818181818181823"/>
    <n v="0.16666666666666666"/>
    <n v="0"/>
    <n v="47395.5"/>
    <n v="0.16899979955902986"/>
  </r>
  <r>
    <n v="940"/>
    <s v="e344c542-c88d-4067-8fca-c8c4ca3974d2"/>
    <x v="0"/>
    <x v="1"/>
    <x v="5"/>
    <s v="в аренде"/>
    <s v="консолидация кредитов"/>
    <n v="325292"/>
    <n v="707"/>
    <n v="1217349"/>
    <n v="25361.39"/>
    <n v="16.7"/>
    <n v="60"/>
    <n v="10"/>
    <n v="298490"/>
    <n v="366498"/>
    <n v="0"/>
    <n v="8.9370137933382415E-2"/>
    <n v="0.94141145139813587"/>
    <n v="0.68181818181818177"/>
    <n v="0.21428571428571427"/>
    <n v="0"/>
    <n v="101445.75"/>
    <n v="0.24999953176944326"/>
  </r>
  <r>
    <n v="616"/>
    <s v="2c84d7cb-d702-4479-bc5b-7cf5a9f0e1c8"/>
    <x v="0"/>
    <x v="0"/>
    <x v="6"/>
    <s v="в аренде"/>
    <s v="приобретение жилья"/>
    <n v="262174"/>
    <n v="703"/>
    <n v="935655"/>
    <n v="8966.67"/>
    <n v="11.3"/>
    <n v="42"/>
    <n v="8"/>
    <n v="104405"/>
    <n v="366322"/>
    <n v="0"/>
    <n v="-0.26997836609696479"/>
    <n v="0.93608521970705727"/>
    <n v="0.47727272727272729"/>
    <n v="0.16666666666666666"/>
    <n v="0"/>
    <n v="77971.25"/>
    <n v="0.11499969540054827"/>
  </r>
  <r>
    <n v="216"/>
    <s v="b0e36332-8a35-45a8-94bb-a2ccdbb43f93"/>
    <x v="0"/>
    <x v="1"/>
    <x v="1"/>
    <s v="в ипотеке"/>
    <s v="консолидация кредитов"/>
    <n v="284152"/>
    <n v="700"/>
    <n v="1054519"/>
    <n v="15202.66"/>
    <n v="14"/>
    <n v="36"/>
    <n v="12"/>
    <n v="182780"/>
    <n v="366146"/>
    <n v="0"/>
    <n v="-0.14485143841264383"/>
    <n v="0.93209054593874829"/>
    <n v="0.40909090909090912"/>
    <n v="0.26190476190476192"/>
    <n v="0"/>
    <n v="87876.583333333328"/>
    <n v="0.17300012612385363"/>
  </r>
  <r>
    <n v="689"/>
    <s v="240579ce-b0d9-4d5d-9681-c9e38d7c638a"/>
    <x v="0"/>
    <x v="1"/>
    <x v="9"/>
    <s v="в ипотеке"/>
    <s v="иное"/>
    <n v="309594.52439999999"/>
    <n v="709"/>
    <n v="1817996"/>
    <n v="17271"/>
    <n v="31.7"/>
    <n v="9"/>
    <n v="10"/>
    <n v="175427"/>
    <n v="365332"/>
    <n v="0"/>
    <n v="-1.2411115481956205E-10"/>
    <n v="0.94407456724367511"/>
    <n v="0.10227272727272728"/>
    <n v="0.21428571428571427"/>
    <n v="0"/>
    <n v="151499.66666666666"/>
    <n v="0.11400025082563439"/>
  </r>
  <r>
    <n v="833"/>
    <s v="1f0bd8c2-ac0e-4298-99cf-a4d5833316a3"/>
    <x v="0"/>
    <x v="1"/>
    <x v="2"/>
    <s v="в аренде"/>
    <s v="консолидация кредитов"/>
    <n v="249326"/>
    <n v="0"/>
    <n v="1168044"/>
    <n v="11548.58"/>
    <n v="10.199999999999999"/>
    <n v="35.265240640000002"/>
    <n v="8"/>
    <n v="250382"/>
    <n v="365134"/>
    <n v="0"/>
    <n v="-0.34312563913764893"/>
    <n v="0"/>
    <n v="0.40074137090909095"/>
    <n v="0.16666666666666666"/>
    <n v="0"/>
    <n v="97337"/>
    <n v="0.11864532500487995"/>
  </r>
  <r>
    <n v="1745"/>
    <s v="ea180b24-4885-4db7-9994-cce672820151"/>
    <x v="1"/>
    <x v="1"/>
    <x v="3"/>
    <s v="в аренде"/>
    <s v="консолидация кредитов"/>
    <n v="269896"/>
    <n v="696"/>
    <n v="1482912"/>
    <n v="12604.79"/>
    <n v="10"/>
    <n v="35.265240640000002"/>
    <n v="9"/>
    <n v="186941"/>
    <n v="365024"/>
    <n v="0"/>
    <n v="-0.22601485096463583"/>
    <n v="0.92676431424766981"/>
    <n v="0.40074137090909095"/>
    <n v="0.19047619047619047"/>
    <n v="0"/>
    <n v="123576"/>
    <n v="0.10200030750307504"/>
  </r>
  <r>
    <n v="1875"/>
    <s v="8e2c22a7-51dc-4cfa-9739-d2222d7a7854"/>
    <x v="1"/>
    <x v="1"/>
    <x v="0"/>
    <s v="в аренде"/>
    <s v="иное"/>
    <n v="557040"/>
    <n v="640"/>
    <n v="1828104"/>
    <n v="18281.04"/>
    <n v="19.2"/>
    <n v="35.265240640000002"/>
    <n v="4"/>
    <n v="123557"/>
    <n v="364980"/>
    <n v="0"/>
    <n v="1.4087766006227089"/>
    <n v="0.85219707057256988"/>
    <n v="0.40074137090909095"/>
    <n v="7.1428571428571425E-2"/>
    <n v="0"/>
    <n v="152342"/>
    <n v="0.12000000000000001"/>
  </r>
  <r>
    <n v="623"/>
    <s v="260809c5-f100-49d1-a1c9-a73e1f02bbff"/>
    <x v="0"/>
    <x v="1"/>
    <x v="2"/>
    <s v="в аренде"/>
    <s v="консолидация кредитов"/>
    <n v="215974"/>
    <n v="716"/>
    <n v="1585455"/>
    <n v="16647.23"/>
    <n v="15.9"/>
    <n v="35.265240640000002"/>
    <n v="11"/>
    <n v="115273"/>
    <n v="364672"/>
    <n v="1"/>
    <n v="-0.53300794381175365"/>
    <n v="0.95339547270306257"/>
    <n v="0.40074137090909095"/>
    <n v="0.23809523809523808"/>
    <n v="0.14285714285714285"/>
    <n v="132121.25"/>
    <n v="0.12599964048175444"/>
  </r>
  <r>
    <n v="1189"/>
    <s v="c8353a98-95d7-4142-8b97-4e6b8adad954"/>
    <x v="1"/>
    <x v="1"/>
    <x v="0"/>
    <s v="в аренде"/>
    <s v="Медицинские счета"/>
    <n v="485408"/>
    <n v="721"/>
    <n v="3601412"/>
    <n v="24789.68"/>
    <n v="15.2"/>
    <n v="35.265240640000002"/>
    <n v="3"/>
    <n v="296609"/>
    <n v="364210"/>
    <n v="0"/>
    <n v="1.000955502984922"/>
    <n v="0.96005326231691079"/>
    <n v="0.40074137090909095"/>
    <n v="4.7619047619047616E-2"/>
    <n v="0"/>
    <n v="300117.66666666669"/>
    <n v="8.2599869162428508E-2"/>
  </r>
  <r>
    <n v="640"/>
    <s v="d3e50309-3f24-4b9a-bd63-05296473b421"/>
    <x v="0"/>
    <x v="1"/>
    <x v="1"/>
    <s v="в ипотеке"/>
    <s v="консолидация кредитов"/>
    <n v="309594.52439999999"/>
    <n v="744"/>
    <n v="2044647"/>
    <n v="12676.8"/>
    <n v="17"/>
    <n v="35.265240640000002"/>
    <n v="8"/>
    <n v="272688"/>
    <n v="363748"/>
    <n v="0"/>
    <n v="-1.2411115481956205E-10"/>
    <n v="0.99067909454061254"/>
    <n v="0.40074137090909095"/>
    <n v="0.16666666666666666"/>
    <n v="0"/>
    <n v="170387.25"/>
    <n v="7.4399933093585349E-2"/>
  </r>
  <r>
    <n v="1143"/>
    <s v="9e7c1911-e2c6-4868-b3ce-fa77d759ad90"/>
    <x v="0"/>
    <x v="0"/>
    <x v="1"/>
    <s v="в собственности"/>
    <s v="консолидация кредитов"/>
    <n v="264418"/>
    <n v="0"/>
    <n v="1168044"/>
    <n v="21499.45"/>
    <n v="15"/>
    <n v="35.265240640000002"/>
    <n v="13"/>
    <n v="256462"/>
    <n v="363440"/>
    <n v="0"/>
    <n v="-0.25720264375081792"/>
    <n v="0"/>
    <n v="0.40074137090909095"/>
    <n v="0.2857142857142857"/>
    <n v="0"/>
    <n v="97337"/>
    <n v="0.22087643958617997"/>
  </r>
  <r>
    <n v="429"/>
    <s v="21a58539-2489-4b5a-8606-b7a64e606fec"/>
    <x v="0"/>
    <x v="0"/>
    <x v="1"/>
    <s v="в собственности"/>
    <s v="консолидация кредитов"/>
    <n v="649902"/>
    <n v="695"/>
    <n v="1309651"/>
    <n v="6810.17"/>
    <n v="26"/>
    <n v="74"/>
    <n v="7"/>
    <n v="300884"/>
    <n v="361768"/>
    <n v="0"/>
    <n v="1.9374660518294344"/>
    <n v="0.92543275632490019"/>
    <n v="0.84090909090909094"/>
    <n v="0.14285714285714285"/>
    <n v="0"/>
    <n v="109137.58333333333"/>
    <n v="6.2399860726254558E-2"/>
  </r>
  <r>
    <n v="1597"/>
    <s v="ed74b109-325f-44b5-9d66-619bb2a8fff0"/>
    <x v="0"/>
    <x v="0"/>
    <x v="1"/>
    <s v="в ипотеке"/>
    <s v="консолидация кредитов"/>
    <n v="519178"/>
    <n v="715"/>
    <n v="1120962"/>
    <n v="17281.45"/>
    <n v="27.1"/>
    <n v="16"/>
    <n v="5"/>
    <n v="272137"/>
    <n v="361350"/>
    <n v="0"/>
    <n v="1.1932175990764462"/>
    <n v="0.95206391478029295"/>
    <n v="0.18181818181818182"/>
    <n v="9.5238095238095233E-2"/>
    <n v="0"/>
    <n v="93413.5"/>
    <n v="0.18499949150818673"/>
  </r>
  <r>
    <n v="1214"/>
    <s v="9358e279-5801-484b-87cb-ebef567bc122"/>
    <x v="0"/>
    <x v="1"/>
    <x v="3"/>
    <s v="в аренде"/>
    <s v="консолидация кредитов"/>
    <n v="46596"/>
    <n v="705"/>
    <n v="692664"/>
    <n v="10274.44"/>
    <n v="16.399999999999999"/>
    <n v="35.265240640000002"/>
    <n v="11"/>
    <n v="37430"/>
    <n v="361086"/>
    <n v="1"/>
    <n v="-1.4973244765861153"/>
    <n v="0.93874833555259651"/>
    <n v="0.40074137090909095"/>
    <n v="0.23809523809523808"/>
    <n v="0.14285714285714285"/>
    <n v="57722"/>
    <n v="0.17799868334430546"/>
  </r>
  <r>
    <n v="478"/>
    <s v="bde40503-813e-4548-a1fe-ca854c725cf8"/>
    <x v="0"/>
    <x v="1"/>
    <x v="2"/>
    <s v="в аренде"/>
    <s v="консолидация кредитов"/>
    <n v="130988"/>
    <n v="0"/>
    <n v="1168044"/>
    <n v="15955.25"/>
    <n v="14.5"/>
    <n v="35.265240640000002"/>
    <n v="11"/>
    <n v="231610"/>
    <n v="360448"/>
    <n v="0"/>
    <n v="-1.016857114627101"/>
    <n v="0"/>
    <n v="0.40074137090909095"/>
    <n v="0.23809523809523808"/>
    <n v="0"/>
    <n v="97337"/>
    <n v="0.16391762639078664"/>
  </r>
  <r>
    <n v="424"/>
    <s v="2a445931-cd27-44c7-838e-c9dede943278"/>
    <x v="1"/>
    <x v="1"/>
    <x v="5"/>
    <s v="в аренде"/>
    <s v="консолидация кредитов"/>
    <n v="178046"/>
    <n v="0"/>
    <n v="1168044"/>
    <n v="18759.080000000002"/>
    <n v="23.3"/>
    <n v="35.265240640000002"/>
    <n v="11"/>
    <n v="119757"/>
    <n v="360184"/>
    <n v="0"/>
    <n v="-0.74894270189760892"/>
    <n v="0"/>
    <n v="0.40074137090909095"/>
    <n v="0.23809523809523808"/>
    <n v="0"/>
    <n v="97337"/>
    <n v="0.19272301385906698"/>
  </r>
  <r>
    <n v="1894"/>
    <s v="bb51fa53-de03-452c-9642-e794fec1a9ae"/>
    <x v="0"/>
    <x v="1"/>
    <x v="0"/>
    <s v="в аренде"/>
    <s v="консолидация кредитов"/>
    <n v="120912"/>
    <n v="735"/>
    <n v="801154"/>
    <n v="4406.29"/>
    <n v="14.4"/>
    <n v="13"/>
    <n v="11"/>
    <n v="97622"/>
    <n v="359986"/>
    <n v="1"/>
    <n v="-1.0742226130048977"/>
    <n v="0.97869507323568572"/>
    <n v="0.14772727272727273"/>
    <n v="0.23809523809523808"/>
    <n v="0.14285714285714285"/>
    <n v="66762.833333333328"/>
    <n v="6.5999146231560973E-2"/>
  </r>
  <r>
    <n v="971"/>
    <s v="8c97d885-83ad-4b64-b5a6-92c4ccbeb48d"/>
    <x v="1"/>
    <x v="0"/>
    <x v="1"/>
    <s v="в ипотеке"/>
    <s v="консолидация кредитов"/>
    <n v="438636"/>
    <n v="0"/>
    <n v="1168044"/>
    <n v="21876.98"/>
    <n v="14"/>
    <n v="35.265240640000002"/>
    <n v="18"/>
    <n v="189601"/>
    <n v="359898"/>
    <n v="1"/>
    <n v="0.73466936859366438"/>
    <n v="0"/>
    <n v="0.40074137090909095"/>
    <n v="0.40476190476190477"/>
    <n v="0.14285714285714285"/>
    <n v="97337"/>
    <n v="0.22475502635174702"/>
  </r>
  <r>
    <n v="707"/>
    <s v="2a77ea34-2350-483d-a390-c76268532c1c"/>
    <x v="0"/>
    <x v="1"/>
    <x v="10"/>
    <s v="в ипотеке"/>
    <s v="бизнес"/>
    <n v="297902"/>
    <n v="713"/>
    <n v="808317"/>
    <n v="14482.56"/>
    <n v="21"/>
    <n v="35.265240640000002"/>
    <n v="12"/>
    <n v="232560"/>
    <n v="359524"/>
    <n v="0"/>
    <n v="-6.6568825997528114E-2"/>
    <n v="0.94940079893475371"/>
    <n v="0.40074137090909095"/>
    <n v="0.26190476190476192"/>
    <n v="0"/>
    <n v="67359.75"/>
    <n v="0.21500317325999577"/>
  </r>
  <r>
    <n v="962"/>
    <s v="278914f0-fe04-49cd-844d-a6dd8476b600"/>
    <x v="0"/>
    <x v="1"/>
    <x v="1"/>
    <s v="в ипотеке"/>
    <s v="ремонт жилья"/>
    <n v="43824"/>
    <n v="720"/>
    <n v="408709"/>
    <n v="8106.16"/>
    <n v="26"/>
    <n v="9"/>
    <n v="7"/>
    <n v="227278"/>
    <n v="359502"/>
    <n v="0"/>
    <n v="-1.5131062512490026"/>
    <n v="0.95872170439414117"/>
    <n v="0.10227272727272728"/>
    <n v="0.14285714285714285"/>
    <n v="0"/>
    <n v="34059.083333333336"/>
    <n v="0.23800288224629257"/>
  </r>
  <r>
    <n v="322"/>
    <s v="a4daa4ec-bafe-4c1b-960e-905b5b2644f0"/>
    <x v="0"/>
    <x v="0"/>
    <x v="3"/>
    <s v="в аренде"/>
    <s v="иное"/>
    <n v="712404"/>
    <n v="618"/>
    <n v="6283072"/>
    <n v="20262.93"/>
    <n v="14.7"/>
    <n v="45"/>
    <n v="10"/>
    <n v="135641"/>
    <n v="358556"/>
    <n v="1"/>
    <n v="2.2933074948235848"/>
    <n v="0.82290279627163787"/>
    <n v="0.51136363636363635"/>
    <n v="0.21428571428571427"/>
    <n v="0.14285714285714285"/>
    <n v="523589.33333333331"/>
    <n v="3.8700043545577704E-2"/>
  </r>
  <r>
    <n v="879"/>
    <s v="bde2c558-d1f8-4e9b-8920-ea8241a90ee9"/>
    <x v="0"/>
    <x v="1"/>
    <x v="6"/>
    <s v="в собственности"/>
    <s v="консолидация кредитов"/>
    <n v="106106"/>
    <n v="719"/>
    <n v="954579"/>
    <n v="4598"/>
    <n v="10.8"/>
    <n v="35.265240640000002"/>
    <n v="9"/>
    <n v="117344"/>
    <n v="358468"/>
    <n v="1"/>
    <n v="-1.1585173300534943"/>
    <n v="0.95739014647137155"/>
    <n v="0.40074137090909095"/>
    <n v="0.19047619047619047"/>
    <n v="0.14285714285714285"/>
    <n v="79548.25"/>
    <n v="5.7801397265181825E-2"/>
  </r>
  <r>
    <n v="364"/>
    <s v="42790d99-2adc-4eee-9c18-1937c3b43424"/>
    <x v="0"/>
    <x v="1"/>
    <x v="9"/>
    <s v="в аренде"/>
    <s v="иное"/>
    <n v="44792"/>
    <n v="723"/>
    <n v="502892"/>
    <n v="7794.75"/>
    <n v="7.5"/>
    <n v="35.265240640000002"/>
    <n v="9"/>
    <n v="193781"/>
    <n v="358446"/>
    <n v="1"/>
    <n v="-1.5075951553349785"/>
    <n v="0.96271637816245004"/>
    <n v="0.40074137090909095"/>
    <n v="0.19047619047619047"/>
    <n v="0.14285714285714285"/>
    <n v="41907.666666666664"/>
    <n v="0.18599818648934563"/>
  </r>
  <r>
    <n v="201"/>
    <s v="91a2224e-3024-4b3c-848b-3ecf24503d71"/>
    <x v="1"/>
    <x v="0"/>
    <x v="1"/>
    <s v="в ипотеке"/>
    <s v="ремонт жилья"/>
    <n v="322872"/>
    <n v="708"/>
    <n v="985245"/>
    <n v="10895.17"/>
    <n v="17.5"/>
    <n v="35.265240640000002"/>
    <n v="7"/>
    <n v="106894"/>
    <n v="357698"/>
    <n v="0"/>
    <n v="7.5592398148322054E-2"/>
    <n v="0.94274300932090549"/>
    <n v="0.40074137090909095"/>
    <n v="0.14285714285714285"/>
    <n v="0"/>
    <n v="82103.75"/>
    <n v="0.13270002892681515"/>
  </r>
  <r>
    <n v="358"/>
    <s v="03709adc-3272-4711-9845-70f4cb09550a"/>
    <x v="1"/>
    <x v="1"/>
    <x v="3"/>
    <s v="в аренде"/>
    <s v="консолидация кредитов"/>
    <n v="147576"/>
    <n v="748"/>
    <n v="463429"/>
    <n v="8573.56"/>
    <n v="12.9"/>
    <n v="36"/>
    <n v="20"/>
    <n v="88939"/>
    <n v="357588"/>
    <n v="0"/>
    <n v="-0.92241697100950537"/>
    <n v="0.99600532623169102"/>
    <n v="0.40909090909090912"/>
    <n v="0.45238095238095238"/>
    <n v="0"/>
    <n v="38619.083333333336"/>
    <n v="0.22200319790086503"/>
  </r>
  <r>
    <n v="1663"/>
    <s v="476d4337-26cd-4f3f-9b78-06e0947f59bb"/>
    <x v="0"/>
    <x v="1"/>
    <x v="1"/>
    <s v="в ипотеке"/>
    <s v="Медицинские счета"/>
    <n v="216414"/>
    <n v="706"/>
    <n v="1682127"/>
    <n v="11816.86"/>
    <n v="16.100000000000001"/>
    <n v="47"/>
    <n v="18"/>
    <n v="112347"/>
    <n v="357390"/>
    <n v="1"/>
    <n v="-0.53050290021447"/>
    <n v="0.94007989347536614"/>
    <n v="0.53409090909090906"/>
    <n v="0.40476190476190477"/>
    <n v="0.14285714285714285"/>
    <n v="140177.25"/>
    <n v="8.4299413777913321E-2"/>
  </r>
  <r>
    <n v="1430"/>
    <s v="5c9f4154-4962-4f0f-abf5-db4f2a8ce2d5"/>
    <x v="0"/>
    <x v="1"/>
    <x v="9"/>
    <s v="в аренде"/>
    <s v="консолидация кредитов"/>
    <n v="111034"/>
    <n v="701"/>
    <n v="1150716"/>
    <n v="25891.11"/>
    <n v="16.7"/>
    <n v="2"/>
    <n v="13"/>
    <n v="178334"/>
    <n v="357258"/>
    <n v="1"/>
    <n v="-1.1304608417639168"/>
    <n v="0.93342210386151803"/>
    <n v="2.2727272727272728E-2"/>
    <n v="0.2857142857142857"/>
    <n v="0.14285714285714285"/>
    <n v="95893"/>
    <n v="0.27"/>
  </r>
  <r>
    <n v="1515"/>
    <s v="e49ded88-29f1-40f8-8048-5ef1a30eeef6"/>
    <x v="0"/>
    <x v="1"/>
    <x v="8"/>
    <s v="в аренде"/>
    <s v="консолидация кредитов"/>
    <n v="87648"/>
    <n v="746"/>
    <n v="305102"/>
    <n v="5313.73"/>
    <n v="11.4"/>
    <n v="35.265240640000002"/>
    <n v="3"/>
    <n v="120498"/>
    <n v="356840"/>
    <n v="0"/>
    <n v="-1.2636039089595457"/>
    <n v="0.99334221038615178"/>
    <n v="0.40074137090909095"/>
    <n v="4.7619047619047616E-2"/>
    <n v="0"/>
    <n v="25425.166666666668"/>
    <n v="0.20899489351102252"/>
  </r>
  <r>
    <n v="1205"/>
    <s v="0df4174c-5242-470f-8f08-819da60b7ecc"/>
    <x v="0"/>
    <x v="1"/>
    <x v="1"/>
    <s v="в аренде"/>
    <s v="консолидация кредитов"/>
    <n v="251614"/>
    <n v="0"/>
    <n v="1168044"/>
    <n v="5009.7299999999996"/>
    <n v="14"/>
    <n v="63"/>
    <n v="6"/>
    <n v="237424"/>
    <n v="356554"/>
    <n v="0"/>
    <n v="-0.33009941243177371"/>
    <n v="0"/>
    <n v="0.71590909090909094"/>
    <n v="0.11904761904761904"/>
    <n v="0"/>
    <n v="97337"/>
    <n v="5.1467889908256875E-2"/>
  </r>
  <r>
    <n v="1255"/>
    <s v="839feba9-0007-417c-917e-802af3aac580"/>
    <x v="0"/>
    <x v="1"/>
    <x v="3"/>
    <s v="в собственности"/>
    <s v="ремонт жилья"/>
    <n v="218878"/>
    <n v="747"/>
    <n v="1058642"/>
    <n v="11115.76"/>
    <n v="16.2"/>
    <n v="35.265240640000002"/>
    <n v="9"/>
    <n v="15086"/>
    <n v="356466"/>
    <n v="0"/>
    <n v="-0.51647465606968124"/>
    <n v="0.9946737683089214"/>
    <n v="0.40074137090909095"/>
    <n v="0.19047619047619047"/>
    <n v="0"/>
    <n v="88220.166666666672"/>
    <n v="0.12600021537025735"/>
  </r>
  <r>
    <n v="586"/>
    <s v="46da16d2-4b4f-4f73-b4ae-e6a778af2ef1"/>
    <x v="0"/>
    <x v="1"/>
    <x v="5"/>
    <s v="в аренде"/>
    <s v="консолидация кредитов"/>
    <n v="132704"/>
    <n v="746"/>
    <n v="1375391"/>
    <n v="12493.07"/>
    <n v="15.5"/>
    <n v="53"/>
    <n v="11"/>
    <n v="129808"/>
    <n v="356158"/>
    <n v="0"/>
    <n v="-1.0070874445976945"/>
    <n v="0.99334221038615178"/>
    <n v="0.60227272727272729"/>
    <n v="0.23809523809523808"/>
    <n v="0"/>
    <n v="114615.91666666667"/>
    <n v="0.10899943361560457"/>
  </r>
  <r>
    <n v="1220"/>
    <s v="55034780-31c1-40bd-9c2c-e7898d360362"/>
    <x v="0"/>
    <x v="1"/>
    <x v="8"/>
    <s v="в ипотеке"/>
    <s v="консолидация кредитов"/>
    <n v="215974"/>
    <n v="741"/>
    <n v="1865230"/>
    <n v="25180.7"/>
    <n v="22.7"/>
    <n v="35"/>
    <n v="10"/>
    <n v="180215"/>
    <n v="356092"/>
    <n v="0"/>
    <n v="-0.53300794381175365"/>
    <n v="0.98668442077230356"/>
    <n v="0.39772727272727271"/>
    <n v="0.21428571428571427"/>
    <n v="0"/>
    <n v="155435.83333333334"/>
    <n v="0.16200061118467962"/>
  </r>
  <r>
    <n v="945"/>
    <s v="9b324cfb-905c-4cdc-92fb-fd84d475cc10"/>
    <x v="0"/>
    <x v="1"/>
    <x v="7"/>
    <s v="в аренде"/>
    <s v="консолидация кредитов"/>
    <n v="387970"/>
    <n v="0"/>
    <n v="1168044"/>
    <n v="12942.99"/>
    <n v="14.4"/>
    <n v="12"/>
    <n v="7"/>
    <n v="248121"/>
    <n v="355586"/>
    <n v="0"/>
    <n v="0.44621359836644597"/>
    <n v="0"/>
    <n v="0.13636363636363635"/>
    <n v="0.14285714285714285"/>
    <n v="0"/>
    <n v="97337"/>
    <n v="0.13297091547921139"/>
  </r>
  <r>
    <n v="996"/>
    <s v="c1498408-335b-4499-86a7-0c4760a29a5b"/>
    <x v="0"/>
    <x v="1"/>
    <x v="1"/>
    <s v="в ипотеке"/>
    <s v="ремонт жилья"/>
    <n v="309594.52439999999"/>
    <n v="726"/>
    <n v="742824"/>
    <n v="19127.68"/>
    <n v="18.899999999999999"/>
    <n v="11"/>
    <n v="15"/>
    <n v="265867"/>
    <n v="354662"/>
    <n v="0"/>
    <n v="-1.2411115481956205E-10"/>
    <n v="0.96671105193075901"/>
    <n v="0.125"/>
    <n v="0.33333333333333331"/>
    <n v="0"/>
    <n v="61902"/>
    <n v="0.30899938612645794"/>
  </r>
  <r>
    <n v="913"/>
    <s v="b3d41859-2c02-48e7-a0ae-ff9a4e76ae8b"/>
    <x v="0"/>
    <x v="1"/>
    <x v="1"/>
    <s v="в ипотеке"/>
    <s v="ремонт жилья"/>
    <n v="171380"/>
    <n v="747"/>
    <n v="801762"/>
    <n v="9393.98"/>
    <n v="26.1"/>
    <n v="44"/>
    <n v="6"/>
    <n v="3059"/>
    <n v="354574"/>
    <n v="0"/>
    <n v="-0.78689411239645701"/>
    <n v="0.9946737683089214"/>
    <n v="0.5"/>
    <n v="0.11904761904761904"/>
    <n v="0"/>
    <n v="66813.5"/>
    <n v="0.14060002843736669"/>
  </r>
  <r>
    <n v="844"/>
    <s v="ab4e245b-381d-4260-acff-8a6a58ba94c0"/>
    <x v="1"/>
    <x v="1"/>
    <x v="9"/>
    <s v="в аренде"/>
    <s v="консолидация кредитов"/>
    <n v="94908"/>
    <n v="738"/>
    <n v="768170"/>
    <n v="5281.24"/>
    <n v="15.4"/>
    <n v="35.265240640000002"/>
    <n v="10"/>
    <n v="213579"/>
    <n v="353782"/>
    <n v="0"/>
    <n v="-1.2222706896043647"/>
    <n v="0.9826897470039947"/>
    <n v="0.40074137090909095"/>
    <n v="0.21428571428571427"/>
    <n v="0"/>
    <n v="64014.166666666664"/>
    <n v="8.250111303487509E-2"/>
  </r>
  <r>
    <n v="839"/>
    <s v="7e9d3fa1-b9d6-4869-9c37-26a99d3a1143"/>
    <x v="0"/>
    <x v="1"/>
    <x v="1"/>
    <s v="в аренде"/>
    <s v="консолидация кредитов"/>
    <n v="386694"/>
    <n v="740"/>
    <n v="1726910"/>
    <n v="17412.93"/>
    <n v="11.8"/>
    <n v="77"/>
    <n v="8"/>
    <n v="298756"/>
    <n v="353694"/>
    <n v="0"/>
    <n v="0.4389489719343232"/>
    <n v="0.98535286284953394"/>
    <n v="0.875"/>
    <n v="0.16666666666666666"/>
    <n v="0"/>
    <n v="143909.16666666666"/>
    <n v="0.12099944988447575"/>
  </r>
  <r>
    <n v="690"/>
    <s v="2b8ce339-04fe-4247-b357-fc1ea38eccf7"/>
    <x v="1"/>
    <x v="1"/>
    <x v="7"/>
    <s v="в ипотеке"/>
    <s v="иное"/>
    <n v="208670"/>
    <n v="720"/>
    <n v="575130"/>
    <n v="12604.98"/>
    <n v="22.5"/>
    <n v="55"/>
    <n v="5"/>
    <n v="245746"/>
    <n v="353034"/>
    <n v="0"/>
    <n v="-0.57459166752666313"/>
    <n v="0.95872170439414117"/>
    <n v="0.625"/>
    <n v="9.5238095238095233E-2"/>
    <n v="0"/>
    <n v="47927.5"/>
    <n v="0.26300099108027747"/>
  </r>
  <r>
    <n v="538"/>
    <s v="8b7a6700-768d-46a2-929e-3b0053404c36"/>
    <x v="0"/>
    <x v="1"/>
    <x v="8"/>
    <s v="в ипотеке"/>
    <s v="бизнес"/>
    <n v="608014"/>
    <n v="709"/>
    <n v="1067686"/>
    <n v="16460.080000000002"/>
    <n v="18.100000000000001"/>
    <n v="13"/>
    <n v="7"/>
    <n v="88084"/>
    <n v="352946"/>
    <n v="0"/>
    <n v="1.698985901368026"/>
    <n v="0.94407456724367511"/>
    <n v="0.14772727272727273"/>
    <n v="0.14285714285714285"/>
    <n v="0"/>
    <n v="88973.833333333328"/>
    <n v="0.18499911022529097"/>
  </r>
  <r>
    <n v="671"/>
    <s v="1030d083-c174-4051-b20c-af7d8dacbaf9"/>
    <x v="0"/>
    <x v="1"/>
    <x v="7"/>
    <s v="в ипотеке"/>
    <s v="консолидация кредитов"/>
    <n v="309594.52439999999"/>
    <n v="729"/>
    <n v="523925"/>
    <n v="2942.72"/>
    <n v="37.1"/>
    <n v="35.265240640000002"/>
    <n v="4"/>
    <n v="294880"/>
    <n v="351648"/>
    <n v="0"/>
    <n v="-1.2411115481956205E-10"/>
    <n v="0.97070572569906788"/>
    <n v="0.40074137090909095"/>
    <n v="7.1428571428571425E-2"/>
    <n v="0"/>
    <n v="43660.416666666664"/>
    <n v="6.7400181323662739E-2"/>
  </r>
  <r>
    <n v="1725"/>
    <s v="fdad9d0d-c631-4e4d-8914-cbe37e5ada02"/>
    <x v="0"/>
    <x v="1"/>
    <x v="10"/>
    <s v="в аренде"/>
    <s v="консолидация кредитов"/>
    <n v="130064"/>
    <n v="710"/>
    <n v="936035"/>
    <n v="12558.43"/>
    <n v="15.8"/>
    <n v="64"/>
    <n v="7"/>
    <n v="233947"/>
    <n v="351362"/>
    <n v="0"/>
    <n v="-1.0221177061813966"/>
    <n v="0.94540612516644473"/>
    <n v="0.72727272727272729"/>
    <n v="0.14285714285714285"/>
    <n v="0"/>
    <n v="78002.916666666672"/>
    <n v="0.16099949254034304"/>
  </r>
  <r>
    <n v="150"/>
    <s v="6adde19f-937f-4369-a6ad-cfe94b41d6dc"/>
    <x v="0"/>
    <x v="1"/>
    <x v="2"/>
    <s v="в аренде"/>
    <s v="консолидация кредитов"/>
    <n v="117986"/>
    <n v="694"/>
    <n v="1886890"/>
    <n v="3207.77"/>
    <n v="12"/>
    <n v="19"/>
    <n v="7"/>
    <n v="80408"/>
    <n v="351296"/>
    <n v="0"/>
    <n v="-1.0908811529268343"/>
    <n v="0.92410119840213045"/>
    <n v="0.21590909090909091"/>
    <n v="0.14285714285714285"/>
    <n v="0"/>
    <n v="157240.83333333334"/>
    <n v="2.0400362501258682E-2"/>
  </r>
  <r>
    <n v="516"/>
    <s v="514e1564-cf7a-4b14-993e-f3a92c28975b"/>
    <x v="0"/>
    <x v="1"/>
    <x v="1"/>
    <s v="в ипотеке"/>
    <s v="консолидация кредитов"/>
    <n v="215138"/>
    <n v="0"/>
    <n v="1168044"/>
    <n v="11380.24"/>
    <n v="18.100000000000001"/>
    <n v="66"/>
    <n v="9"/>
    <n v="289199"/>
    <n v="350636"/>
    <n v="1"/>
    <n v="-0.53776752664659266"/>
    <n v="0"/>
    <n v="0.75"/>
    <n v="0.19047619047619047"/>
    <n v="0.14285714285714285"/>
    <n v="97337"/>
    <n v="0.11691586960765177"/>
  </r>
  <r>
    <n v="1792"/>
    <s v="8db74807-7972-49d4-9285-ae960e18451d"/>
    <x v="1"/>
    <x v="1"/>
    <x v="1"/>
    <s v="в ипотеке"/>
    <s v="консолидация кредитов"/>
    <n v="400708"/>
    <n v="0"/>
    <n v="1168044"/>
    <n v="8381.66"/>
    <n v="34.1"/>
    <n v="6"/>
    <n v="14"/>
    <n v="176073"/>
    <n v="350284"/>
    <n v="0"/>
    <n v="0.51873461050780911"/>
    <n v="0"/>
    <n v="6.8181818181818177E-2"/>
    <n v="0.30952380952380953"/>
    <n v="0"/>
    <n v="97337"/>
    <n v="8.6109701346867074E-2"/>
  </r>
  <r>
    <n v="1292"/>
    <s v="c99be92d-e51f-4bec-9cd9-8732c7dfa298"/>
    <x v="0"/>
    <x v="1"/>
    <x v="1"/>
    <s v="в ипотеке"/>
    <s v="консолидация кредитов"/>
    <n v="155078"/>
    <n v="745"/>
    <n v="1626305"/>
    <n v="30357.82"/>
    <n v="28.2"/>
    <n v="35.265240640000002"/>
    <n v="11"/>
    <n v="98496"/>
    <n v="349844"/>
    <n v="1"/>
    <n v="-0.87970597767581815"/>
    <n v="0.99201065246338216"/>
    <n v="0.40074137090909095"/>
    <n v="0.23809523809523808"/>
    <n v="0.14285714285714285"/>
    <n v="135525.41666666666"/>
    <n v="0.22400093463403237"/>
  </r>
  <r>
    <n v="1252"/>
    <s v="0c03bf72-7ce6-4ba9-a929-e4103da5dba5"/>
    <x v="0"/>
    <x v="1"/>
    <x v="0"/>
    <s v="в аренде"/>
    <s v="консолидация кредитов"/>
    <n v="212256"/>
    <n v="727"/>
    <n v="907212"/>
    <n v="20261.22"/>
    <n v="14.1"/>
    <n v="35.265240640000002"/>
    <n v="6"/>
    <n v="265164"/>
    <n v="348898"/>
    <n v="0"/>
    <n v="-0.55417556220880093"/>
    <n v="0.96804260985352863"/>
    <n v="0.40074137090909095"/>
    <n v="0.11904761904761904"/>
    <n v="0"/>
    <n v="75601"/>
    <n v="0.26800201055541595"/>
  </r>
  <r>
    <n v="591"/>
    <s v="9f70483e-90ec-4f3b-a90e-21ae4ef76eb9"/>
    <x v="0"/>
    <x v="1"/>
    <x v="5"/>
    <s v="в ипотеке"/>
    <s v="консолидация кредитов"/>
    <n v="671836"/>
    <n v="707"/>
    <n v="1318695"/>
    <n v="18022.259999999998"/>
    <n v="21.1"/>
    <n v="31"/>
    <n v="9"/>
    <n v="146965"/>
    <n v="348700"/>
    <n v="0"/>
    <n v="2.0623424751540269"/>
    <n v="0.94141145139813587"/>
    <n v="0.35227272727272729"/>
    <n v="0.19047619047619047"/>
    <n v="0"/>
    <n v="109891.25"/>
    <n v="0.16400086449103088"/>
  </r>
  <r>
    <n v="1124"/>
    <s v="cd0b815b-28fe-44f2-8621-696419628213"/>
    <x v="0"/>
    <x v="1"/>
    <x v="1"/>
    <s v="в аренде"/>
    <s v="консолидация кредитов"/>
    <n v="261140"/>
    <n v="731"/>
    <n v="1597558"/>
    <n v="10490.66"/>
    <n v="18.8"/>
    <n v="35.265240640000002"/>
    <n v="8"/>
    <n v="138567"/>
    <n v="348040"/>
    <n v="1"/>
    <n v="-0.27586521855058155"/>
    <n v="0.97336884154460723"/>
    <n v="0.40074137090909095"/>
    <n v="0.16666666666666666"/>
    <n v="0.14285714285714285"/>
    <n v="133129.83333333334"/>
    <n v="7.8800218833995378E-2"/>
  </r>
  <r>
    <n v="1669"/>
    <s v="726acbef-b894-44aa-8827-f99fa541dba9"/>
    <x v="0"/>
    <x v="1"/>
    <x v="5"/>
    <s v="в ипотеке"/>
    <s v="консолидация кредитов"/>
    <n v="274780"/>
    <n v="0"/>
    <n v="1168044"/>
    <n v="7562.19"/>
    <n v="12.7"/>
    <n v="35.265240640000002"/>
    <n v="14"/>
    <n v="120688"/>
    <n v="347644"/>
    <n v="0"/>
    <n v="-0.19820886703478671"/>
    <n v="0"/>
    <n v="0.40074137090909095"/>
    <n v="0.30952380952380953"/>
    <n v="0"/>
    <n v="97337"/>
    <n v="7.7690806168260781E-2"/>
  </r>
  <r>
    <n v="1800"/>
    <s v="e91506f3-e37a-4025-ab10-407a25f8cb14"/>
    <x v="0"/>
    <x v="0"/>
    <x v="1"/>
    <s v="в ипотеке"/>
    <s v="консолидация кредитов"/>
    <n v="499884"/>
    <n v="737"/>
    <n v="1126206"/>
    <n v="28061.29"/>
    <n v="19.7"/>
    <n v="35.265240640000002"/>
    <n v="7"/>
    <n v="126939"/>
    <n v="347490"/>
    <n v="0"/>
    <n v="1.0833714373355559"/>
    <n v="0.98135818908122507"/>
    <n v="0.40074137090909095"/>
    <n v="0.14285714285714285"/>
    <n v="0"/>
    <n v="93850.5"/>
    <n v="0.29899989877517968"/>
  </r>
  <r>
    <n v="1190"/>
    <s v="a885cac6-1500-44df-9f7d-9e4c6841be39"/>
    <x v="1"/>
    <x v="1"/>
    <x v="0"/>
    <s v="в аренде"/>
    <s v="консолидация кредитов"/>
    <n v="324368"/>
    <n v="741"/>
    <n v="1792802"/>
    <n v="6797.82"/>
    <n v="16"/>
    <n v="41"/>
    <n v="7"/>
    <n v="87381"/>
    <n v="346500"/>
    <n v="0"/>
    <n v="8.4109546379086644E-2"/>
    <n v="0.98668442077230356"/>
    <n v="0.46590909090909088"/>
    <n v="0.14285714285714285"/>
    <n v="0"/>
    <n v="149400.16666666666"/>
    <n v="4.5500752453422076E-2"/>
  </r>
  <r>
    <n v="1195"/>
    <s v="419e7529-dc25-443c-b3c0-00f7ab12d10e"/>
    <x v="0"/>
    <x v="1"/>
    <x v="8"/>
    <s v="в ипотеке"/>
    <s v="консолидация кредитов"/>
    <n v="309594.52439999999"/>
    <n v="724"/>
    <n v="1246362"/>
    <n v="19007.03"/>
    <n v="9.8000000000000007"/>
    <n v="35.265240640000002"/>
    <n v="12"/>
    <n v="271111"/>
    <n v="346500"/>
    <n v="0"/>
    <n v="-1.2411115481956205E-10"/>
    <n v="0.96404793608521966"/>
    <n v="0.40074137090909095"/>
    <n v="0.26190476190476192"/>
    <n v="0"/>
    <n v="103863.5"/>
    <n v="0.18300009146620322"/>
  </r>
  <r>
    <n v="976"/>
    <s v="8d25ce7b-92be-4ff0-a134-f3398fb4624e"/>
    <x v="0"/>
    <x v="0"/>
    <x v="1"/>
    <s v="в аренде"/>
    <s v="консолидация кредитов"/>
    <n v="214874"/>
    <n v="731"/>
    <n v="1540254"/>
    <n v="19766.650000000001"/>
    <n v="13.5"/>
    <n v="2"/>
    <n v="10"/>
    <n v="155477"/>
    <n v="346214"/>
    <n v="0"/>
    <n v="-0.53927055280496294"/>
    <n v="0.97336884154460723"/>
    <n v="2.2727272727272728E-2"/>
    <n v="0.21428571428571427"/>
    <n v="0"/>
    <n v="128354.5"/>
    <n v="0.15400044408259939"/>
  </r>
  <r>
    <n v="884"/>
    <s v="bcbd22b7-3fdf-4de9-8400-10e62f657f64"/>
    <x v="0"/>
    <x v="1"/>
    <x v="3"/>
    <s v="в аренде"/>
    <s v="консолидация кредитов"/>
    <n v="216018"/>
    <n v="736"/>
    <n v="1212656"/>
    <n v="2647.65"/>
    <n v="21.6"/>
    <n v="35.265240640000002"/>
    <n v="6"/>
    <n v="76114"/>
    <n v="345620"/>
    <n v="0"/>
    <n v="-0.53275743945202525"/>
    <n v="0.98002663115845534"/>
    <n v="0.40074137090909095"/>
    <n v="0.11904761904761904"/>
    <n v="0"/>
    <n v="101054.66666666667"/>
    <n v="2.6200175482577085E-2"/>
  </r>
  <r>
    <n v="1387"/>
    <s v="ac1693b3-7df6-4456-88ea-51a21724661a"/>
    <x v="0"/>
    <x v="1"/>
    <x v="3"/>
    <s v="в аренде"/>
    <s v="консолидация кредитов"/>
    <n v="441452"/>
    <n v="720"/>
    <n v="869288"/>
    <n v="20717.79"/>
    <n v="15.6"/>
    <n v="35.265240640000002"/>
    <n v="9"/>
    <n v="301169"/>
    <n v="345620"/>
    <n v="0"/>
    <n v="0.75070164761628011"/>
    <n v="0.95872170439414117"/>
    <n v="0.40074137090909095"/>
    <n v="0.19047619047619047"/>
    <n v="0"/>
    <n v="72440.666666666672"/>
    <n v="0.28599667774086379"/>
  </r>
  <r>
    <n v="1549"/>
    <s v="49b74cc7-4736-40f6-9f72-e9c98a787c08"/>
    <x v="1"/>
    <x v="1"/>
    <x v="1"/>
    <s v="в ипотеке"/>
    <s v="консолидация кредитов"/>
    <n v="179256"/>
    <n v="702"/>
    <n v="677312"/>
    <n v="6208.63"/>
    <n v="14"/>
    <n v="35.265240640000002"/>
    <n v="5"/>
    <n v="277647"/>
    <n v="344960"/>
    <n v="0"/>
    <n v="-0.74205383200507868"/>
    <n v="0.93475366178428765"/>
    <n v="0.40074137090909095"/>
    <n v="9.5238095238095233E-2"/>
    <n v="0"/>
    <n v="56442.666666666664"/>
    <n v="0.10999887791741472"/>
  </r>
  <r>
    <n v="588"/>
    <s v="6dc92657-2320-40cd-bbb0-515287fd4033"/>
    <x v="0"/>
    <x v="0"/>
    <x v="6"/>
    <s v="в ипотеке"/>
    <s v="консолидация кредитов"/>
    <n v="387904"/>
    <n v="0"/>
    <n v="1168044"/>
    <n v="3782.52"/>
    <n v="22.1"/>
    <n v="35.265240640000002"/>
    <n v="13"/>
    <n v="72238"/>
    <n v="344256"/>
    <n v="1"/>
    <n v="0.44583784182685338"/>
    <n v="0"/>
    <n v="0.40074137090909095"/>
    <n v="0.2857142857142857"/>
    <n v="0.14285714285714285"/>
    <n v="97337"/>
    <n v="3.886004294358774E-2"/>
  </r>
  <r>
    <n v="1215"/>
    <s v="6e8cf0e7-979a-4f14-a2fe-ba740d6ba278"/>
    <x v="0"/>
    <x v="0"/>
    <x v="1"/>
    <s v="в ипотеке"/>
    <s v="консолидация кредитов"/>
    <n v="311960"/>
    <n v="702"/>
    <n v="1393517"/>
    <n v="8779.14"/>
    <n v="13.5"/>
    <n v="58"/>
    <n v="14"/>
    <n v="115349"/>
    <n v="344212"/>
    <n v="0"/>
    <n v="1.3467316935686207E-2"/>
    <n v="0.93475366178428765"/>
    <n v="0.65909090909090906"/>
    <n v="0.30952380952380953"/>
    <n v="0"/>
    <n v="116126.41666666667"/>
    <n v="7.5599852746683377E-2"/>
  </r>
  <r>
    <n v="1741"/>
    <s v="6268a9d3-6896-4681-9ba0-8b8024f38dd8"/>
    <x v="0"/>
    <x v="1"/>
    <x v="7"/>
    <s v="в аренде"/>
    <s v="Медицинские счета"/>
    <n v="309594.52439999999"/>
    <n v="720"/>
    <n v="718466"/>
    <n v="20356.41"/>
    <n v="15.9"/>
    <n v="35.265240640000002"/>
    <n v="11"/>
    <n v="109573"/>
    <n v="342914"/>
    <n v="0"/>
    <n v="-1.2411115481956205E-10"/>
    <n v="0.95872170439414117"/>
    <n v="0.40074137090909095"/>
    <n v="0.23809523809523808"/>
    <n v="0"/>
    <n v="59872.166666666664"/>
    <n v="0.33999788438144601"/>
  </r>
  <r>
    <n v="383"/>
    <s v="1818da89-2018-4750-b7e4-70ba4d13e86a"/>
    <x v="0"/>
    <x v="1"/>
    <x v="1"/>
    <s v="в ипотеке"/>
    <s v="приобретение жилья"/>
    <n v="133606"/>
    <n v="701"/>
    <n v="2538343"/>
    <n v="18297.189999999999"/>
    <n v="32.9"/>
    <n v="12"/>
    <n v="21"/>
    <n v="198911"/>
    <n v="342738"/>
    <n v="0"/>
    <n v="-1.0019521052232629"/>
    <n v="0.93342210386151803"/>
    <n v="0.13636363636363635"/>
    <n v="0.47619047619047616"/>
    <n v="0"/>
    <n v="211528.58333333334"/>
    <n v="8.6499846553440563E-2"/>
  </r>
  <r>
    <n v="1831"/>
    <s v="ca5a089a-f473-4a50-b7e2-34646d4677e0"/>
    <x v="0"/>
    <x v="1"/>
    <x v="7"/>
    <s v="в аренде"/>
    <s v="консолидация кредитов"/>
    <n v="175802"/>
    <n v="0"/>
    <n v="1168044"/>
    <n v="11914.52"/>
    <n v="12.7"/>
    <n v="35.265240640000002"/>
    <n v="13"/>
    <n v="202711"/>
    <n v="342650"/>
    <n v="0"/>
    <n v="-0.7617184242437558"/>
    <n v="0"/>
    <n v="0.40074137090909095"/>
    <n v="0.2857142857142857"/>
    <n v="0"/>
    <n v="97337"/>
    <n v="0.12240484091352724"/>
  </r>
  <r>
    <n v="755"/>
    <s v="19941661-98e2-4800-93c9-a0e92057c813"/>
    <x v="0"/>
    <x v="0"/>
    <x v="5"/>
    <s v="в собственности"/>
    <s v="консолидация кредитов"/>
    <n v="266794"/>
    <n v="686"/>
    <n v="576042"/>
    <n v="12336.89"/>
    <n v="5.8"/>
    <n v="35.265240640000002"/>
    <n v="9"/>
    <n v="233206"/>
    <n v="342232"/>
    <n v="0"/>
    <n v="-0.24367540832548593"/>
    <n v="0.91344873501997337"/>
    <n v="0.40074137090909095"/>
    <n v="0.19047619047619047"/>
    <n v="0"/>
    <n v="48003.5"/>
    <n v="0.25699980209776369"/>
  </r>
  <r>
    <n v="1494"/>
    <s v="3efc3a71-b34c-4ce8-9087-ccd589ea2529"/>
    <x v="0"/>
    <x v="1"/>
    <x v="2"/>
    <s v="в ипотеке"/>
    <s v="консолидация кредитов"/>
    <n v="283052"/>
    <n v="714"/>
    <n v="1062442"/>
    <n v="26472.51"/>
    <n v="16.5"/>
    <n v="35.265240640000002"/>
    <n v="16"/>
    <n v="224922"/>
    <n v="341770"/>
    <n v="0"/>
    <n v="-0.1511140474058531"/>
    <n v="0.95073235685752333"/>
    <n v="0.40074137090909095"/>
    <n v="0.35714285714285715"/>
    <n v="0"/>
    <n v="88536.833333333328"/>
    <n v="0.29899996423334169"/>
  </r>
  <r>
    <n v="192"/>
    <s v="3569687c-9c83-4902-8499-07554a9de12b"/>
    <x v="1"/>
    <x v="0"/>
    <x v="4"/>
    <s v="в ипотеке"/>
    <s v="консолидация кредитов"/>
    <n v="322124"/>
    <n v="716"/>
    <n v="1020034"/>
    <n v="16915.32"/>
    <n v="17.8"/>
    <n v="35.265240640000002"/>
    <n v="10"/>
    <n v="205865"/>
    <n v="341506"/>
    <n v="0"/>
    <n v="7.1333824032939752E-2"/>
    <n v="0.95339547270306257"/>
    <n v="0.40074137090909095"/>
    <n v="0.21428571428571427"/>
    <n v="0"/>
    <n v="85002.833333333328"/>
    <n v="0.19899713146816675"/>
  </r>
  <r>
    <n v="1818"/>
    <s v="4a21cd29-1a0a-4a64-8431-6dff208b636f"/>
    <x v="1"/>
    <x v="0"/>
    <x v="1"/>
    <s v="в ипотеке"/>
    <s v="консолидация кредитов"/>
    <n v="535084"/>
    <n v="682"/>
    <n v="1347822"/>
    <n v="26282.51"/>
    <n v="18.399999999999999"/>
    <n v="8"/>
    <n v="10"/>
    <n v="254619"/>
    <n v="341242"/>
    <n v="0"/>
    <n v="1.2837749251182522"/>
    <n v="0.90812250332889477"/>
    <n v="9.0909090909090912E-2"/>
    <n v="0.21428571428571427"/>
    <n v="0"/>
    <n v="112318.5"/>
    <n v="0.23399983083819673"/>
  </r>
  <r>
    <n v="1127"/>
    <s v="c2e8c7a6-7578-45d7-9407-39ae9bf21521"/>
    <x v="0"/>
    <x v="1"/>
    <x v="2"/>
    <s v="в аренде"/>
    <s v="консолидация кредитов"/>
    <n v="85844"/>
    <n v="716"/>
    <n v="688218"/>
    <n v="6882.18"/>
    <n v="13.7"/>
    <n v="35.265240640000002"/>
    <n v="13"/>
    <n v="209703"/>
    <n v="341022"/>
    <n v="0"/>
    <n v="-1.273874587708409"/>
    <n v="0.95339547270306257"/>
    <n v="0.40074137090909095"/>
    <n v="0.2857142857142857"/>
    <n v="0"/>
    <n v="57351.5"/>
    <n v="0.12000000000000001"/>
  </r>
  <r>
    <n v="297"/>
    <s v="f83594ba-4d1d-45e2-ba80-5cf51e8c35f1"/>
    <x v="0"/>
    <x v="1"/>
    <x v="7"/>
    <s v="в аренде"/>
    <s v="консолидация кредитов"/>
    <n v="94974"/>
    <n v="694"/>
    <n v="301093"/>
    <n v="4842.53"/>
    <n v="9.3000000000000007"/>
    <n v="35.265240640000002"/>
    <n v="7"/>
    <n v="162564"/>
    <n v="341000"/>
    <n v="0"/>
    <n v="-1.2218949330647721"/>
    <n v="0.92410119840213045"/>
    <n v="0.40074137090909095"/>
    <n v="0.14285714285714285"/>
    <n v="0"/>
    <n v="25091.083333333332"/>
    <n v="0.192998043793778"/>
  </r>
  <r>
    <n v="508"/>
    <s v="97c74279-0e75-4470-b870-c2549bafe481"/>
    <x v="0"/>
    <x v="1"/>
    <x v="6"/>
    <s v="в аренде"/>
    <s v="консолидация кредитов"/>
    <n v="96800"/>
    <n v="712"/>
    <n v="371564"/>
    <n v="6874.01"/>
    <n v="14.1"/>
    <n v="65"/>
    <n v="14"/>
    <n v="177688"/>
    <n v="340054"/>
    <n v="0"/>
    <n v="-1.2114990021360448"/>
    <n v="0.94806924101198398"/>
    <n v="0.73863636363636365"/>
    <n v="0.30952380952380953"/>
    <n v="0"/>
    <n v="30963.666666666668"/>
    <n v="0.22200245448967068"/>
  </r>
  <r>
    <n v="294"/>
    <s v="bcd9849c-6b3a-4967-a7d2-fd071e621e77"/>
    <x v="0"/>
    <x v="1"/>
    <x v="1"/>
    <s v="в ипотеке"/>
    <s v="ремонт жилья"/>
    <n v="222156"/>
    <n v="0"/>
    <n v="1168044"/>
    <n v="16960.54"/>
    <n v="15.9"/>
    <n v="35.265240640000002"/>
    <n v="7"/>
    <n v="170563"/>
    <n v="339922"/>
    <n v="0"/>
    <n v="-0.49781208126991761"/>
    <n v="0"/>
    <n v="0.40074137090909095"/>
    <n v="0.14285714285714285"/>
    <n v="0"/>
    <n v="97337"/>
    <n v="0.17424555924263127"/>
  </r>
  <r>
    <n v="89"/>
    <s v="377a2055-0d25-4dd0-a7c9-28cb61f68259"/>
    <x v="1"/>
    <x v="1"/>
    <x v="7"/>
    <s v="в аренде"/>
    <s v="консолидация кредитов"/>
    <n v="194942"/>
    <n v="742"/>
    <n v="1212238"/>
    <n v="25254.99"/>
    <n v="27.4"/>
    <n v="19"/>
    <n v="13"/>
    <n v="176396"/>
    <n v="339834"/>
    <n v="1"/>
    <n v="-0.65274902776191468"/>
    <n v="0.98801597869507318"/>
    <n v="0.21590909090909091"/>
    <n v="0.2857142857142857"/>
    <n v="0.14285714285714285"/>
    <n v="101019.83333333333"/>
    <n v="0.25000031346979723"/>
  </r>
  <r>
    <n v="1890"/>
    <s v="32d66015-938a-4bb7-8f96-2d7ce8b2e476"/>
    <x v="0"/>
    <x v="1"/>
    <x v="1"/>
    <s v="в аренде"/>
    <s v="консолидация кредитов"/>
    <n v="675048"/>
    <n v="732"/>
    <n v="2444806"/>
    <n v="27504.02"/>
    <n v="16"/>
    <n v="33"/>
    <n v="8"/>
    <n v="268964"/>
    <n v="339636"/>
    <n v="0"/>
    <n v="2.0806292934141983"/>
    <n v="0.97470039946737685"/>
    <n v="0.375"/>
    <n v="0.16666666666666666"/>
    <n v="0"/>
    <n v="203733.83333333334"/>
    <n v="0.13499976685266643"/>
  </r>
  <r>
    <n v="777"/>
    <s v="a647389d-fee2-463d-86c1-c7b8e9be8d27"/>
    <x v="1"/>
    <x v="1"/>
    <x v="7"/>
    <s v="в аренде"/>
    <s v="консолидация кредитов"/>
    <n v="138380"/>
    <n v="735"/>
    <n v="485792"/>
    <n v="8055.81"/>
    <n v="17.100000000000001"/>
    <n v="35.265240640000002"/>
    <n v="8"/>
    <n v="117838"/>
    <n v="339394"/>
    <n v="0"/>
    <n v="-0.97477238219273477"/>
    <n v="0.97869507323568572"/>
    <n v="0.40074137090909095"/>
    <n v="0.16666666666666666"/>
    <n v="0"/>
    <n v="40482.666666666664"/>
    <n v="0.19899405506883608"/>
  </r>
  <r>
    <n v="1889"/>
    <s v="b64f1334-0b0e-46d9-b4b0-7de2eb2f81fb"/>
    <x v="0"/>
    <x v="0"/>
    <x v="0"/>
    <s v="в ипотеке"/>
    <s v="консолидация кредитов"/>
    <n v="352462"/>
    <n v="721"/>
    <n v="2187850"/>
    <n v="40839.74"/>
    <n v="21.8"/>
    <n v="68"/>
    <n v="14"/>
    <n v="208240"/>
    <n v="339130"/>
    <n v="1"/>
    <n v="0.24405658006565109"/>
    <n v="0.96005326231691079"/>
    <n v="0.77272727272727271"/>
    <n v="0.30952380952380953"/>
    <n v="0.14285714285714285"/>
    <n v="182320.83333333334"/>
    <n v="0.22399930525401648"/>
  </r>
  <r>
    <n v="171"/>
    <s v="a32475a6-e244-4386-98a7-b02c1c78e2c1"/>
    <x v="0"/>
    <x v="1"/>
    <x v="1"/>
    <s v="в ипотеке"/>
    <s v="консолидация кредитов"/>
    <n v="300366"/>
    <n v="730"/>
    <n v="833188"/>
    <n v="13400.32"/>
    <n v="17.899999999999999"/>
    <n v="37"/>
    <n v="7"/>
    <n v="179721"/>
    <n v="338932"/>
    <n v="0"/>
    <n v="-5.2540581852739375E-2"/>
    <n v="0.9720372836218375"/>
    <n v="0.42045454545454547"/>
    <n v="0.14285714285714285"/>
    <n v="0"/>
    <n v="69432.333333333328"/>
    <n v="0.19299826689774699"/>
  </r>
  <r>
    <n v="1011"/>
    <s v="aac6059a-0c38-43a0-ba58-f95367667bbc"/>
    <x v="0"/>
    <x v="1"/>
    <x v="0"/>
    <s v="в ипотеке"/>
    <s v="иное"/>
    <n v="267652"/>
    <n v="0"/>
    <n v="1168044"/>
    <n v="1035.31"/>
    <n v="14.5"/>
    <n v="35.265240640000002"/>
    <n v="5"/>
    <n v="40945"/>
    <n v="338712"/>
    <n v="1"/>
    <n v="-0.23879057331078271"/>
    <n v="0"/>
    <n v="0.40074137090909095"/>
    <n v="9.5238095238095233E-2"/>
    <n v="0.14285714285714285"/>
    <n v="97337"/>
    <n v="1.0636345891079445E-2"/>
  </r>
  <r>
    <n v="447"/>
    <s v="e9402e8e-ca22-4834-a024-d89e674b5afb"/>
    <x v="0"/>
    <x v="0"/>
    <x v="1"/>
    <s v="в собственности"/>
    <s v="консолидация кредитов"/>
    <n v="311850"/>
    <n v="723"/>
    <n v="694564"/>
    <n v="12270.77"/>
    <n v="18.8"/>
    <n v="35.265240640000002"/>
    <n v="6"/>
    <n v="167238"/>
    <n v="338536"/>
    <n v="0"/>
    <n v="1.2841056036365282E-2"/>
    <n v="0.96271637816245004"/>
    <n v="0.40074137090909095"/>
    <n v="0.11904761904761904"/>
    <n v="0"/>
    <n v="57880.333333333336"/>
    <n v="0.21200240726556516"/>
  </r>
  <r>
    <n v="1915"/>
    <s v="33ea67f5-abd0-4a59-9e22-0525e226c7cb"/>
    <x v="0"/>
    <x v="1"/>
    <x v="2"/>
    <s v="в ипотеке"/>
    <s v="консолидация кредитов"/>
    <n v="222662"/>
    <n v="716"/>
    <n v="1538392"/>
    <n v="19358.150000000001"/>
    <n v="16.399999999999999"/>
    <n v="35.265240640000002"/>
    <n v="10"/>
    <n v="284582"/>
    <n v="338316"/>
    <n v="0"/>
    <n v="-0.49493128113304136"/>
    <n v="0.95339547270306257"/>
    <n v="0.40074137090909095"/>
    <n v="0.21428571428571427"/>
    <n v="0"/>
    <n v="128199.33333333333"/>
    <n v="0.15100039521786388"/>
  </r>
  <r>
    <n v="680"/>
    <s v="5a23a6b1-6292-47d4-a8f0-6743c97eb370"/>
    <x v="1"/>
    <x v="1"/>
    <x v="1"/>
    <s v="в ипотеке"/>
    <s v="консолидация кредитов"/>
    <n v="322520"/>
    <n v="709"/>
    <n v="1648896"/>
    <n v="29680.28"/>
    <n v="16.600000000000001"/>
    <n v="35.265240640000002"/>
    <n v="8"/>
    <n v="254828"/>
    <n v="337634"/>
    <n v="0"/>
    <n v="7.3588363270495089E-2"/>
    <n v="0.94407456724367511"/>
    <n v="0.40074137090909095"/>
    <n v="0.16666666666666666"/>
    <n v="0"/>
    <n v="137408"/>
    <n v="0.21600110619469026"/>
  </r>
  <r>
    <n v="1654"/>
    <s v="2014280f-4223-404a-b077-e79ba9a79cff"/>
    <x v="0"/>
    <x v="0"/>
    <x v="3"/>
    <s v="в ипотеке"/>
    <s v="ремонт жилья"/>
    <n v="544346"/>
    <n v="684"/>
    <n v="1692387"/>
    <n v="3511.77"/>
    <n v="31.9"/>
    <n v="35.265240640000002"/>
    <n v="9"/>
    <n v="137047"/>
    <n v="337612"/>
    <n v="1"/>
    <n v="1.3365060928410741"/>
    <n v="0.91078561917443412"/>
    <n v="0.40074137090909095"/>
    <n v="0.19047619047619047"/>
    <n v="0.14285714285714285"/>
    <n v="141032.25"/>
    <n v="2.4900474891381228E-2"/>
  </r>
  <r>
    <n v="1675"/>
    <s v="d6eeb750-a12f-49ef-943b-d4a5c4d88907"/>
    <x v="0"/>
    <x v="1"/>
    <x v="1"/>
    <s v="в аренде"/>
    <s v="консолидация кредитов"/>
    <n v="263274"/>
    <n v="0"/>
    <n v="1168044"/>
    <n v="6065.75"/>
    <n v="14.7"/>
    <n v="35.265240640000002"/>
    <n v="6"/>
    <n v="191444"/>
    <n v="337392"/>
    <n v="0"/>
    <n v="-0.26371575710375555"/>
    <n v="0"/>
    <n v="0.40074137090909095"/>
    <n v="0.11904761904761904"/>
    <n v="0"/>
    <n v="97337"/>
    <n v="6.2317001756783133E-2"/>
  </r>
  <r>
    <n v="900"/>
    <s v="f0031fd4-9e59-4661-8ada-f9a9739a90d9"/>
    <x v="0"/>
    <x v="1"/>
    <x v="3"/>
    <s v="в аренде"/>
    <s v="консолидация кредитов"/>
    <n v="214456"/>
    <n v="718"/>
    <n v="1543408"/>
    <n v="35627.089999999997"/>
    <n v="14.9"/>
    <n v="54"/>
    <n v="13"/>
    <n v="140049"/>
    <n v="337106"/>
    <n v="0"/>
    <n v="-0.54165034422238245"/>
    <n v="0.95605858854860182"/>
    <n v="0.61363636363636365"/>
    <n v="0.2857142857142857"/>
    <n v="0"/>
    <n v="128617.33333333333"/>
    <n v="0.27700068938349415"/>
  </r>
  <r>
    <n v="1813"/>
    <s v="443fea84-3ddf-4472-8bc8-e4db719b3d35"/>
    <x v="0"/>
    <x v="1"/>
    <x v="1"/>
    <s v="в аренде"/>
    <s v="консолидация кредитов"/>
    <n v="265342"/>
    <n v="738"/>
    <n v="1283127"/>
    <n v="23737.84"/>
    <n v="27.4"/>
    <n v="8"/>
    <n v="18"/>
    <n v="147592"/>
    <n v="336446"/>
    <n v="0"/>
    <n v="-0.25194205219652216"/>
    <n v="0.9826897470039947"/>
    <n v="9.0909090909090912E-2"/>
    <n v="0.40476190476190477"/>
    <n v="0"/>
    <n v="106927.25"/>
    <n v="0.22199991115454668"/>
  </r>
  <r>
    <n v="912"/>
    <s v="620fec8d-80ff-44a8-b11c-cc63d5b6aacf"/>
    <x v="1"/>
    <x v="1"/>
    <x v="1"/>
    <s v="в аренде"/>
    <s v="консолидация кредитов"/>
    <n v="266882"/>
    <n v="698"/>
    <n v="1382915"/>
    <n v="21976.73"/>
    <n v="22.5"/>
    <n v="34"/>
    <n v="10"/>
    <n v="257678"/>
    <n v="336006"/>
    <n v="0"/>
    <n v="-0.24317439960602918"/>
    <n v="0.92942743009320905"/>
    <n v="0.38636363636363635"/>
    <n v="0.21428571428571427"/>
    <n v="0"/>
    <n v="115242.91666666667"/>
    <n v="0.19069918252387166"/>
  </r>
  <r>
    <n v="1904"/>
    <s v="18ca1522-d603-4b4e-811b-ecdfb2d249b3"/>
    <x v="0"/>
    <x v="1"/>
    <x v="10"/>
    <s v="в аренде"/>
    <s v="консолидация кредитов"/>
    <n v="146322"/>
    <n v="704"/>
    <n v="595384"/>
    <n v="6499.52"/>
    <n v="10"/>
    <n v="35.265240640000002"/>
    <n v="14"/>
    <n v="149549"/>
    <n v="335610"/>
    <n v="0"/>
    <n v="-0.92955634526176389"/>
    <n v="0.93741677762982689"/>
    <n v="0.40074137090909095"/>
    <n v="0.30952380952380953"/>
    <n v="0"/>
    <n v="49615.333333333336"/>
    <n v="0.13099821291804953"/>
  </r>
  <r>
    <n v="1532"/>
    <s v="1e8561ec-4905-42f6-b4e3-2310e45227e0"/>
    <x v="0"/>
    <x v="1"/>
    <x v="10"/>
    <s v="в ипотеке"/>
    <s v="консолидация кредитов"/>
    <n v="408540"/>
    <n v="718"/>
    <n v="1335054"/>
    <n v="21027.11"/>
    <n v="14.7"/>
    <n v="18"/>
    <n v="12"/>
    <n v="271548"/>
    <n v="335566"/>
    <n v="0"/>
    <n v="0.56332438653945904"/>
    <n v="0.95605858854860182"/>
    <n v="0.20454545454545456"/>
    <n v="0.26190476190476192"/>
    <n v="0"/>
    <n v="111254.5"/>
    <n v="0.18900008538980445"/>
  </r>
  <r>
    <n v="142"/>
    <s v="e6b4ef94-b40d-451e-b0f7-a164ca3831fc"/>
    <x v="0"/>
    <x v="0"/>
    <x v="1"/>
    <s v="в ипотеке"/>
    <s v="консолидация кредитов"/>
    <n v="286462"/>
    <n v="719"/>
    <n v="1380426"/>
    <n v="27378.62"/>
    <n v="15.7"/>
    <n v="75"/>
    <n v="10"/>
    <n v="177916"/>
    <n v="335522"/>
    <n v="0"/>
    <n v="-0.13169995952690439"/>
    <n v="0.95739014647137155"/>
    <n v="0.85227272727272729"/>
    <n v="0.21428571428571427"/>
    <n v="0"/>
    <n v="115035.5"/>
    <n v="0.23800148649764638"/>
  </r>
  <r>
    <n v="1926"/>
    <s v="04facb53-8f64-4aea-980c-3a3febb0dbe3"/>
    <x v="0"/>
    <x v="0"/>
    <x v="2"/>
    <s v="в ипотеке"/>
    <s v="консолидация кредитов"/>
    <n v="200882"/>
    <n v="672"/>
    <n v="1044639"/>
    <n v="19499.7"/>
    <n v="12.1"/>
    <n v="35.265240640000002"/>
    <n v="14"/>
    <n v="231876"/>
    <n v="334774"/>
    <n v="0"/>
    <n v="-0.61893093919858466"/>
    <n v="0.89480692410119844"/>
    <n v="0.40074137090909095"/>
    <n v="0.30952380952380953"/>
    <n v="0"/>
    <n v="87053.25"/>
    <n v="0.22399738091340646"/>
  </r>
  <r>
    <n v="1846"/>
    <s v="f4720df9-8034-46d2-95cc-0b116c744d92"/>
    <x v="0"/>
    <x v="0"/>
    <x v="1"/>
    <s v="в ипотеке"/>
    <s v="консолидация кредитов"/>
    <n v="460372"/>
    <n v="701"/>
    <n v="1322153"/>
    <n v="10103.44"/>
    <n v="13.5"/>
    <n v="72"/>
    <n v="8"/>
    <n v="208354"/>
    <n v="334620"/>
    <n v="0"/>
    <n v="0.85841852229947935"/>
    <n v="0.93342210386151803"/>
    <n v="0.81818181818181823"/>
    <n v="0.16666666666666666"/>
    <n v="0"/>
    <n v="110179.41666666667"/>
    <n v="9.1699886473048123E-2"/>
  </r>
  <r>
    <n v="418"/>
    <s v="14caac2b-1ab5-4625-adce-733b26643f70"/>
    <x v="0"/>
    <x v="0"/>
    <x v="3"/>
    <s v="в аренде"/>
    <s v="консолидация кредитов"/>
    <n v="407528"/>
    <n v="711"/>
    <n v="928226"/>
    <n v="18487.38"/>
    <n v="11.1"/>
    <n v="35.265240640000002"/>
    <n v="5"/>
    <n v="263093"/>
    <n v="333652"/>
    <n v="0"/>
    <n v="0.55756278626570654"/>
    <n v="0.94673768308921435"/>
    <n v="0.40074137090909095"/>
    <n v="9.5238095238095233E-2"/>
    <n v="0"/>
    <n v="77352.166666666672"/>
    <n v="0.2390027428665002"/>
  </r>
  <r>
    <n v="390"/>
    <s v="6e1f347c-42e6-46e5-9af0-e982346990c1"/>
    <x v="1"/>
    <x v="0"/>
    <x v="0"/>
    <s v="в ипотеке"/>
    <s v="консолидация кредитов"/>
    <n v="418572"/>
    <n v="704"/>
    <n v="1201788"/>
    <n v="23935.63"/>
    <n v="16.600000000000001"/>
    <n v="35.265240640000002"/>
    <n v="18"/>
    <n v="232522"/>
    <n v="333608"/>
    <n v="1"/>
    <n v="0.62043938055752756"/>
    <n v="0.93741677762982689"/>
    <n v="0.40074137090909095"/>
    <n v="0.40476190476190477"/>
    <n v="0.14285714285714285"/>
    <n v="100149"/>
    <n v="0.2390001897173212"/>
  </r>
  <r>
    <n v="1962"/>
    <s v="1c7523f0-f98a-4eff-9507-ad2b333aa311"/>
    <x v="1"/>
    <x v="1"/>
    <x v="5"/>
    <s v="в аренде"/>
    <s v="консолидация кредитов"/>
    <n v="179080"/>
    <n v="727"/>
    <n v="502645"/>
    <n v="13529.52"/>
    <n v="13"/>
    <n v="49"/>
    <n v="10"/>
    <n v="197011"/>
    <n v="333520"/>
    <n v="0"/>
    <n v="-0.74305584944399217"/>
    <n v="0.96804260985352863"/>
    <n v="0.55681818181818177"/>
    <n v="0.21428571428571427"/>
    <n v="0"/>
    <n v="41887.083333333336"/>
    <n v="0.32299981099981101"/>
  </r>
  <r>
    <n v="1538"/>
    <s v="eb6e6610-5f80-4552-8839-ce4d88ada950"/>
    <x v="0"/>
    <x v="1"/>
    <x v="4"/>
    <s v="в ипотеке"/>
    <s v="консолидация кредитов"/>
    <n v="225126"/>
    <n v="725"/>
    <n v="1263785"/>
    <n v="15165.23"/>
    <n v="10.6"/>
    <n v="48"/>
    <n v="11"/>
    <n v="106571"/>
    <n v="333498"/>
    <n v="0"/>
    <n v="-0.48090303698825265"/>
    <n v="0.96537949400798939"/>
    <n v="0.54545454545454541"/>
    <n v="0.23809523809523808"/>
    <n v="0"/>
    <n v="105315.41666666667"/>
    <n v="0.14399819589566262"/>
  </r>
  <r>
    <n v="1158"/>
    <s v="8e3a2e28-511b-4e41-b726-84cc6d614e92"/>
    <x v="0"/>
    <x v="1"/>
    <x v="7"/>
    <s v="в аренде"/>
    <s v="консолидация кредитов"/>
    <n v="134112"/>
    <n v="0"/>
    <n v="1168044"/>
    <n v="17952.72"/>
    <n v="8.1999999999999993"/>
    <n v="12"/>
    <n v="14"/>
    <n v="137332"/>
    <n v="333366"/>
    <n v="0"/>
    <n v="-0.99907130508638664"/>
    <n v="0"/>
    <n v="0.13636363636363635"/>
    <n v="0.30952380952380953"/>
    <n v="0"/>
    <n v="97337"/>
    <n v="0.18443880538746829"/>
  </r>
  <r>
    <n v="1247"/>
    <s v="3b501624-1455-4427-96f4-2b92411e9652"/>
    <x v="0"/>
    <x v="0"/>
    <x v="2"/>
    <s v="в ипотеке"/>
    <s v="консолидация кредитов"/>
    <n v="555170"/>
    <n v="684"/>
    <n v="1150716"/>
    <n v="23014.32"/>
    <n v="32.299999999999997"/>
    <n v="35.265240640000002"/>
    <n v="11"/>
    <n v="172691"/>
    <n v="333256"/>
    <n v="0"/>
    <n v="1.3981301653342533"/>
    <n v="0.91078561917443412"/>
    <n v="0.40074137090909095"/>
    <n v="0.23809523809523808"/>
    <n v="0"/>
    <n v="95893"/>
    <n v="0.24"/>
  </r>
  <r>
    <n v="614"/>
    <s v="7393cb63-a4db-42cb-931f-d909baef6381"/>
    <x v="0"/>
    <x v="1"/>
    <x v="3"/>
    <s v="в ипотеке"/>
    <s v="консолидация кредитов"/>
    <n v="77814"/>
    <n v="748"/>
    <n v="529967"/>
    <n v="2534.98"/>
    <n v="18"/>
    <n v="80"/>
    <n v="4"/>
    <n v="14383"/>
    <n v="333058"/>
    <n v="1"/>
    <n v="-1.3195916333588364"/>
    <n v="0.99600532623169102"/>
    <n v="0.90909090909090906"/>
    <n v="7.1428571428571425E-2"/>
    <n v="0.14285714285714285"/>
    <n v="44163.916666666664"/>
    <n v="5.7399347506542867E-2"/>
  </r>
  <r>
    <n v="1664"/>
    <s v="f1988b5f-524e-4a99-b3ab-e4c5398f7eaf"/>
    <x v="0"/>
    <x v="1"/>
    <x v="8"/>
    <s v="в аренде"/>
    <s v="ремонт жилья"/>
    <n v="112706"/>
    <n v="0"/>
    <n v="1168044"/>
    <n v="14489.59"/>
    <n v="20"/>
    <n v="56"/>
    <n v="13"/>
    <n v="198588"/>
    <n v="332772"/>
    <n v="0"/>
    <n v="-1.1209416760942388"/>
    <n v="0"/>
    <n v="0.63636363636363635"/>
    <n v="0.2857142857142857"/>
    <n v="0"/>
    <n v="97337"/>
    <n v="0.14886004294358773"/>
  </r>
  <r>
    <n v="1686"/>
    <s v="51912caf-1e03-4ac7-bfec-e899a2e2375b"/>
    <x v="0"/>
    <x v="1"/>
    <x v="2"/>
    <s v="в ипотеке"/>
    <s v="ремонт жилья"/>
    <n v="284328"/>
    <n v="677"/>
    <n v="1818908"/>
    <n v="23039.4"/>
    <n v="10.1"/>
    <n v="36"/>
    <n v="14"/>
    <n v="174401"/>
    <n v="332706"/>
    <n v="0"/>
    <n v="-0.14384942097373035"/>
    <n v="0.90146471371504655"/>
    <n v="0.40909090909090912"/>
    <n v="0.30952380952380953"/>
    <n v="0"/>
    <n v="151575.66666666666"/>
    <n v="0.15199933146701208"/>
  </r>
  <r>
    <n v="197"/>
    <s v="86ea6dde-87de-443a-98a8-1ddb8c454811"/>
    <x v="0"/>
    <x v="0"/>
    <x v="1"/>
    <s v="в ипотеке"/>
    <s v="консолидация кредитов"/>
    <n v="606122"/>
    <n v="693"/>
    <n v="1395911"/>
    <n v="24079.46"/>
    <n v="22.5"/>
    <n v="35.265240640000002"/>
    <n v="8"/>
    <n v="168378"/>
    <n v="332156"/>
    <n v="1"/>
    <n v="1.6882142138997061"/>
    <n v="0.92276964047936083"/>
    <n v="0.40074137090909095"/>
    <n v="0.16666666666666666"/>
    <n v="0.14285714285714285"/>
    <n v="116325.91666666667"/>
    <n v="0.20699995916645114"/>
  </r>
  <r>
    <n v="490"/>
    <s v="917fae66-8e65-4cea-8888-c52996f6f7dd"/>
    <x v="0"/>
    <x v="1"/>
    <x v="8"/>
    <s v="в ипотеке"/>
    <s v="консолидация кредитов"/>
    <n v="648516"/>
    <n v="730"/>
    <n v="1400205"/>
    <n v="21353.15"/>
    <n v="19"/>
    <n v="69"/>
    <n v="8"/>
    <n v="265905"/>
    <n v="332156"/>
    <n v="0"/>
    <n v="1.9295751644979908"/>
    <n v="0.9720372836218375"/>
    <n v="0.78409090909090906"/>
    <n v="0.16666666666666666"/>
    <n v="0"/>
    <n v="116683.75"/>
    <n v="0.18300020354162427"/>
  </r>
  <r>
    <n v="507"/>
    <s v="c62a4a9f-659c-44bb-a0a8-ab18d2caa2e7"/>
    <x v="0"/>
    <x v="0"/>
    <x v="6"/>
    <s v="в аренде"/>
    <s v="консолидация кредитов"/>
    <n v="590986"/>
    <n v="613"/>
    <n v="1156511"/>
    <n v="22060.52"/>
    <n v="14.1"/>
    <n v="35.265240640000002"/>
    <n v="11"/>
    <n v="268926"/>
    <n v="331254"/>
    <n v="0"/>
    <n v="1.6020407141531467"/>
    <n v="0.81624500665778965"/>
    <n v="0.40074137090909095"/>
    <n v="0.23809523809523808"/>
    <n v="0"/>
    <n v="96375.916666666672"/>
    <n v="0.22890075407843072"/>
  </r>
  <r>
    <n v="898"/>
    <s v="609230bd-f426-4227-8ad7-3da7233314f6"/>
    <x v="1"/>
    <x v="0"/>
    <x v="1"/>
    <s v="в аренде"/>
    <s v="консолидация кредитов"/>
    <n v="291258"/>
    <n v="0"/>
    <n v="1168044"/>
    <n v="19207.29"/>
    <n v="9"/>
    <n v="35.265240640000002"/>
    <n v="11"/>
    <n v="101251"/>
    <n v="331188"/>
    <n v="1"/>
    <n v="-0.10439498431651204"/>
    <n v="0"/>
    <n v="0.40074137090909095"/>
    <n v="0.23809523809523808"/>
    <n v="0.14285714285714285"/>
    <n v="97337"/>
    <n v="0.19732773765371853"/>
  </r>
  <r>
    <n v="1965"/>
    <s v="6d5448de-74b8-4dc3-a893-d07c30ca6ff8"/>
    <x v="0"/>
    <x v="1"/>
    <x v="2"/>
    <s v="в ипотеке"/>
    <s v="консолидация кредитов"/>
    <n v="287430"/>
    <n v="0"/>
    <n v="1168044"/>
    <n v="31683.83"/>
    <n v="21.7"/>
    <n v="14"/>
    <n v="16"/>
    <n v="217018"/>
    <n v="330638"/>
    <n v="1"/>
    <n v="-0.12618886361288026"/>
    <n v="0"/>
    <n v="0.15909090909090909"/>
    <n v="0.35714285714285715"/>
    <n v="0.14285714285714285"/>
    <n v="97337"/>
    <n v="0.32550653913722433"/>
  </r>
  <r>
    <n v="1655"/>
    <s v="49abfdda-f725-47f1-9ecc-e56a426dfc43"/>
    <x v="0"/>
    <x v="0"/>
    <x v="1"/>
    <s v="в ипотеке"/>
    <s v="консолидация кредитов"/>
    <n v="440220"/>
    <n v="661"/>
    <n v="1083551"/>
    <n v="17336.740000000002"/>
    <n v="11.9"/>
    <n v="18"/>
    <n v="9"/>
    <n v="105298"/>
    <n v="330418"/>
    <n v="0"/>
    <n v="0.74368752554388573"/>
    <n v="0.88015978695073238"/>
    <n v="0.20454545454545456"/>
    <n v="0.19047619047619047"/>
    <n v="0"/>
    <n v="90295.916666666672"/>
    <n v="0.1919991583229585"/>
  </r>
  <r>
    <n v="1429"/>
    <s v="f03980f5-58c2-46b6-ba61-55c5b71c3471"/>
    <x v="1"/>
    <x v="1"/>
    <x v="4"/>
    <s v="в аренде"/>
    <s v="приобретение автомобиля"/>
    <n v="325578"/>
    <n v="747"/>
    <n v="749816"/>
    <n v="12934.25"/>
    <n v="14.5"/>
    <n v="35.265240640000002"/>
    <n v="7"/>
    <n v="207138"/>
    <n v="329890"/>
    <n v="0"/>
    <n v="9.0998416271616825E-2"/>
    <n v="0.9946737683089214"/>
    <n v="0.40074137090909095"/>
    <n v="0.14285714285714285"/>
    <n v="0"/>
    <n v="62484.666666666664"/>
    <n v="0.20699878370160146"/>
  </r>
  <r>
    <n v="214"/>
    <s v="1eff98c5-6382-4c2b-8241-1193ea885216"/>
    <x v="1"/>
    <x v="1"/>
    <x v="1"/>
    <s v="в ипотеке"/>
    <s v="консолидация кредитов"/>
    <n v="96690"/>
    <n v="673"/>
    <n v="280136"/>
    <n v="4598.76"/>
    <n v="17.8"/>
    <n v="51"/>
    <n v="4"/>
    <n v="179037"/>
    <n v="329582"/>
    <n v="0"/>
    <n v="-1.2121252630353656"/>
    <n v="0.89613848202396806"/>
    <n v="0.57954545454545459"/>
    <n v="7.1428571428571425E-2"/>
    <n v="0"/>
    <n v="23344.666666666668"/>
    <n v="0.19699403147042865"/>
  </r>
  <r>
    <n v="949"/>
    <s v="d33a364a-0d38-4af3-9011-dde304127abd"/>
    <x v="1"/>
    <x v="1"/>
    <x v="1"/>
    <s v="в аренде"/>
    <s v="консолидация кредитов"/>
    <n v="298760"/>
    <n v="0"/>
    <n v="1168044"/>
    <n v="11952.14"/>
    <n v="17.3"/>
    <n v="63"/>
    <n v="9"/>
    <n v="191786"/>
    <n v="329494"/>
    <n v="6"/>
    <n v="-6.1683990982824892E-2"/>
    <n v="0"/>
    <n v="0.71590909090909094"/>
    <n v="0.19047619047619047"/>
    <n v="0.8571428571428571"/>
    <n v="97337"/>
    <n v="0.12279133320320125"/>
  </r>
  <r>
    <n v="1584"/>
    <s v="f1f9e87c-d5a6-4315-be58-ef2992d3d185"/>
    <x v="0"/>
    <x v="1"/>
    <x v="9"/>
    <s v="в ипотеке"/>
    <s v="консолидация кредитов"/>
    <n v="257840"/>
    <n v="741"/>
    <n v="835088"/>
    <n v="15448.9"/>
    <n v="27.2"/>
    <n v="34"/>
    <n v="12"/>
    <n v="193325"/>
    <n v="328724"/>
    <n v="0"/>
    <n v="-0.29465304553020932"/>
    <n v="0.98668442077230356"/>
    <n v="0.38636363636363635"/>
    <n v="0.26190476190476192"/>
    <n v="0"/>
    <n v="69590.666666666672"/>
    <n v="0.22199672369858026"/>
  </r>
  <r>
    <n v="682"/>
    <s v="b9780ccd-cae9-4727-a002-1549fc0ac424"/>
    <x v="0"/>
    <x v="1"/>
    <x v="7"/>
    <s v="в аренде"/>
    <s v="консолидация кредитов"/>
    <n v="237116"/>
    <n v="721"/>
    <n v="655310"/>
    <n v="6880.66"/>
    <n v="14.5"/>
    <n v="74"/>
    <n v="5"/>
    <n v="229026"/>
    <n v="328218"/>
    <n v="0"/>
    <n v="-0.41264059896227173"/>
    <n v="0.96005326231691079"/>
    <n v="0.84090909090909094"/>
    <n v="9.5238095238095233E-2"/>
    <n v="0"/>
    <n v="54609.166666666664"/>
    <n v="0.12599826036532327"/>
  </r>
  <r>
    <n v="744"/>
    <s v="379e73c5-b1e9-4d58-b345-84f54fe43385"/>
    <x v="1"/>
    <x v="1"/>
    <x v="5"/>
    <s v="в ипотеке"/>
    <s v="консолидация кредитов"/>
    <n v="219604"/>
    <n v="0"/>
    <n v="1168044"/>
    <n v="9843.33"/>
    <n v="21.9"/>
    <n v="53"/>
    <n v="11"/>
    <n v="111245"/>
    <n v="326942"/>
    <n v="0"/>
    <n v="-0.51234133413416316"/>
    <n v="0"/>
    <n v="0.60227272727272729"/>
    <n v="0.23809523809523808"/>
    <n v="0"/>
    <n v="97337"/>
    <n v="0.1011262931875854"/>
  </r>
  <r>
    <n v="1257"/>
    <s v="0c006a8d-9e9d-4e10-abd8-a213d7766b8c"/>
    <x v="1"/>
    <x v="1"/>
    <x v="5"/>
    <s v="в собственности"/>
    <s v="консолидация кредитов"/>
    <n v="186362"/>
    <n v="708"/>
    <n v="492328"/>
    <n v="8492.6200000000008"/>
    <n v="17.3"/>
    <n v="35.265240640000002"/>
    <n v="8"/>
    <n v="221255"/>
    <n v="326766"/>
    <n v="0"/>
    <n v="-0.70159737790894694"/>
    <n v="0.94274300932090549"/>
    <n v="0.40074137090909095"/>
    <n v="0.16666666666666666"/>
    <n v="0"/>
    <n v="41027.333333333336"/>
    <n v="0.20699907378820626"/>
  </r>
  <r>
    <n v="1232"/>
    <s v="a58b1f58-8799-4537-a014-14706d0abb55"/>
    <x v="1"/>
    <x v="1"/>
    <x v="1"/>
    <s v="в собственности"/>
    <s v="ремонт жилья"/>
    <n v="135124"/>
    <n v="737"/>
    <n v="583509"/>
    <n v="11816.1"/>
    <n v="25.6"/>
    <n v="35.265240640000002"/>
    <n v="17"/>
    <n v="229444"/>
    <n v="326348"/>
    <n v="0"/>
    <n v="-0.99330970481263414"/>
    <n v="0.98135818908122507"/>
    <n v="0.40074137090909095"/>
    <n v="0.38095238095238093"/>
    <n v="0"/>
    <n v="48625.75"/>
    <n v="0.24300087916381755"/>
  </r>
  <r>
    <n v="1081"/>
    <s v="c776cd24-04e5-4040-b5dd-4eea0f1aff00"/>
    <x v="0"/>
    <x v="1"/>
    <x v="7"/>
    <s v="в ипотеке"/>
    <s v="консолидация кредитов"/>
    <n v="217338"/>
    <n v="746"/>
    <n v="1595468"/>
    <n v="33504.6"/>
    <n v="12.7"/>
    <n v="35.265240640000002"/>
    <n v="11"/>
    <n v="104462"/>
    <n v="326018"/>
    <n v="0"/>
    <n v="-0.52524230866017418"/>
    <n v="0.99334221038615178"/>
    <n v="0.40074137090909095"/>
    <n v="0.23809523809523808"/>
    <n v="0"/>
    <n v="132955.66666666666"/>
    <n v="0.25199828514266659"/>
  </r>
  <r>
    <n v="613"/>
    <s v="d3a48c94-0848-4d92-a3f2-143d3ee25750"/>
    <x v="1"/>
    <x v="1"/>
    <x v="1"/>
    <s v="в ипотеке"/>
    <s v="консолидация кредитов"/>
    <n v="655314"/>
    <n v="0"/>
    <n v="1168044"/>
    <n v="12937.86"/>
    <n v="22.1"/>
    <n v="35.265240640000002"/>
    <n v="9"/>
    <n v="219678"/>
    <n v="325270"/>
    <n v="0"/>
    <n v="1.968278088076024"/>
    <n v="0"/>
    <n v="0.40074137090909095"/>
    <n v="0.19047619047619047"/>
    <n v="0"/>
    <n v="97337"/>
    <n v="0.13291821198516496"/>
  </r>
  <r>
    <n v="1390"/>
    <s v="61c1ced2-5271-40e4-92c8-e8425fd52143"/>
    <x v="0"/>
    <x v="1"/>
    <x v="1"/>
    <s v="в ипотеке"/>
    <s v="консолидация кредитов"/>
    <n v="178178"/>
    <n v="747"/>
    <n v="827127"/>
    <n v="4446"/>
    <n v="39.6"/>
    <n v="34"/>
    <n v="12"/>
    <n v="86070"/>
    <n v="324676"/>
    <n v="0"/>
    <n v="-0.74819118881842372"/>
    <n v="0.9946737683089214"/>
    <n v="0.38636363636363635"/>
    <n v="0.26190476190476192"/>
    <n v="0"/>
    <n v="68927.25"/>
    <n v="6.4502790986148445E-2"/>
  </r>
  <r>
    <n v="104"/>
    <s v="ba4f8d7d-4907-4870-a1b1-e79f7055e13d"/>
    <x v="0"/>
    <x v="1"/>
    <x v="9"/>
    <s v="в аренде"/>
    <s v="консолидация кредитов"/>
    <n v="33022"/>
    <n v="723"/>
    <n v="1673007"/>
    <n v="25234.47"/>
    <n v="23.3"/>
    <n v="80"/>
    <n v="13"/>
    <n v="125609"/>
    <n v="323928"/>
    <n v="0"/>
    <n v="-1.5746050715623174"/>
    <n v="0.96271637816245004"/>
    <n v="0.90909090909090906"/>
    <n v="0.2857142857142857"/>
    <n v="0"/>
    <n v="139417.25"/>
    <n v="0.18099962522571633"/>
  </r>
  <r>
    <n v="1736"/>
    <s v="5bb9b80c-71bb-4f64-8e1e-62eea2969362"/>
    <x v="1"/>
    <x v="1"/>
    <x v="6"/>
    <s v="в аренде"/>
    <s v="консолидация кредитов"/>
    <n v="131318"/>
    <n v="732"/>
    <n v="1361027"/>
    <n v="19961.59"/>
    <n v="30.2"/>
    <n v="25"/>
    <n v="9"/>
    <n v="200564"/>
    <n v="323906"/>
    <n v="0"/>
    <n v="-1.0149783319291381"/>
    <n v="0.97470039946737685"/>
    <n v="0.28409090909090912"/>
    <n v="0.19047619047619047"/>
    <n v="0"/>
    <n v="113418.91666666667"/>
    <n v="0.17599877151592141"/>
  </r>
  <r>
    <n v="1090"/>
    <s v="5f9a77ab-afec-4fb2-949f-8d1282e1e7ce"/>
    <x v="0"/>
    <x v="1"/>
    <x v="5"/>
    <s v="в ипотеке"/>
    <s v="консолидация кредитов"/>
    <n v="309594.52439999999"/>
    <n v="741"/>
    <n v="716718"/>
    <n v="14573"/>
    <n v="11.6"/>
    <n v="35.265240640000002"/>
    <n v="7"/>
    <n v="115178"/>
    <n v="322916"/>
    <n v="0"/>
    <n v="-1.2411115481956205E-10"/>
    <n v="0.98668442077230356"/>
    <n v="0.40074137090909095"/>
    <n v="0.14285714285714285"/>
    <n v="0"/>
    <n v="59726.5"/>
    <n v="0.24399554636551615"/>
  </r>
  <r>
    <n v="376"/>
    <s v="1a5685b7-450d-44c6-9390-2e16387f7cd8"/>
    <x v="0"/>
    <x v="1"/>
    <x v="1"/>
    <s v="в аренде"/>
    <s v="крупная покупка"/>
    <n v="76340"/>
    <n v="0"/>
    <n v="1168044"/>
    <n v="472.15"/>
    <n v="23.6"/>
    <n v="35.265240640000002"/>
    <n v="6"/>
    <n v="15333"/>
    <n v="322806"/>
    <n v="1"/>
    <n v="-1.3279835294097369"/>
    <n v="0"/>
    <n v="0.40074137090909095"/>
    <n v="0.11904761904761904"/>
    <n v="0.14285714285714285"/>
    <n v="97337"/>
    <n v="4.8506734335350375E-3"/>
  </r>
  <r>
    <n v="785"/>
    <s v="d3b5f171-9216-438d-96e2-5336c3204798"/>
    <x v="0"/>
    <x v="1"/>
    <x v="3"/>
    <s v="в аренде"/>
    <s v="консолидация кредитов"/>
    <n v="309594.52439999999"/>
    <n v="745"/>
    <n v="681226"/>
    <n v="8095.33"/>
    <n v="12.7"/>
    <n v="35.265240640000002"/>
    <n v="9"/>
    <n v="173812"/>
    <n v="322520"/>
    <n v="0"/>
    <n v="-1.2411115481956205E-10"/>
    <n v="0.99201065246338216"/>
    <n v="0.40074137090909095"/>
    <n v="0.19047619047619047"/>
    <n v="0"/>
    <n v="56768.833333333336"/>
    <n v="0.14260166229709376"/>
  </r>
  <r>
    <n v="1911"/>
    <s v="c5fe1722-fe80-4e3b-bd50-26f49068b3ef"/>
    <x v="0"/>
    <x v="1"/>
    <x v="7"/>
    <s v="в аренде"/>
    <s v="приобретение автомобиля"/>
    <n v="159962"/>
    <n v="747"/>
    <n v="690764"/>
    <n v="8001.47"/>
    <n v="17.2"/>
    <n v="35.265240640000002"/>
    <n v="7"/>
    <n v="232940"/>
    <n v="322256"/>
    <n v="0"/>
    <n v="-0.85189999374596914"/>
    <n v="0.9946737683089214"/>
    <n v="0.40074137090909095"/>
    <n v="0.14285714285714285"/>
    <n v="0"/>
    <n v="57563.666666666664"/>
    <n v="0.1390020904389922"/>
  </r>
  <r>
    <n v="836"/>
    <s v="f4c3ce6e-3da2-49d1-8ff0-aeb12bb4a8ce"/>
    <x v="0"/>
    <x v="1"/>
    <x v="1"/>
    <s v="в ипотеке"/>
    <s v="консолидация кредитов"/>
    <n v="402578"/>
    <n v="0"/>
    <n v="1168044"/>
    <n v="5097.32"/>
    <n v="16.3"/>
    <n v="18"/>
    <n v="8"/>
    <n v="211964"/>
    <n v="322102"/>
    <n v="0"/>
    <n v="0.52938104579626488"/>
    <n v="0"/>
    <n v="0.20454545454545456"/>
    <n v="0.16666666666666666"/>
    <n v="0"/>
    <n v="97337"/>
    <n v="5.2367753269568607E-2"/>
  </r>
  <r>
    <n v="1955"/>
    <s v="7b3250d2-400e-4a96-a912-972495ee464d"/>
    <x v="0"/>
    <x v="1"/>
    <x v="10"/>
    <s v="в аренде"/>
    <s v="консолидация кредитов"/>
    <n v="467940"/>
    <n v="725"/>
    <n v="1010325"/>
    <n v="6524.98"/>
    <n v="18"/>
    <n v="36"/>
    <n v="5"/>
    <n v="214871"/>
    <n v="321860"/>
    <n v="0"/>
    <n v="0.901505272172759"/>
    <n v="0.96537949400798939"/>
    <n v="0.40909090909090912"/>
    <n v="9.5238095238095233E-2"/>
    <n v="0"/>
    <n v="84193.75"/>
    <n v="7.7499576868829329E-2"/>
  </r>
  <r>
    <n v="867"/>
    <s v="51d762c9-4b63-4926-ac1d-64eba303d6ef"/>
    <x v="0"/>
    <x v="1"/>
    <x v="9"/>
    <s v="в ипотеке"/>
    <s v="консолидация кредитов"/>
    <n v="221826"/>
    <n v="0"/>
    <n v="1168044"/>
    <n v="15042.11"/>
    <n v="21.2"/>
    <n v="55"/>
    <n v="13"/>
    <n v="224808"/>
    <n v="321772"/>
    <n v="0"/>
    <n v="-0.49969086396788043"/>
    <n v="0"/>
    <n v="0.625"/>
    <n v="0.2857142857142857"/>
    <n v="0"/>
    <n v="97337"/>
    <n v="0.15453640445051728"/>
  </r>
  <r>
    <n v="1593"/>
    <s v="c03878ff-cce3-496a-8055-b5baa510084b"/>
    <x v="0"/>
    <x v="1"/>
    <x v="1"/>
    <s v="в собственности"/>
    <s v="консолидация кредитов"/>
    <n v="189244"/>
    <n v="645"/>
    <n v="482125"/>
    <n v="6106.98"/>
    <n v="15.2"/>
    <n v="35.265240640000002"/>
    <n v="11"/>
    <n v="92416"/>
    <n v="321332"/>
    <n v="1"/>
    <n v="-0.68518934234673867"/>
    <n v="0.8588548601864181"/>
    <n v="0.40074137090909095"/>
    <n v="0.23809523809523808"/>
    <n v="0.14285714285714285"/>
    <n v="40177.083333333336"/>
    <n v="0.15200157635467978"/>
  </r>
  <r>
    <n v="492"/>
    <s v="01d4703a-b407-4737-aa0b-21ae1f759cdc"/>
    <x v="0"/>
    <x v="1"/>
    <x v="10"/>
    <s v="в собственности"/>
    <s v="консолидация кредитов"/>
    <n v="448932"/>
    <n v="738"/>
    <n v="1473317"/>
    <n v="17557.14"/>
    <n v="14.7"/>
    <n v="25"/>
    <n v="10"/>
    <n v="160569"/>
    <n v="321112"/>
    <n v="0"/>
    <n v="0.79328738877010307"/>
    <n v="0.9826897470039947"/>
    <n v="0.28409090909090912"/>
    <n v="0.21428571428571427"/>
    <n v="0"/>
    <n v="122776.41666666667"/>
    <n v="0.14300091562101028"/>
  </r>
  <r>
    <n v="1020"/>
    <s v="3bf47435-6990-439e-bd56-f0bcf7c913be"/>
    <x v="0"/>
    <x v="1"/>
    <x v="2"/>
    <s v="в аренде"/>
    <s v="консолидация кредитов"/>
    <n v="132550"/>
    <n v="654"/>
    <n v="622478"/>
    <n v="14213.14"/>
    <n v="15.6"/>
    <n v="19"/>
    <n v="14"/>
    <n v="178391"/>
    <n v="320760"/>
    <n v="1"/>
    <n v="-1.0079642098567438"/>
    <n v="0.87083888149134492"/>
    <n v="0.21590909090909091"/>
    <n v="0.30952380952380953"/>
    <n v="0.14285714285714285"/>
    <n v="51873.166666666664"/>
    <n v="0.27399792442463833"/>
  </r>
  <r>
    <n v="119"/>
    <s v="4bf2f68f-20e5-44ce-b073-a31953b2f646"/>
    <x v="1"/>
    <x v="0"/>
    <x v="3"/>
    <s v="в аренде"/>
    <s v="консолидация кредитов"/>
    <n v="509586"/>
    <n v="678"/>
    <n v="1816001"/>
    <n v="26180.67"/>
    <n v="13.9"/>
    <n v="74"/>
    <n v="32"/>
    <n v="115672"/>
    <n v="319638"/>
    <n v="1"/>
    <n v="1.1386076486556616"/>
    <n v="0.90279627163781628"/>
    <n v="0.84090909090909094"/>
    <n v="0.73809523809523814"/>
    <n v="0.14285714285714285"/>
    <n v="151333.41666666666"/>
    <n v="0.17299992676215487"/>
  </r>
  <r>
    <n v="1940"/>
    <s v="d2b6ea87-e5c3-476e-81e8-65c286318457"/>
    <x v="0"/>
    <x v="1"/>
    <x v="1"/>
    <s v="в аренде"/>
    <s v="консолидация кредитов"/>
    <n v="172744"/>
    <n v="725"/>
    <n v="1398647"/>
    <n v="6119.14"/>
    <n v="16.3"/>
    <n v="5"/>
    <n v="4"/>
    <n v="149625"/>
    <n v="319638"/>
    <n v="0"/>
    <n v="-0.77912847724487755"/>
    <n v="0.96537949400798939"/>
    <n v="5.6818181818181816E-2"/>
    <n v="7.1428571428571425E-2"/>
    <n v="0"/>
    <n v="116553.91666666667"/>
    <n v="5.250050942089033E-2"/>
  </r>
  <r>
    <n v="1432"/>
    <s v="d40c5b24-8646-4128-8fec-6e005d4bcaff"/>
    <x v="0"/>
    <x v="1"/>
    <x v="1"/>
    <s v="в аренде"/>
    <s v="консолидация кредитов"/>
    <n v="267806"/>
    <n v="692"/>
    <n v="1060048"/>
    <n v="10688.83"/>
    <n v="18.5"/>
    <n v="24"/>
    <n v="9"/>
    <n v="243428"/>
    <n v="319220"/>
    <n v="1"/>
    <n v="-0.23791380805173343"/>
    <n v="0.92143808255659121"/>
    <n v="0.27272727272727271"/>
    <n v="0.19047619047619047"/>
    <n v="0.14285714285714285"/>
    <n v="88337.333333333328"/>
    <n v="0.12100014338973331"/>
  </r>
  <r>
    <n v="1030"/>
    <s v="5fa9ee40-8421-4e44-92de-a7757ca04f8a"/>
    <x v="0"/>
    <x v="1"/>
    <x v="6"/>
    <s v="в аренде"/>
    <s v="консолидация кредитов"/>
    <n v="150744"/>
    <n v="0"/>
    <n v="1168044"/>
    <n v="17297.22"/>
    <n v="14.5"/>
    <n v="76"/>
    <n v="9"/>
    <n v="171893"/>
    <n v="318956"/>
    <n v="0"/>
    <n v="-0.90438065710906268"/>
    <n v="0"/>
    <n v="0.86363636363636365"/>
    <n v="0.19047619047619047"/>
    <n v="0"/>
    <n v="97337"/>
    <n v="0.17770447003708767"/>
  </r>
  <r>
    <n v="1040"/>
    <s v="bda04956-9b63-4c91-a93b-6e6b85f45483"/>
    <x v="0"/>
    <x v="1"/>
    <x v="6"/>
    <s v="в аренде"/>
    <s v="консолидация кредитов"/>
    <n v="215468"/>
    <n v="0"/>
    <n v="1168044"/>
    <n v="19353.02"/>
    <n v="14.5"/>
    <n v="35.265240640000002"/>
    <n v="10"/>
    <n v="235334"/>
    <n v="318714"/>
    <n v="0"/>
    <n v="-0.53588874394862995"/>
    <n v="0"/>
    <n v="0.40074137090909095"/>
    <n v="0.21428571428571427"/>
    <n v="0"/>
    <n v="97337"/>
    <n v="0.19882490728089011"/>
  </r>
  <r>
    <n v="1980"/>
    <s v="96ffb210-6dd6-4c56-80d1-1044185301ea"/>
    <x v="0"/>
    <x v="1"/>
    <x v="6"/>
    <s v="в аренде"/>
    <s v="иное"/>
    <n v="130064"/>
    <n v="736"/>
    <n v="936035"/>
    <n v="8658.2999999999993"/>
    <n v="16"/>
    <n v="35.265240640000002"/>
    <n v="9"/>
    <n v="140106"/>
    <n v="318714"/>
    <n v="0"/>
    <n v="-1.0221177061813966"/>
    <n v="0.98002663115845534"/>
    <n v="0.40074137090909095"/>
    <n v="0.19047619047619047"/>
    <n v="0"/>
    <n v="78002.916666666672"/>
    <n v="0.11099969552420581"/>
  </r>
  <r>
    <n v="1273"/>
    <s v="a5ab2a03-4e66-4a0b-ba2e-b77cee28cb93"/>
    <x v="0"/>
    <x v="1"/>
    <x v="9"/>
    <s v="в ипотеке"/>
    <s v="иное"/>
    <n v="43626"/>
    <n v="696"/>
    <n v="1676465"/>
    <n v="19418.95"/>
    <n v="11.3"/>
    <n v="35.265240640000002"/>
    <n v="12"/>
    <n v="212553"/>
    <n v="318384"/>
    <n v="0"/>
    <n v="-1.5142335208677802"/>
    <n v="0.92676431424766981"/>
    <n v="0.40074137090909095"/>
    <n v="0.26190476190476192"/>
    <n v="0"/>
    <n v="139705.41666666666"/>
    <n v="0.13899926333087778"/>
  </r>
  <r>
    <n v="1543"/>
    <s v="9d143754-01a5-444d-8f02-acf85b51c55c"/>
    <x v="1"/>
    <x v="0"/>
    <x v="0"/>
    <s v="в аренде"/>
    <s v="консолидация кредитов"/>
    <n v="365178"/>
    <n v="714"/>
    <n v="788614"/>
    <n v="10514.79"/>
    <n v="19.3"/>
    <n v="35.265240640000002"/>
    <n v="8"/>
    <n v="242991"/>
    <n v="318296"/>
    <n v="0"/>
    <n v="0.31645234002715011"/>
    <n v="0.95073235685752333"/>
    <n v="0.40074137090909095"/>
    <n v="0.16666666666666666"/>
    <n v="0"/>
    <n v="65717.833333333328"/>
    <n v="0.15999903628391079"/>
  </r>
  <r>
    <n v="1598"/>
    <s v="33aa069d-a514-4c4e-b8c5-eaf9d20831aa"/>
    <x v="0"/>
    <x v="1"/>
    <x v="1"/>
    <s v="в ипотеке"/>
    <s v="консолидация кредитов"/>
    <n v="187726"/>
    <n v="725"/>
    <n v="694811"/>
    <n v="16964.91"/>
    <n v="22.5"/>
    <n v="35.265240640000002"/>
    <n v="12"/>
    <n v="184186"/>
    <n v="318296"/>
    <n v="1"/>
    <n v="-0.69383174275736736"/>
    <n v="0.96537949400798939"/>
    <n v="0.40074137090909095"/>
    <n v="0.26190476190476192"/>
    <n v="0.14285714285714285"/>
    <n v="57900.916666666664"/>
    <n v="0.29299898821406112"/>
  </r>
  <r>
    <n v="352"/>
    <s v="f104bb8f-a70d-4e89-8dae-81db356d8452"/>
    <x v="0"/>
    <x v="1"/>
    <x v="1"/>
    <s v="в аренде"/>
    <s v="приобретение автомобиля"/>
    <n v="163482"/>
    <n v="711"/>
    <n v="564756"/>
    <n v="6447.65"/>
    <n v="12.4"/>
    <n v="35.265240640000002"/>
    <n v="9"/>
    <n v="216809"/>
    <n v="318186"/>
    <n v="0"/>
    <n v="-0.83185964496769949"/>
    <n v="0.94673768308921435"/>
    <n v="0.40074137090909095"/>
    <n v="0.19047619047619047"/>
    <n v="0"/>
    <n v="47063"/>
    <n v="0.13700040371417035"/>
  </r>
  <r>
    <n v="594"/>
    <s v="5bc78d33-49c5-4f9a-834b-e726309106b9"/>
    <x v="0"/>
    <x v="0"/>
    <x v="1"/>
    <s v="в ипотеке"/>
    <s v="ремонт жилья"/>
    <n v="429440"/>
    <n v="674"/>
    <n v="1383599"/>
    <n v="11760.62"/>
    <n v="33.5"/>
    <n v="49"/>
    <n v="9"/>
    <n v="206853"/>
    <n v="318076"/>
    <n v="0"/>
    <n v="0.68231395741043499"/>
    <n v="0.89747003994673769"/>
    <n v="0.55681818181818177"/>
    <n v="0.19047619047619047"/>
    <n v="0"/>
    <n v="115299.91666666667"/>
    <n v="0.10200024718144492"/>
  </r>
  <r>
    <n v="208"/>
    <s v="289b5992-ceed-469a-9c30-9a8c5567a1ee"/>
    <x v="0"/>
    <x v="1"/>
    <x v="3"/>
    <s v="в аренде"/>
    <s v="консолидация кредитов"/>
    <n v="79398"/>
    <n v="718"/>
    <n v="761824"/>
    <n v="13459.03"/>
    <n v="15.5"/>
    <n v="35.265240640000002"/>
    <n v="13"/>
    <n v="159315"/>
    <n v="317526"/>
    <n v="0"/>
    <n v="-1.3105734764086152"/>
    <n v="0.95605858854860182"/>
    <n v="0.40074137090909095"/>
    <n v="0.2857142857142857"/>
    <n v="0"/>
    <n v="63485.333333333336"/>
    <n v="0.21200219473264167"/>
  </r>
  <r>
    <n v="1323"/>
    <s v="b065373b-88fd-4ae4-a7be-ccb8f757453c"/>
    <x v="0"/>
    <x v="1"/>
    <x v="1"/>
    <s v="в аренде"/>
    <s v="консолидация кредитов"/>
    <n v="303050"/>
    <n v="0"/>
    <n v="1168044"/>
    <n v="18487"/>
    <n v="18.7"/>
    <n v="35.265240640000002"/>
    <n v="7"/>
    <n v="192375"/>
    <n v="317306"/>
    <n v="0"/>
    <n v="-3.7259815909308783E-2"/>
    <n v="0"/>
    <n v="0.40074137090909095"/>
    <n v="0.14285714285714285"/>
    <n v="0"/>
    <n v="97337"/>
    <n v="0.18992777669334374"/>
  </r>
  <r>
    <n v="203"/>
    <s v="546408e9-0300-401e-a111-446b87b78fa2"/>
    <x v="0"/>
    <x v="1"/>
    <x v="2"/>
    <s v="в ипотеке"/>
    <s v="консолидация кредитов"/>
    <n v="150458"/>
    <n v="737"/>
    <n v="1330513"/>
    <n v="4446.1899999999996"/>
    <n v="13.9"/>
    <n v="35.265240640000002"/>
    <n v="13"/>
    <n v="129827"/>
    <n v="316492"/>
    <n v="0"/>
    <n v="-0.9060089354472971"/>
    <n v="0.98135818908122507"/>
    <n v="0.40074137090909095"/>
    <n v="0.2857142857142857"/>
    <n v="0"/>
    <n v="110876.08333333333"/>
    <n v="4.0100532651691487E-2"/>
  </r>
  <r>
    <n v="1630"/>
    <s v="dbec6e5e-d9f4-4a31-bb2d-c48788f08448"/>
    <x v="0"/>
    <x v="0"/>
    <x v="2"/>
    <s v="в собственности"/>
    <s v="консолидация кредитов"/>
    <n v="334158"/>
    <n v="674"/>
    <n v="1074013"/>
    <n v="9003.91"/>
    <n v="10.7"/>
    <n v="35.265240640000002"/>
    <n v="11"/>
    <n v="261155"/>
    <n v="316316"/>
    <n v="0"/>
    <n v="0.13984676641864904"/>
    <n v="0.89747003994673769"/>
    <n v="0.40074137090909095"/>
    <n v="0.23809523809523808"/>
    <n v="0"/>
    <n v="89501.083333333328"/>
    <n v="0.10060112866417818"/>
  </r>
  <r>
    <n v="633"/>
    <s v="485af707-d563-452c-b5f0-d6e8d16961ca"/>
    <x v="0"/>
    <x v="1"/>
    <x v="4"/>
    <s v="в ипотеке"/>
    <s v="консолидация кредитов"/>
    <n v="309594.52439999999"/>
    <n v="748"/>
    <n v="1022333"/>
    <n v="18146.330000000002"/>
    <n v="9"/>
    <n v="35.265240640000002"/>
    <n v="9"/>
    <n v="168777"/>
    <n v="316228"/>
    <n v="0"/>
    <n v="-1.2411115481956205E-10"/>
    <n v="0.99600532623169102"/>
    <n v="0.40074137090909095"/>
    <n v="0.19047619047619047"/>
    <n v="0"/>
    <n v="85194.416666666672"/>
    <n v="0.21299905216793355"/>
  </r>
  <r>
    <n v="1188"/>
    <s v="6ce7e08c-2852-431a-8c6e-630215246b06"/>
    <x v="1"/>
    <x v="1"/>
    <x v="6"/>
    <s v="в аренде"/>
    <s v="консолидация кредитов"/>
    <n v="279488"/>
    <n v="700"/>
    <n v="626373"/>
    <n v="6837.91"/>
    <n v="12.1"/>
    <n v="60"/>
    <n v="9"/>
    <n v="235239"/>
    <n v="315986"/>
    <n v="0"/>
    <n v="-0.1714049005438511"/>
    <n v="0.93209054593874829"/>
    <n v="0.68181818181818177"/>
    <n v="0.19047619047619047"/>
    <n v="0"/>
    <n v="52197.75"/>
    <n v="0.131000091000091"/>
  </r>
  <r>
    <n v="1028"/>
    <s v="b8eb74b6-c4b9-488c-93f7-e8ace0d5c2db"/>
    <x v="1"/>
    <x v="1"/>
    <x v="5"/>
    <s v="в аренде"/>
    <s v="консолидация кредитов"/>
    <n v="108834"/>
    <n v="0"/>
    <n v="1168044"/>
    <n v="13392.72"/>
    <n v="16"/>
    <n v="35.265240640000002"/>
    <n v="10"/>
    <n v="224428"/>
    <n v="315766"/>
    <n v="0"/>
    <n v="-1.1429860597503354"/>
    <n v="0"/>
    <n v="0.40074137090909095"/>
    <n v="0.21428571428571427"/>
    <n v="0"/>
    <n v="97337"/>
    <n v="0.13759125512395079"/>
  </r>
  <r>
    <n v="1117"/>
    <s v="5398f0c1-60ee-4434-9279-9f20997c27e6"/>
    <x v="1"/>
    <x v="1"/>
    <x v="9"/>
    <s v="в аренде"/>
    <s v="консолидация кредитов"/>
    <n v="52074"/>
    <n v="737"/>
    <n v="877021"/>
    <n v="4743.16"/>
    <n v="16.7"/>
    <n v="35.265240640000002"/>
    <n v="7"/>
    <n v="127889"/>
    <n v="315766"/>
    <n v="0"/>
    <n v="-1.4661366837999332"/>
    <n v="0.98135818908122507"/>
    <n v="0.40074137090909095"/>
    <n v="0.14285714285714285"/>
    <n v="0"/>
    <n v="73085.083333333328"/>
    <n v="6.4899152927923046E-2"/>
  </r>
  <r>
    <n v="1057"/>
    <s v="e2e5e73d-e22c-469d-809c-8a33f2efb493"/>
    <x v="0"/>
    <x v="1"/>
    <x v="2"/>
    <s v="в ипотеке"/>
    <s v="консолидация кредитов"/>
    <n v="309594.52439999999"/>
    <n v="721"/>
    <n v="976942"/>
    <n v="9280.93"/>
    <n v="15.2"/>
    <n v="7"/>
    <n v="11"/>
    <n v="130891"/>
    <n v="315744"/>
    <n v="0"/>
    <n v="-1.2411115481956205E-10"/>
    <n v="0.96005326231691079"/>
    <n v="7.9545454545454544E-2"/>
    <n v="0.23809523809523808"/>
    <n v="0"/>
    <n v="81411.833333333328"/>
    <n v="0.11399976661869385"/>
  </r>
  <r>
    <n v="740"/>
    <s v="fb5343f3-f71f-470e-ac14-789b902c6a88"/>
    <x v="1"/>
    <x v="0"/>
    <x v="0"/>
    <s v="в аренде"/>
    <s v="консолидация кредитов"/>
    <n v="450912"/>
    <n v="717"/>
    <n v="1168272"/>
    <n v="19568.48"/>
    <n v="7.6"/>
    <n v="35.265240640000002"/>
    <n v="8"/>
    <n v="144780"/>
    <n v="315722"/>
    <n v="0"/>
    <n v="0.80456008495787967"/>
    <n v="0.9547270306258322"/>
    <n v="0.40074137090909095"/>
    <n v="0.16666666666666666"/>
    <n v="0"/>
    <n v="97356"/>
    <n v="0.20099921935987508"/>
  </r>
  <r>
    <n v="1126"/>
    <s v="8b2b7db8-80f3-43f0-a71a-5adf7f79ef43"/>
    <x v="0"/>
    <x v="1"/>
    <x v="1"/>
    <s v="в собственности"/>
    <s v="консолидация кредитов"/>
    <n v="214698"/>
    <n v="743"/>
    <n v="1446280"/>
    <n v="9666.06"/>
    <n v="21"/>
    <n v="54"/>
    <n v="9"/>
    <n v="210577"/>
    <n v="315436"/>
    <n v="1"/>
    <n v="-0.54027257024387643"/>
    <n v="0.98934753661784292"/>
    <n v="0.61363636363636365"/>
    <n v="0.19047619047619047"/>
    <n v="0.14285714285714285"/>
    <n v="120523.33333333333"/>
    <n v="8.0200735680504467E-2"/>
  </r>
  <r>
    <n v="530"/>
    <s v="4f8a034b-1384-48ec-a86d-2c0a2cfe390e"/>
    <x v="0"/>
    <x v="1"/>
    <x v="2"/>
    <s v="в аренде"/>
    <s v="иное"/>
    <n v="748154"/>
    <n v="668"/>
    <n v="7669160"/>
    <n v="12078.87"/>
    <n v="20.9"/>
    <n v="35.265240640000002"/>
    <n v="7"/>
    <n v="46721"/>
    <n v="314556"/>
    <n v="2"/>
    <n v="2.4968422871028855"/>
    <n v="0.88948069241011984"/>
    <n v="0.40074137090909095"/>
    <n v="0.14285714285714285"/>
    <n v="0.2857142857142857"/>
    <n v="639096.66666666663"/>
    <n v="1.8899910811614313E-2"/>
  </r>
  <r>
    <n v="1044"/>
    <s v="217d696e-f89d-4b34-bb0e-671eaa8fdcf9"/>
    <x v="0"/>
    <x v="1"/>
    <x v="1"/>
    <s v="в аренде"/>
    <s v="консолидация кредитов"/>
    <n v="108988"/>
    <n v="0"/>
    <n v="1168044"/>
    <n v="6395.78"/>
    <n v="22"/>
    <n v="35.265240640000002"/>
    <n v="13"/>
    <n v="94734"/>
    <n v="314270"/>
    <n v="1"/>
    <n v="-1.1421092944912861"/>
    <n v="0"/>
    <n v="0.40074137090909095"/>
    <n v="0.2857142857142857"/>
    <n v="0.14285714285714285"/>
    <n v="97337"/>
    <n v="6.5707593207105203E-2"/>
  </r>
  <r>
    <n v="786"/>
    <s v="86242eec-2c69-448a-93c5-c7d128eba38a"/>
    <x v="1"/>
    <x v="0"/>
    <x v="0"/>
    <s v="в аренде"/>
    <s v="консолидация кредитов"/>
    <n v="216524"/>
    <n v="688"/>
    <n v="934990"/>
    <n v="16050.63"/>
    <n v="11"/>
    <n v="13"/>
    <n v="10"/>
    <n v="113373"/>
    <n v="314072"/>
    <n v="0"/>
    <n v="-0.52987663931514906"/>
    <n v="0.91611185086551261"/>
    <n v="0.14772727272727273"/>
    <n v="0.21428571428571427"/>
    <n v="0"/>
    <n v="77915.833333333328"/>
    <n v="0.20599959357854095"/>
  </r>
  <r>
    <n v="1441"/>
    <s v="13f860f3-73e4-4d7b-a6e6-82a7d0fe8df5"/>
    <x v="0"/>
    <x v="1"/>
    <x v="2"/>
    <s v="в аренде"/>
    <s v="консолидация кредитов"/>
    <n v="173624"/>
    <n v="0"/>
    <n v="1168044"/>
    <n v="24835.09"/>
    <n v="11.3"/>
    <n v="71"/>
    <n v="11"/>
    <n v="234745"/>
    <n v="313874"/>
    <n v="0"/>
    <n v="-0.77411839005031013"/>
    <n v="0"/>
    <n v="0.80681818181818177"/>
    <n v="0.23809523809523808"/>
    <n v="0"/>
    <n v="97337"/>
    <n v="0.25514542260394302"/>
  </r>
  <r>
    <n v="717"/>
    <s v="25647df0-688c-4181-948b-d2d6d3277e1c"/>
    <x v="1"/>
    <x v="1"/>
    <x v="2"/>
    <s v="в ипотеке"/>
    <s v="консолидация кредитов"/>
    <n v="214940"/>
    <n v="727"/>
    <n v="1095217"/>
    <n v="11435.91"/>
    <n v="27.9"/>
    <n v="69"/>
    <n v="6"/>
    <n v="181773"/>
    <n v="313654"/>
    <n v="0"/>
    <n v="-0.5388947962653704"/>
    <n v="0.96804260985352863"/>
    <n v="0.78409090909090906"/>
    <n v="0.11904761904761904"/>
    <n v="0"/>
    <n v="91268.083333333328"/>
    <n v="0.12530020991273877"/>
  </r>
  <r>
    <n v="861"/>
    <s v="a98bbd37-206d-4f81-a644-dacac1b23e51"/>
    <x v="1"/>
    <x v="1"/>
    <x v="1"/>
    <s v="в собственности"/>
    <s v="иное"/>
    <n v="216942"/>
    <n v="735"/>
    <n v="599545"/>
    <n v="11691.27"/>
    <n v="14"/>
    <n v="35.265240640000002"/>
    <n v="12"/>
    <n v="159296"/>
    <n v="312620"/>
    <n v="1"/>
    <n v="-0.52749684789772955"/>
    <n v="0.97869507323568572"/>
    <n v="0.40074137090909095"/>
    <n v="0.26190476190476192"/>
    <n v="0.14285714285714285"/>
    <n v="49962.083333333336"/>
    <n v="0.23400285216289018"/>
  </r>
  <r>
    <n v="1058"/>
    <s v="b760d32b-ef0b-4a56-89fb-256637ba5488"/>
    <x v="0"/>
    <x v="1"/>
    <x v="1"/>
    <s v="в собственности"/>
    <s v="иное"/>
    <n v="309594.52439999999"/>
    <n v="737"/>
    <n v="764712"/>
    <n v="9272.19"/>
    <n v="18"/>
    <n v="11"/>
    <n v="10"/>
    <n v="23218"/>
    <n v="312488"/>
    <n v="0"/>
    <n v="-1.2411115481956205E-10"/>
    <n v="0.98135818908122507"/>
    <n v="0.125"/>
    <n v="0.21428571428571427"/>
    <n v="0"/>
    <n v="63726"/>
    <n v="0.14550089445438283"/>
  </r>
  <r>
    <n v="712"/>
    <s v="839089ec-b35d-460c-b623-da93ffb39960"/>
    <x v="0"/>
    <x v="0"/>
    <x v="6"/>
    <s v="в аренде"/>
    <s v="приобретение автомобиля"/>
    <n v="407132"/>
    <n v="668"/>
    <n v="1233765"/>
    <n v="2868.62"/>
    <n v="12.4"/>
    <n v="35.265240640000002"/>
    <n v="12"/>
    <n v="38589"/>
    <n v="312466"/>
    <n v="0"/>
    <n v="0.55530824702815118"/>
    <n v="0.88948069241011984"/>
    <n v="0.40074137090909095"/>
    <n v="0.26190476190476192"/>
    <n v="0"/>
    <n v="102813.75"/>
    <n v="2.7901131901131901E-2"/>
  </r>
  <r>
    <n v="1326"/>
    <s v="29e6a2dc-2570-4c76-980e-083ba8096bb5"/>
    <x v="1"/>
    <x v="0"/>
    <x v="8"/>
    <s v="в аренде"/>
    <s v="консолидация кредитов"/>
    <n v="265408"/>
    <n v="0"/>
    <n v="1168044"/>
    <n v="13036.28"/>
    <n v="11.8"/>
    <n v="35.265240640000002"/>
    <n v="9"/>
    <n v="82878"/>
    <n v="311586"/>
    <n v="0"/>
    <n v="-0.25156629565692962"/>
    <n v="0"/>
    <n v="0.40074137090909095"/>
    <n v="0.19047619047619047"/>
    <n v="0"/>
    <n v="97337"/>
    <n v="0.13392933827835254"/>
  </r>
  <r>
    <n v="1707"/>
    <s v="9ce8ebe2-7dde-428f-8f8d-ac7e2b101845"/>
    <x v="1"/>
    <x v="0"/>
    <x v="9"/>
    <s v="в ипотеке"/>
    <s v="консолидация кредитов"/>
    <n v="345664"/>
    <n v="719"/>
    <n v="1306060"/>
    <n v="17958.419999999998"/>
    <n v="21.6"/>
    <n v="35.265240640000002"/>
    <n v="6"/>
    <n v="234099"/>
    <n v="311212"/>
    <n v="0"/>
    <n v="0.20535365648761789"/>
    <n v="0.95739014647137155"/>
    <n v="0.40074137090909095"/>
    <n v="0.11904761904761904"/>
    <n v="0"/>
    <n v="108838.33333333333"/>
    <n v="0.16500087285423334"/>
  </r>
  <r>
    <n v="1868"/>
    <s v="0e2a24d3-2cb5-4a11-8a49-81fc770a2d63"/>
    <x v="1"/>
    <x v="1"/>
    <x v="7"/>
    <s v="в аренде"/>
    <s v="консолидация кредитов"/>
    <n v="131384"/>
    <n v="739"/>
    <n v="945630"/>
    <n v="23483.24"/>
    <n v="18.3"/>
    <n v="35.265240640000002"/>
    <n v="9"/>
    <n v="157662"/>
    <n v="310992"/>
    <n v="0"/>
    <n v="-1.0146025753895456"/>
    <n v="0.98402130492676432"/>
    <n v="0.40074137090909095"/>
    <n v="0.19047619047619047"/>
    <n v="0"/>
    <n v="78802.5"/>
    <n v="0.29800120554550935"/>
  </r>
  <r>
    <n v="1035"/>
    <s v="df7bea99-4e87-4c5e-8f76-9c2c4d147e01"/>
    <x v="0"/>
    <x v="0"/>
    <x v="5"/>
    <s v="в аренде"/>
    <s v="консолидация кредитов"/>
    <n v="332970"/>
    <n v="723"/>
    <n v="996892"/>
    <n v="19190.189999999999"/>
    <n v="12.8"/>
    <n v="35.265240640000002"/>
    <n v="14"/>
    <n v="209836"/>
    <n v="310684"/>
    <n v="0"/>
    <n v="0.13308314870598303"/>
    <n v="0.96271637816245004"/>
    <n v="0.40074137090909095"/>
    <n v="0.30952380952380953"/>
    <n v="0"/>
    <n v="83074.333333333328"/>
    <n v="0.23100022871083326"/>
  </r>
  <r>
    <n v="1382"/>
    <s v="da1de7f3-8d7e-4680-b47d-5ec0c205b9bc"/>
    <x v="0"/>
    <x v="1"/>
    <x v="3"/>
    <s v="в аренде"/>
    <s v="консолидация кредитов"/>
    <n v="172040"/>
    <n v="730"/>
    <n v="479275"/>
    <n v="7828"/>
    <n v="9.6999999999999993"/>
    <n v="35.265240640000002"/>
    <n v="12"/>
    <n v="219355"/>
    <n v="310508"/>
    <n v="0"/>
    <n v="-0.78313654700053148"/>
    <n v="0.9720372836218375"/>
    <n v="0.40074137090909095"/>
    <n v="0.26190476190476192"/>
    <n v="0"/>
    <n v="39939.583333333336"/>
    <n v="0.19599603567888998"/>
  </r>
  <r>
    <n v="1488"/>
    <s v="64eae788-ea19-403a-b2d5-9bc9d1c8ce12"/>
    <x v="0"/>
    <x v="1"/>
    <x v="1"/>
    <s v="в ипотеке"/>
    <s v="консолидация кредитов"/>
    <n v="206602"/>
    <n v="741"/>
    <n v="1607666"/>
    <n v="18622.28"/>
    <n v="11"/>
    <n v="35"/>
    <n v="11"/>
    <n v="173242"/>
    <n v="310024"/>
    <n v="0"/>
    <n v="-0.58636537243389653"/>
    <n v="0.98668442077230356"/>
    <n v="0.39772727272727271"/>
    <n v="0.23809523809523808"/>
    <n v="0"/>
    <n v="133972.16666666666"/>
    <n v="0.13900111092726972"/>
  </r>
  <r>
    <n v="723"/>
    <s v="f8e19364-1e97-4ceb-9054-1145091a633f"/>
    <x v="0"/>
    <x v="1"/>
    <x v="10"/>
    <s v="в аренде"/>
    <s v="консолидация кредитов"/>
    <n v="246202"/>
    <n v="720"/>
    <n v="1404879"/>
    <n v="13112.28"/>
    <n v="16.600000000000001"/>
    <n v="36"/>
    <n v="7"/>
    <n v="171570"/>
    <n v="309914"/>
    <n v="1"/>
    <n v="-0.36091144867836322"/>
    <n v="0.95872170439414117"/>
    <n v="0.40909090909090912"/>
    <n v="0.14285714285714285"/>
    <n v="0.14285714285714285"/>
    <n v="117073.25"/>
    <n v="0.11200064916622714"/>
  </r>
  <r>
    <n v="1718"/>
    <s v="4a1f3508-77ef-493d-89bd-128026651e39"/>
    <x v="0"/>
    <x v="1"/>
    <x v="5"/>
    <s v="в собственности"/>
    <s v="консолидация кредитов"/>
    <n v="154506"/>
    <n v="718"/>
    <n v="732963"/>
    <n v="5094.09"/>
    <n v="10"/>
    <n v="35.265240640000002"/>
    <n v="8"/>
    <n v="68628"/>
    <n v="309210"/>
    <n v="0"/>
    <n v="-0.882962534352287"/>
    <n v="0.95605858854860182"/>
    <n v="0.40074137090909095"/>
    <n v="0.16666666666666666"/>
    <n v="0"/>
    <n v="61080.25"/>
    <n v="8.3399953340073107E-2"/>
  </r>
  <r>
    <n v="1324"/>
    <s v="1918512f-7d02-4e03-ad10-c321db9bd0d6"/>
    <x v="0"/>
    <x v="1"/>
    <x v="5"/>
    <s v="в аренде"/>
    <s v="путешествие"/>
    <n v="78430"/>
    <n v="699"/>
    <n v="620977"/>
    <n v="11384.61"/>
    <n v="11.4"/>
    <n v="35.265240640000002"/>
    <n v="15"/>
    <n v="87837"/>
    <n v="309144"/>
    <n v="0"/>
    <n v="-1.3160845723226393"/>
    <n v="0.93075898801597867"/>
    <n v="0.40074137090909095"/>
    <n v="0.33333333333333331"/>
    <n v="0"/>
    <n v="51748.083333333336"/>
    <n v="0.2200006119389285"/>
  </r>
  <r>
    <n v="876"/>
    <s v="1299f13c-514e-40b1-bb0e-57add6fe3e37"/>
    <x v="0"/>
    <x v="1"/>
    <x v="1"/>
    <s v="в аренде"/>
    <s v="консолидация кредитов"/>
    <n v="302588"/>
    <n v="730"/>
    <n v="1133673"/>
    <n v="7642.75"/>
    <n v="25.5"/>
    <n v="52"/>
    <n v="10"/>
    <n v="197524"/>
    <n v="309078"/>
    <n v="0"/>
    <n v="-3.9890111686456675E-2"/>
    <n v="0.9720372836218375"/>
    <n v="0.59090909090909094"/>
    <n v="0.21428571428571427"/>
    <n v="0"/>
    <n v="94472.75"/>
    <n v="8.0898989391120724E-2"/>
  </r>
  <r>
    <n v="426"/>
    <s v="9d65a472-7fdb-4eb8-8fcd-5597554a6082"/>
    <x v="1"/>
    <x v="1"/>
    <x v="1"/>
    <s v="в ипотеке"/>
    <s v="консолидация кредитов"/>
    <n v="234036"/>
    <n v="703"/>
    <n v="665798"/>
    <n v="11263.01"/>
    <n v="17"/>
    <n v="39"/>
    <n v="13"/>
    <n v="242098"/>
    <n v="308396"/>
    <n v="0"/>
    <n v="-0.43017590414325763"/>
    <n v="0.93608521970705727"/>
    <n v="0.44318181818181818"/>
    <n v="0.2857142857142857"/>
    <n v="0"/>
    <n v="55483.166666666664"/>
    <n v="0.20299868728953829"/>
  </r>
  <r>
    <n v="1728"/>
    <s v="b7bf27b3-b9d0-40ad-a300-07ce865127b5"/>
    <x v="0"/>
    <x v="1"/>
    <x v="10"/>
    <s v="в ипотеке"/>
    <s v="консолидация кредитов"/>
    <n v="180180"/>
    <n v="0"/>
    <n v="1168044"/>
    <n v="37062.54"/>
    <n v="10.1"/>
    <n v="45"/>
    <n v="12"/>
    <n v="150442"/>
    <n v="308308"/>
    <n v="0"/>
    <n v="-0.73679324045078287"/>
    <n v="0"/>
    <n v="0.51136363636363635"/>
    <n v="0.26190476190476192"/>
    <n v="0"/>
    <n v="97337"/>
    <n v="0.38076517665430415"/>
  </r>
  <r>
    <n v="826"/>
    <s v="9d1f6f0e-a3ee-4e39-a6e5-727390babdba"/>
    <x v="1"/>
    <x v="0"/>
    <x v="9"/>
    <s v="в ипотеке"/>
    <s v="консолидация кредитов"/>
    <n v="260260"/>
    <n v="730"/>
    <n v="1236197"/>
    <n v="21015.33"/>
    <n v="12.8"/>
    <n v="30"/>
    <n v="10"/>
    <n v="121106"/>
    <n v="308198"/>
    <n v="0"/>
    <n v="-0.28087530574514891"/>
    <n v="0.9720372836218375"/>
    <n v="0.34090909090909088"/>
    <n v="0.21428571428571427"/>
    <n v="0"/>
    <n v="103016.41666666667"/>
    <n v="0.20399981556337704"/>
  </r>
  <r>
    <n v="1009"/>
    <s v="aac67f72-fe21-4656-b675-af81e6d1c4ac"/>
    <x v="0"/>
    <x v="1"/>
    <x v="5"/>
    <s v="в аренде"/>
    <s v="консолидация кредитов"/>
    <n v="196658"/>
    <n v="732"/>
    <n v="650655"/>
    <n v="15073.46"/>
    <n v="15"/>
    <n v="35.265240640000002"/>
    <n v="7"/>
    <n v="190684"/>
    <n v="307934"/>
    <n v="0"/>
    <n v="-0.64297935773250825"/>
    <n v="0.97470039946737685"/>
    <n v="0.40074137090909095"/>
    <n v="0.14285714285714285"/>
    <n v="0"/>
    <n v="54221.25"/>
    <n v="0.27799912395970211"/>
  </r>
  <r>
    <n v="1147"/>
    <s v="5f2f3ec8-45e0-4506-961c-d37ed6ffd3b4"/>
    <x v="1"/>
    <x v="1"/>
    <x v="1"/>
    <s v="в аренде"/>
    <s v="консолидация кредитов"/>
    <n v="360162"/>
    <n v="738"/>
    <n v="738986"/>
    <n v="18228.41"/>
    <n v="26.2"/>
    <n v="35.265240640000002"/>
    <n v="11"/>
    <n v="204820"/>
    <n v="307604"/>
    <n v="1"/>
    <n v="0.28789484301811591"/>
    <n v="0.9826897470039947"/>
    <n v="0.40074137090909095"/>
    <n v="0.23809523809523808"/>
    <n v="0.14285714285714285"/>
    <n v="61582.166666666664"/>
    <n v="0.29600143981076776"/>
  </r>
  <r>
    <n v="1296"/>
    <s v="59d717c7-daba-4eac-b818-ee5a6a257083"/>
    <x v="1"/>
    <x v="1"/>
    <x v="0"/>
    <s v="в ипотеке"/>
    <s v="консолидация кредитов"/>
    <n v="207636"/>
    <n v="738"/>
    <n v="933945"/>
    <n v="2015.9"/>
    <n v="14.2"/>
    <n v="72"/>
    <n v="8"/>
    <n v="106666"/>
    <n v="307208"/>
    <n v="0"/>
    <n v="-0.58047851998027988"/>
    <n v="0.9826897470039947"/>
    <n v="0.81818181818181823"/>
    <n v="0.16666666666666666"/>
    <n v="0"/>
    <n v="77828.75"/>
    <n v="2.5901739395788832E-2"/>
  </r>
  <r>
    <n v="1717"/>
    <s v="3eb3d13f-9afa-4f01-b614-cb93795727e2"/>
    <x v="1"/>
    <x v="0"/>
    <x v="6"/>
    <s v="в собственности"/>
    <s v="консолидация кредитов"/>
    <n v="321794"/>
    <n v="720"/>
    <n v="741076"/>
    <n v="12536.58"/>
    <n v="30.6"/>
    <n v="35.265240640000002"/>
    <n v="7"/>
    <n v="226423"/>
    <n v="306636"/>
    <n v="1"/>
    <n v="6.9455041334976972E-2"/>
    <n v="0.95872170439414117"/>
    <n v="0.40074137090909095"/>
    <n v="0.14285714285714285"/>
    <n v="0.14285714285714285"/>
    <n v="61756.333333333336"/>
    <n v="0.20300071787508972"/>
  </r>
  <r>
    <n v="1901"/>
    <s v="b66d5ba5-f729-4282-93cf-83ec060a4088"/>
    <x v="1"/>
    <x v="1"/>
    <x v="1"/>
    <s v="в ипотеке"/>
    <s v="приобретение автомобиля"/>
    <n v="115434"/>
    <n v="737"/>
    <n v="722019"/>
    <n v="17749.61"/>
    <n v="21.4"/>
    <n v="39"/>
    <n v="7"/>
    <n v="798"/>
    <n v="306350"/>
    <n v="0"/>
    <n v="-1.1054104057910799"/>
    <n v="0.98135818908122507"/>
    <n v="0.44318181818181818"/>
    <n v="0.14285714285714285"/>
    <n v="0"/>
    <n v="60168.25"/>
    <n v="0.29499960527354546"/>
  </r>
  <r>
    <n v="1049"/>
    <s v="30213973-3e39-4472-916a-06e375bd3fac"/>
    <x v="1"/>
    <x v="1"/>
    <x v="2"/>
    <s v="в аренде"/>
    <s v="консолидация кредитов"/>
    <n v="180180"/>
    <n v="0"/>
    <n v="1168044"/>
    <n v="8597.1200000000008"/>
    <n v="25.9"/>
    <n v="51"/>
    <n v="4"/>
    <n v="169309"/>
    <n v="306328"/>
    <n v="0"/>
    <n v="-0.73679324045078287"/>
    <n v="0"/>
    <n v="0.57954545454545459"/>
    <n v="7.1428571428571425E-2"/>
    <n v="0"/>
    <n v="97337"/>
    <n v="8.8323248096818283E-2"/>
  </r>
  <r>
    <n v="944"/>
    <s v="526b6746-fe75-46ae-a699-ae298cd9c378"/>
    <x v="0"/>
    <x v="1"/>
    <x v="5"/>
    <s v="в ипотеке"/>
    <s v="Медицинские счета"/>
    <n v="309594.52439999999"/>
    <n v="728"/>
    <n v="2362897"/>
    <n v="15752.52"/>
    <n v="26.1"/>
    <n v="35.265240640000002"/>
    <n v="6"/>
    <n v="62092"/>
    <n v="305976"/>
    <n v="0"/>
    <n v="-1.2411115481956205E-10"/>
    <n v="0.96937416777629826"/>
    <n v="0.40074137090909095"/>
    <n v="0.11904761904761904"/>
    <n v="0"/>
    <n v="196908.08333333334"/>
    <n v="7.999935672185457E-2"/>
  </r>
  <r>
    <n v="1971"/>
    <s v="c7a44e80-b739-4317-8c2b-b9060a8c02a4"/>
    <x v="0"/>
    <x v="1"/>
    <x v="1"/>
    <s v="в ипотеке"/>
    <s v="консолидация кредитов"/>
    <n v="309594.52439999999"/>
    <n v="732"/>
    <n v="1318695"/>
    <n v="30879.56"/>
    <n v="14.2"/>
    <n v="35.265240640000002"/>
    <n v="12"/>
    <n v="237215"/>
    <n v="305536"/>
    <n v="0"/>
    <n v="-1.2411115481956205E-10"/>
    <n v="0.97470039946737685"/>
    <n v="0.40074137090909095"/>
    <n v="0.26190476190476192"/>
    <n v="0"/>
    <n v="109891.25"/>
    <n v="0.28100108061378865"/>
  </r>
  <r>
    <n v="548"/>
    <s v="3b4bdfd5-04df-44b5-b4bc-a18f23d9f543"/>
    <x v="0"/>
    <x v="1"/>
    <x v="1"/>
    <s v="в аренде"/>
    <s v="консолидация кредитов"/>
    <n v="309594.52439999999"/>
    <n v="739"/>
    <n v="1029439"/>
    <n v="12696.18"/>
    <n v="14.5"/>
    <n v="20"/>
    <n v="13"/>
    <n v="76760"/>
    <n v="305426"/>
    <n v="0"/>
    <n v="-1.2411115481956205E-10"/>
    <n v="0.98402130492676432"/>
    <n v="0.22727272727272727"/>
    <n v="0.2857142857142857"/>
    <n v="0"/>
    <n v="85786.583333333328"/>
    <n v="0.14799726841512709"/>
  </r>
  <r>
    <n v="802"/>
    <s v="1dabcfda-b1a1-4f89-b858-96d9ccab77a5"/>
    <x v="0"/>
    <x v="1"/>
    <x v="3"/>
    <s v="в ипотеке"/>
    <s v="бизнес"/>
    <n v="309594.52439999999"/>
    <n v="702"/>
    <n v="1385480"/>
    <n v="14893.91"/>
    <n v="24.6"/>
    <n v="47"/>
    <n v="8"/>
    <n v="234973"/>
    <n v="305382"/>
    <n v="0"/>
    <n v="-1.2411115481956205E-10"/>
    <n v="0.93475366178428765"/>
    <n v="0.53409090909090906"/>
    <n v="0.16666666666666666"/>
    <n v="0"/>
    <n v="115456.66666666667"/>
    <n v="0.129"/>
  </r>
  <r>
    <n v="1163"/>
    <s v="226e350f-e782-4ae3-876b-4d2b676afc19"/>
    <x v="0"/>
    <x v="1"/>
    <x v="9"/>
    <s v="в аренде"/>
    <s v="консолидация кредитов"/>
    <n v="171820"/>
    <n v="742"/>
    <n v="797639"/>
    <n v="14025.04"/>
    <n v="11.9"/>
    <n v="35.265240640000002"/>
    <n v="12"/>
    <n v="173660"/>
    <n v="305118"/>
    <n v="0"/>
    <n v="-0.78438906879917325"/>
    <n v="0.98801597869507318"/>
    <n v="0.40074137090909095"/>
    <n v="0.26190476190476192"/>
    <n v="0"/>
    <n v="66469.916666666672"/>
    <n v="0.21099830875872419"/>
  </r>
  <r>
    <n v="1867"/>
    <s v="26853fe1-2a98-4852-8ec6-8946ab8c223e"/>
    <x v="1"/>
    <x v="1"/>
    <x v="6"/>
    <s v="в аренде"/>
    <s v="консолидация кредитов"/>
    <n v="173492"/>
    <n v="728"/>
    <n v="561906"/>
    <n v="7258"/>
    <n v="23.6"/>
    <n v="35.265240640000002"/>
    <n v="5"/>
    <n v="229178"/>
    <n v="305008"/>
    <n v="0"/>
    <n v="-0.77486990312949522"/>
    <n v="0.96937416777629826"/>
    <n v="0.40074137090909095"/>
    <n v="9.5238095238095233E-2"/>
    <n v="0"/>
    <n v="46825.5"/>
    <n v="0.15500101440454453"/>
  </r>
  <r>
    <n v="1395"/>
    <s v="f99719f4-0dc6-4ed2-ac0f-2e1e88e7ac3e"/>
    <x v="0"/>
    <x v="1"/>
    <x v="3"/>
    <s v="в аренде"/>
    <s v="консолидация кредитов"/>
    <n v="215886"/>
    <n v="707"/>
    <n v="783085"/>
    <n v="8809.5400000000009"/>
    <n v="11"/>
    <n v="35.265240640000002"/>
    <n v="11"/>
    <n v="179949"/>
    <n v="304612"/>
    <n v="0"/>
    <n v="-0.53350895253121045"/>
    <n v="0.94141145139813587"/>
    <n v="0.40074137090909095"/>
    <n v="0.23809523809523808"/>
    <n v="0"/>
    <n v="65257.083333333336"/>
    <n v="0.13499745238384084"/>
  </r>
  <r>
    <n v="1847"/>
    <s v="a1f66da4-ba46-450c-9490-b42e54177fac"/>
    <x v="0"/>
    <x v="1"/>
    <x v="1"/>
    <s v="в ипотеке"/>
    <s v="консолидация кредитов"/>
    <n v="233332"/>
    <n v="724"/>
    <n v="921272"/>
    <n v="12437.21"/>
    <n v="17"/>
    <n v="34"/>
    <n v="10"/>
    <n v="123120"/>
    <n v="304612"/>
    <n v="0"/>
    <n v="-0.43418397389891156"/>
    <n v="0.96404793608521966"/>
    <n v="0.38636363636363635"/>
    <n v="0.21428571428571427"/>
    <n v="0"/>
    <n v="76772.666666666672"/>
    <n v="0.16200049496782706"/>
  </r>
  <r>
    <n v="385"/>
    <s v="8d3fe0d8-97d9-4e39-9d69-a030e72ba161"/>
    <x v="0"/>
    <x v="1"/>
    <x v="1"/>
    <s v="в ипотеке"/>
    <s v="консолидация кредитов"/>
    <n v="67298"/>
    <n v="0"/>
    <n v="1168044"/>
    <n v="20289.53"/>
    <n v="22.5"/>
    <n v="34"/>
    <n v="9"/>
    <n v="170601"/>
    <n v="302962"/>
    <n v="1"/>
    <n v="-1.3794621753339169"/>
    <n v="0"/>
    <n v="0.38636363636363635"/>
    <n v="0.19047619047619047"/>
    <n v="0.14285714285714285"/>
    <n v="97337"/>
    <n v="0.20844622291626"/>
  </r>
  <r>
    <n v="1784"/>
    <s v="84a8f87f-fbed-46d2-8342-ca36513ac4a1"/>
    <x v="0"/>
    <x v="1"/>
    <x v="9"/>
    <s v="в аренде"/>
    <s v="консолидация кредитов"/>
    <n v="309594.52439999999"/>
    <n v="729"/>
    <n v="629698"/>
    <n v="13066.11"/>
    <n v="28.1"/>
    <n v="46"/>
    <n v="7"/>
    <n v="240331"/>
    <n v="302808"/>
    <n v="0"/>
    <n v="-1.2411115481956205E-10"/>
    <n v="0.97070572569906788"/>
    <n v="0.52272727272727271"/>
    <n v="0.14285714285714285"/>
    <n v="0"/>
    <n v="52474.833333333336"/>
    <n v="0.24899764649085751"/>
  </r>
  <r>
    <n v="1665"/>
    <s v="79d10348-fba6-4e7e-98bd-848c1da87c90"/>
    <x v="0"/>
    <x v="0"/>
    <x v="2"/>
    <s v="в ипотеке"/>
    <s v="консолидация кредитов"/>
    <n v="309594.52439999999"/>
    <n v="719"/>
    <n v="1285274"/>
    <n v="11353.26"/>
    <n v="11.7"/>
    <n v="35.265240640000002"/>
    <n v="4"/>
    <n v="166250"/>
    <n v="302676"/>
    <n v="0"/>
    <n v="-1.2411115481956205E-10"/>
    <n v="0.95739014647137155"/>
    <n v="0.40074137090909095"/>
    <n v="7.1428571428571425E-2"/>
    <n v="0"/>
    <n v="107106.16666666667"/>
    <n v="0.10600005913136032"/>
  </r>
  <r>
    <n v="222"/>
    <s v="9f9bb0ba-9afd-4b10-b489-28cd65bbf75c"/>
    <x v="1"/>
    <x v="1"/>
    <x v="0"/>
    <s v="в ипотеке"/>
    <s v="консолидация кредитов"/>
    <n v="152966"/>
    <n v="708"/>
    <n v="1334902"/>
    <n v="10845.96"/>
    <n v="17.100000000000001"/>
    <n v="41"/>
    <n v="13"/>
    <n v="82593"/>
    <n v="302654"/>
    <n v="0"/>
    <n v="-0.89173018694277995"/>
    <n v="0.94274300932090549"/>
    <n v="0.46590909090909088"/>
    <n v="0.2857142857142857"/>
    <n v="0"/>
    <n v="111241.83333333333"/>
    <n v="9.7498932505906799E-2"/>
  </r>
  <r>
    <n v="518"/>
    <s v="33fe01b7-03a2-4b28-a52a-5614a33e5cd6"/>
    <x v="0"/>
    <x v="1"/>
    <x v="10"/>
    <s v="в аренде"/>
    <s v="консолидация кредитов"/>
    <n v="257554"/>
    <n v="732"/>
    <n v="885096"/>
    <n v="11211.14"/>
    <n v="21.6"/>
    <n v="35.265240640000002"/>
    <n v="4"/>
    <n v="197239"/>
    <n v="302478"/>
    <n v="0"/>
    <n v="-0.29628132386844369"/>
    <n v="0.97470039946737685"/>
    <n v="0.40074137090909095"/>
    <n v="7.1428571428571425E-2"/>
    <n v="0"/>
    <n v="73758"/>
    <n v="0.15199896960329726"/>
  </r>
  <r>
    <n v="399"/>
    <s v="a7f14ec6-d7f1-41c1-8a88-69fd6a5d807b"/>
    <x v="0"/>
    <x v="1"/>
    <x v="0"/>
    <s v="в ипотеке"/>
    <s v="ремонт жилья"/>
    <n v="39138"/>
    <n v="731"/>
    <n v="751336"/>
    <n v="10894.41"/>
    <n v="10.6"/>
    <n v="27"/>
    <n v="11"/>
    <n v="77539"/>
    <n v="302302"/>
    <n v="0"/>
    <n v="-1.5397849655600739"/>
    <n v="0.97336884154460723"/>
    <n v="0.30681818181818182"/>
    <n v="0.23809523809523808"/>
    <n v="0"/>
    <n v="62611.333333333336"/>
    <n v="0.17400060691887517"/>
  </r>
  <r>
    <n v="1822"/>
    <s v="27cf0603-9f07-4ab5-8d9b-45bebce92589"/>
    <x v="0"/>
    <x v="0"/>
    <x v="1"/>
    <s v="в аренде"/>
    <s v="консолидация кредитов"/>
    <n v="434632"/>
    <n v="615"/>
    <n v="1557753"/>
    <n v="14539.18"/>
    <n v="14.1"/>
    <n v="67"/>
    <n v="16"/>
    <n v="146737"/>
    <n v="302302"/>
    <n v="1"/>
    <n v="0.71187347185838268"/>
    <n v="0.81890812250332889"/>
    <n v="0.76136363636363635"/>
    <n v="0.35714285714285715"/>
    <n v="0.14285714285714285"/>
    <n v="129812.75"/>
    <n v="0.11200117091734056"/>
  </r>
  <r>
    <n v="1832"/>
    <s v="24e09d5f-5b36-4f80-ac2b-eb57b49765f1"/>
    <x v="0"/>
    <x v="1"/>
    <x v="0"/>
    <s v="в собственности"/>
    <s v="ремонт жилья"/>
    <n v="109670"/>
    <n v="740"/>
    <n v="852359"/>
    <n v="22303.15"/>
    <n v="35.5"/>
    <n v="35.265240640000002"/>
    <n v="16"/>
    <n v="110181"/>
    <n v="302302"/>
    <n v="1"/>
    <n v="-1.1382264769154964"/>
    <n v="0.98535286284953394"/>
    <n v="0.40074137090909095"/>
    <n v="0.35714285714285715"/>
    <n v="0.14285714285714285"/>
    <n v="71029.916666666672"/>
    <n v="0.31399656717416019"/>
  </r>
  <r>
    <n v="227"/>
    <s v="48cdef94-bd16-4df1-98fc-50fc3efae88e"/>
    <x v="1"/>
    <x v="1"/>
    <x v="7"/>
    <s v="в аренде"/>
    <s v="консолидация кредитов"/>
    <n v="223850"/>
    <n v="0"/>
    <n v="1168044"/>
    <n v="7684.74"/>
    <n v="17.3"/>
    <n v="35.265240640000002"/>
    <n v="8"/>
    <n v="87609"/>
    <n v="301928"/>
    <n v="0"/>
    <n v="-0.48816766342037538"/>
    <n v="0"/>
    <n v="0.40074137090909095"/>
    <n v="0.16666666666666666"/>
    <n v="0"/>
    <n v="97337"/>
    <n v="7.8949834081592812E-2"/>
  </r>
  <r>
    <n v="1478"/>
    <s v="0427866b-c3da-4794-aa74-b13e9f30fa17"/>
    <x v="0"/>
    <x v="1"/>
    <x v="7"/>
    <s v="в собственности"/>
    <s v="консолидация кредитов"/>
    <n v="309594.52439999999"/>
    <n v="733"/>
    <n v="971660"/>
    <n v="15465.43"/>
    <n v="19.100000000000001"/>
    <n v="35.265240640000002"/>
    <n v="8"/>
    <n v="249375"/>
    <n v="301400"/>
    <n v="0"/>
    <n v="-1.2411115481956205E-10"/>
    <n v="0.97603195739014648"/>
    <n v="0.40074137090909095"/>
    <n v="0.16666666666666666"/>
    <n v="0"/>
    <n v="80971.666666666672"/>
    <n v="0.19099804458349628"/>
  </r>
  <r>
    <n v="471"/>
    <s v="834b3cbc-fdb2-4084-9dfc-9cdcae945acf"/>
    <x v="0"/>
    <x v="0"/>
    <x v="1"/>
    <s v="в ипотеке"/>
    <s v="ремонт жилья"/>
    <n v="260216"/>
    <n v="664"/>
    <n v="1685547"/>
    <n v="17698.310000000001"/>
    <n v="14.8"/>
    <n v="35.265240640000002"/>
    <n v="12"/>
    <n v="71041"/>
    <n v="301290"/>
    <n v="1"/>
    <n v="-0.28112581010487731"/>
    <n v="0.88415446071904125"/>
    <n v="0.40074137090909095"/>
    <n v="0.26190476190476192"/>
    <n v="0.14285714285714285"/>
    <n v="140462.25"/>
    <n v="0.12600047343681312"/>
  </r>
  <r>
    <n v="533"/>
    <s v="9ce42db6-b72e-47f5-a49c-74014a4a7bde"/>
    <x v="0"/>
    <x v="1"/>
    <x v="0"/>
    <s v="в ипотеке"/>
    <s v="консолидация кредитов"/>
    <n v="132000"/>
    <n v="713"/>
    <n v="440895"/>
    <n v="6797.06"/>
    <n v="11.9"/>
    <n v="35.265240640000002"/>
    <n v="11"/>
    <n v="207347"/>
    <n v="301246"/>
    <n v="0"/>
    <n v="-1.0110955143533484"/>
    <n v="0.94940079893475371"/>
    <n v="0.40074137090909095"/>
    <n v="0.23809523809523808"/>
    <n v="0"/>
    <n v="36741.25"/>
    <n v="0.18499806076276665"/>
  </r>
  <r>
    <n v="1264"/>
    <s v="51015fd2-7eaa-4996-bddc-2a99b3cf9dbe"/>
    <x v="1"/>
    <x v="1"/>
    <x v="3"/>
    <s v="в аренде"/>
    <s v="консолидация кредитов"/>
    <n v="142912"/>
    <n v="0"/>
    <n v="1168044"/>
    <n v="6147.64"/>
    <n v="9.5"/>
    <n v="37"/>
    <n v="7"/>
    <n v="123291"/>
    <n v="301158"/>
    <n v="0"/>
    <n v="-0.94897043314071261"/>
    <n v="0"/>
    <n v="0.42045454545454547"/>
    <n v="0.14285714285714285"/>
    <n v="0"/>
    <n v="97337"/>
    <n v="6.3158305680265467E-2"/>
  </r>
  <r>
    <n v="161"/>
    <s v="f20cccab-9676-4fba-a5c2-7e6d52d07bba"/>
    <x v="1"/>
    <x v="1"/>
    <x v="1"/>
    <s v="в аренде"/>
    <s v="консолидация кредитов"/>
    <n v="87912"/>
    <n v="750"/>
    <n v="960184"/>
    <n v="3432.73"/>
    <n v="43.3"/>
    <n v="42"/>
    <n v="9"/>
    <n v="86051"/>
    <n v="301026"/>
    <n v="0"/>
    <n v="-1.2621008828011755"/>
    <n v="0.99866844207723038"/>
    <n v="0.47727272727272729"/>
    <n v="0.19047619047619047"/>
    <n v="0"/>
    <n v="80015.333333333328"/>
    <n v="4.2900902327053986E-2"/>
  </r>
  <r>
    <n v="1107"/>
    <s v="4cd10387-f511-4827-83f5-1e0ad8b47495"/>
    <x v="0"/>
    <x v="1"/>
    <x v="0"/>
    <s v="в аренде"/>
    <s v="консолидация кредитов"/>
    <n v="234740"/>
    <n v="0"/>
    <n v="1168044"/>
    <n v="14366.09"/>
    <n v="12.3"/>
    <n v="35.265240640000002"/>
    <n v="6"/>
    <n v="120004"/>
    <n v="300124"/>
    <n v="0"/>
    <n v="-0.42616783438760369"/>
    <n v="0"/>
    <n v="0.40074137090909095"/>
    <n v="0.11904761904761904"/>
    <n v="0"/>
    <n v="97337"/>
    <n v="0.1475912551239508"/>
  </r>
  <r>
    <n v="947"/>
    <s v="9a11bbae-5df7-4840-8364-ce28852805f7"/>
    <x v="0"/>
    <x v="1"/>
    <x v="8"/>
    <s v="в ипотеке"/>
    <s v="ремонт жилья"/>
    <n v="162932"/>
    <n v="748"/>
    <n v="844227"/>
    <n v="13380.94"/>
    <n v="19.399999999999999"/>
    <n v="35.265240640000002"/>
    <n v="8"/>
    <n v="139555"/>
    <n v="299244"/>
    <n v="0"/>
    <n v="-0.83499094946430408"/>
    <n v="0.99600532623169102"/>
    <n v="0.40074137090909095"/>
    <n v="0.16666666666666666"/>
    <n v="0"/>
    <n v="70352.25"/>
    <n v="0.19019917628789415"/>
  </r>
  <r>
    <n v="173"/>
    <s v="76c63206-8f06-45f1-9973-be2cda8dc4fa"/>
    <x v="0"/>
    <x v="1"/>
    <x v="1"/>
    <s v="в аренде"/>
    <s v="консолидация кредитов"/>
    <n v="309594.52439999999"/>
    <n v="725"/>
    <n v="1048363"/>
    <n v="14152.91"/>
    <n v="21"/>
    <n v="35.265240640000002"/>
    <n v="11"/>
    <n v="210045"/>
    <n v="299156"/>
    <n v="1"/>
    <n v="-1.2411115481956205E-10"/>
    <n v="0.96537949400798939"/>
    <n v="0.40074137090909095"/>
    <n v="0.23809523809523808"/>
    <n v="0.14285714285714285"/>
    <n v="87363.583333333328"/>
    <n v="0.16200010874096091"/>
  </r>
  <r>
    <n v="529"/>
    <s v="488ad40c-c9e3-4c56-8cdc-ebb49305ce25"/>
    <x v="0"/>
    <x v="1"/>
    <x v="0"/>
    <s v="в аренде"/>
    <s v="консолидация кредитов"/>
    <n v="223102"/>
    <n v="724"/>
    <n v="1965322"/>
    <n v="20799.68"/>
    <n v="31"/>
    <n v="35.265240640000002"/>
    <n v="4"/>
    <n v="233472"/>
    <n v="299046"/>
    <n v="0"/>
    <n v="-0.49242623753575765"/>
    <n v="0.96404793608521966"/>
    <n v="0.40074137090909095"/>
    <n v="7.1428571428571425E-2"/>
    <n v="0"/>
    <n v="163776.83333333334"/>
    <n v="0.12700013534677779"/>
  </r>
  <r>
    <n v="1611"/>
    <s v="c7624725-b91d-4eec-a065-0430f9e4a8ce"/>
    <x v="0"/>
    <x v="1"/>
    <x v="9"/>
    <s v="в ипотеке"/>
    <s v="консолидация кредитов"/>
    <n v="137610"/>
    <n v="735"/>
    <n v="1114122"/>
    <n v="8615.93"/>
    <n v="10.7"/>
    <n v="35.265240640000002"/>
    <n v="10"/>
    <n v="119738"/>
    <n v="298804"/>
    <n v="0"/>
    <n v="-0.97915620848798124"/>
    <n v="0.97869507323568572"/>
    <n v="0.40074137090909095"/>
    <n v="0.21428571428571427"/>
    <n v="0"/>
    <n v="92843.5"/>
    <n v="9.2800573007264922E-2"/>
  </r>
  <r>
    <n v="474"/>
    <s v="636578ec-e081-49f7-9fec-638d65a36050"/>
    <x v="0"/>
    <x v="1"/>
    <x v="7"/>
    <s v="в аренде"/>
    <s v="консолидация кредитов"/>
    <n v="309594.52439999999"/>
    <n v="737"/>
    <n v="1324452"/>
    <n v="23619.47"/>
    <n v="12.8"/>
    <n v="25"/>
    <n v="30"/>
    <n v="108908"/>
    <n v="298100"/>
    <n v="0"/>
    <n v="-1.2411115481956205E-10"/>
    <n v="0.98135818908122507"/>
    <n v="0.28409090909090912"/>
    <n v="0.69047619047619047"/>
    <n v="0"/>
    <n v="110371"/>
    <n v="0.21400068858667587"/>
  </r>
  <r>
    <n v="1544"/>
    <s v="d2d7893c-27c4-4cc7-8e40-69e4e83eb358"/>
    <x v="0"/>
    <x v="1"/>
    <x v="0"/>
    <s v="в ипотеке"/>
    <s v="консолидация кредитов"/>
    <n v="351296"/>
    <n v="0"/>
    <n v="1168044"/>
    <n v="45129.56"/>
    <n v="12.1"/>
    <n v="35.265240640000002"/>
    <n v="22"/>
    <n v="149264"/>
    <n v="297990"/>
    <n v="0"/>
    <n v="0.23741821453284928"/>
    <n v="0"/>
    <n v="0.40074137090909095"/>
    <n v="0.5"/>
    <n v="0"/>
    <n v="97337"/>
    <n v="0.46364239703298848"/>
  </r>
  <r>
    <n v="881"/>
    <s v="c3239d9d-1761-453f-8f32-1740e52d5cdd"/>
    <x v="0"/>
    <x v="1"/>
    <x v="7"/>
    <s v="в ипотеке"/>
    <s v="консолидация кредитов"/>
    <n v="134332"/>
    <n v="0"/>
    <n v="1168044"/>
    <n v="12567.36"/>
    <n v="7"/>
    <n v="29"/>
    <n v="11"/>
    <n v="128383"/>
    <n v="297902"/>
    <n v="0"/>
    <n v="-0.99781878328774476"/>
    <n v="0"/>
    <n v="0.32954545454545453"/>
    <n v="0.23809523809523808"/>
    <n v="0"/>
    <n v="97337"/>
    <n v="0.12911184852625415"/>
  </r>
  <r>
    <n v="816"/>
    <s v="676a91e7-f978-4897-857d-b0619a354c08"/>
    <x v="1"/>
    <x v="1"/>
    <x v="0"/>
    <s v="в собственности"/>
    <s v="консолидация кредитов"/>
    <n v="110814"/>
    <n v="742"/>
    <n v="459325"/>
    <n v="8306.23"/>
    <n v="7.9"/>
    <n v="43"/>
    <n v="15"/>
    <n v="125153"/>
    <n v="296956"/>
    <n v="0"/>
    <n v="-1.1317133635625587"/>
    <n v="0.98801597869507318"/>
    <n v="0.48863636363636365"/>
    <n v="0.33333333333333331"/>
    <n v="0"/>
    <n v="38277.083333333336"/>
    <n v="0.21700268872802481"/>
  </r>
  <r>
    <n v="279"/>
    <s v="191d6883-713d-4380-96d6-417a9cc0830d"/>
    <x v="1"/>
    <x v="1"/>
    <x v="7"/>
    <s v="в собственности"/>
    <s v="бизнес"/>
    <n v="224796"/>
    <n v="681"/>
    <n v="573819"/>
    <n v="4925.37"/>
    <n v="11.4"/>
    <n v="20"/>
    <n v="6"/>
    <n v="115862"/>
    <n v="296780"/>
    <n v="0"/>
    <n v="-0.48278181968621542"/>
    <n v="0.90679094540612515"/>
    <n v="0.22727272727272727"/>
    <n v="0.11904761904761904"/>
    <n v="0"/>
    <n v="47818.25"/>
    <n v="0.10300188735472335"/>
  </r>
  <r>
    <n v="114"/>
    <s v="90303eb6-110d-4aed-98e9-5bdb1ce8bb10"/>
    <x v="0"/>
    <x v="1"/>
    <x v="9"/>
    <s v="в аренде"/>
    <s v="консолидация кредитов"/>
    <n v="545886"/>
    <n v="718"/>
    <n v="1565182"/>
    <n v="41477"/>
    <n v="15"/>
    <n v="6"/>
    <n v="16"/>
    <n v="80465"/>
    <n v="296714"/>
    <n v="0"/>
    <n v="1.3452737454315671"/>
    <n v="0.95605858854860182"/>
    <n v="6.8181818181818177E-2"/>
    <n v="0.35714285714285715"/>
    <n v="0"/>
    <n v="130431.83333333333"/>
    <n v="0.31799752361067274"/>
  </r>
  <r>
    <n v="1251"/>
    <s v="a8215401-eadb-488c-9775-578794150174"/>
    <x v="0"/>
    <x v="1"/>
    <x v="4"/>
    <s v="в аренде"/>
    <s v="консолидация кредитов"/>
    <n v="195096"/>
    <n v="717"/>
    <n v="664468"/>
    <n v="14950.53"/>
    <n v="28.6"/>
    <n v="35.265240640000002"/>
    <n v="15"/>
    <n v="179094"/>
    <n v="296670"/>
    <n v="0"/>
    <n v="-0.65187226250286534"/>
    <n v="0.9547270306258322"/>
    <n v="0.40074137090909095"/>
    <n v="0.33333333333333331"/>
    <n v="0"/>
    <n v="55372.333333333336"/>
    <n v="0.27"/>
  </r>
  <r>
    <n v="1762"/>
    <s v="386fbae9-f1d7-4b31-bc8c-3b08e6c32cde"/>
    <x v="0"/>
    <x v="1"/>
    <x v="0"/>
    <s v="в аренде"/>
    <s v="консолидация кредитов"/>
    <n v="54868"/>
    <n v="701"/>
    <n v="473822"/>
    <n v="3987.91"/>
    <n v="6.6"/>
    <n v="35.265240640000002"/>
    <n v="8"/>
    <n v="155572"/>
    <n v="296296"/>
    <n v="0"/>
    <n v="-1.4502296569571815"/>
    <n v="0.93342210386151803"/>
    <n v="0.40074137090909095"/>
    <n v="0.16666666666666666"/>
    <n v="0"/>
    <n v="39485.166666666664"/>
    <n v="0.1009976742320956"/>
  </r>
  <r>
    <n v="29"/>
    <s v="689da294-ff83-4d49-986a-c61887f6d4e2"/>
    <x v="0"/>
    <x v="1"/>
    <x v="1"/>
    <s v="в ипотеке"/>
    <s v="консолидация кредитов"/>
    <n v="309594.52439999999"/>
    <n v="746"/>
    <n v="1749748"/>
    <n v="19247.189999999999"/>
    <n v="20"/>
    <n v="32"/>
    <n v="17"/>
    <n v="224390"/>
    <n v="295240"/>
    <n v="0"/>
    <n v="-1.2411115481956205E-10"/>
    <n v="0.99334221038615178"/>
    <n v="0.36363636363636365"/>
    <n v="0.38095238095238093"/>
    <n v="0"/>
    <n v="145812.33333333334"/>
    <n v="0.13199973939104373"/>
  </r>
  <r>
    <n v="1250"/>
    <s v="ad04e26e-bc99-4680-967a-a19f809993c6"/>
    <x v="0"/>
    <x v="1"/>
    <x v="3"/>
    <s v="в ипотеке"/>
    <s v="ремонт жилья"/>
    <n v="327294"/>
    <n v="738"/>
    <n v="1224873"/>
    <n v="19189.62"/>
    <n v="11.3"/>
    <n v="35.265240640000002"/>
    <n v="8"/>
    <n v="127775"/>
    <n v="294734"/>
    <n v="0"/>
    <n v="0.10076808630102327"/>
    <n v="0.9826897470039947"/>
    <n v="0.40074137090909095"/>
    <n v="0.16666666666666666"/>
    <n v="0"/>
    <n v="102072.75"/>
    <n v="0.18799944157475917"/>
  </r>
  <r>
    <n v="634"/>
    <s v="fe8387b1-9a58-4774-b935-23871e1e5450"/>
    <x v="0"/>
    <x v="1"/>
    <x v="6"/>
    <s v="в ипотеке"/>
    <s v="консолидация кредитов"/>
    <n v="329142"/>
    <n v="0"/>
    <n v="1168044"/>
    <n v="17811.36"/>
    <n v="19.8"/>
    <n v="74"/>
    <n v="8"/>
    <n v="234308"/>
    <n v="293920"/>
    <n v="0"/>
    <n v="0.11128926940961482"/>
    <n v="0"/>
    <n v="0.84090909090909094"/>
    <n v="0.16666666666666666"/>
    <n v="0"/>
    <n v="97337"/>
    <n v="0.18298653132929923"/>
  </r>
  <r>
    <n v="1088"/>
    <s v="d7cf94ac-982c-49b7-9ff0-2cbda3c67f93"/>
    <x v="0"/>
    <x v="1"/>
    <x v="6"/>
    <s v="в ипотеке"/>
    <s v="ремонт жилья"/>
    <n v="48246"/>
    <n v="655"/>
    <n v="787797"/>
    <n v="2934.55"/>
    <n v="10"/>
    <n v="35.265240640000002"/>
    <n v="14"/>
    <n v="117686"/>
    <n v="293700"/>
    <n v="0"/>
    <n v="-1.4879305630963013"/>
    <n v="0.87217043941411454"/>
    <n v="0.40074137090909095"/>
    <n v="0.30952380952380953"/>
    <n v="0"/>
    <n v="65649.75"/>
    <n v="4.4700094059764127E-2"/>
  </r>
  <r>
    <n v="1167"/>
    <s v="3be3170c-f4cc-4160-9329-3bdcfe4e2344"/>
    <x v="1"/>
    <x v="1"/>
    <x v="0"/>
    <s v="в аренде"/>
    <s v="консолидация кредитов"/>
    <n v="184690"/>
    <n v="736"/>
    <n v="945535"/>
    <n v="8903.9699999999993"/>
    <n v="16.100000000000001"/>
    <n v="46"/>
    <n v="7"/>
    <n v="57038"/>
    <n v="293546"/>
    <n v="0"/>
    <n v="-0.71111654357862497"/>
    <n v="0.98002663115845534"/>
    <n v="0.52272727272727271"/>
    <n v="0.14285714285714285"/>
    <n v="0"/>
    <n v="78794.583333333328"/>
    <n v="0.11300231086104692"/>
  </r>
  <r>
    <n v="1342"/>
    <s v="e14cce30-64ca-4c2d-a561-2a9e32794fae"/>
    <x v="1"/>
    <x v="0"/>
    <x v="9"/>
    <s v="в аренде"/>
    <s v="консолидация кредитов"/>
    <n v="238854"/>
    <n v="703"/>
    <n v="693861"/>
    <n v="16652.740000000002"/>
    <n v="14"/>
    <n v="39"/>
    <n v="13"/>
    <n v="132240"/>
    <n v="293348"/>
    <n v="0"/>
    <n v="-0.4027456767530011"/>
    <n v="0.93608521970705727"/>
    <n v="0.44318181818181818"/>
    <n v="0.2857142857142857"/>
    <n v="0"/>
    <n v="57821.75"/>
    <n v="0.28800131438429316"/>
  </r>
  <r>
    <n v="1551"/>
    <s v="289cbf03-97f2-4c1c-98ef-7785ccdc0e94"/>
    <x v="0"/>
    <x v="1"/>
    <x v="1"/>
    <s v="в ипотеке"/>
    <s v="консолидация кредитов"/>
    <n v="69982"/>
    <n v="0"/>
    <n v="1168044"/>
    <n v="4362.59"/>
    <n v="15.9"/>
    <n v="72"/>
    <n v="9"/>
    <n v="121220"/>
    <n v="293040"/>
    <n v="1"/>
    <n v="-1.3641814093904865"/>
    <n v="0"/>
    <n v="0.81818181818181823"/>
    <n v="0.19047619047619047"/>
    <n v="0.14285714285714285"/>
    <n v="97337"/>
    <n v="4.4819441733359361E-2"/>
  </r>
  <r>
    <n v="1836"/>
    <s v="fe285526-b332-4bec-8576-e554224a4962"/>
    <x v="1"/>
    <x v="0"/>
    <x v="1"/>
    <s v="в аренде"/>
    <s v="приобретение автомобиля"/>
    <n v="650826"/>
    <n v="648"/>
    <n v="1592561"/>
    <n v="26409.81"/>
    <n v="22.2"/>
    <n v="5"/>
    <n v="8"/>
    <n v="221939"/>
    <n v="293018"/>
    <n v="0"/>
    <n v="1.9427266433837302"/>
    <n v="0.86284953395472708"/>
    <n v="5.6818181818181816E-2"/>
    <n v="0.16666666666666666"/>
    <n v="0"/>
    <n v="132713.41666666666"/>
    <n v="0.19899879502260825"/>
  </r>
  <r>
    <n v="1500"/>
    <s v="d1e5e19b-7960-4444-a337-c013a33bde09"/>
    <x v="0"/>
    <x v="1"/>
    <x v="0"/>
    <s v="в аренде"/>
    <s v="консолидация кредитов"/>
    <n v="140096"/>
    <n v="0"/>
    <n v="1168044"/>
    <n v="12406.43"/>
    <n v="8.6999999999999993"/>
    <n v="35.265240640000002"/>
    <n v="10"/>
    <n v="155078"/>
    <n v="292930"/>
    <n v="0"/>
    <n v="-0.96500271216332834"/>
    <n v="0"/>
    <n v="0.40074137090909095"/>
    <n v="0.21428571428571427"/>
    <n v="0"/>
    <n v="97337"/>
    <n v="0.12745852039820418"/>
  </r>
  <r>
    <n v="186"/>
    <s v="2cfaebac-5ad2-44c3-804f-8cee5fd8ea96"/>
    <x v="0"/>
    <x v="1"/>
    <x v="2"/>
    <s v="в аренде"/>
    <s v="консолидация кредитов"/>
    <n v="327756"/>
    <n v="707"/>
    <n v="830319"/>
    <n v="9271.81"/>
    <n v="15.8"/>
    <n v="35.265240640000002"/>
    <n v="6"/>
    <n v="245727"/>
    <n v="292732"/>
    <n v="0"/>
    <n v="0.10339838207817116"/>
    <n v="0.94141145139813587"/>
    <n v="0.40074137090909095"/>
    <n v="0.11904761904761904"/>
    <n v="0"/>
    <n v="69193.25"/>
    <n v="0.1339987643303357"/>
  </r>
  <r>
    <n v="1354"/>
    <s v="85ee2e04-1cd1-428d-a66a-e658f9ea48f7"/>
    <x v="0"/>
    <x v="0"/>
    <x v="10"/>
    <s v="в ипотеке"/>
    <s v="консолидация кредитов"/>
    <n v="245278"/>
    <n v="683"/>
    <n v="916009"/>
    <n v="15648.59"/>
    <n v="9.5"/>
    <n v="73"/>
    <n v="7"/>
    <n v="75886"/>
    <n v="291962"/>
    <n v="0"/>
    <n v="-0.36617204023265904"/>
    <n v="0.9094540612516645"/>
    <n v="0.82954545454545459"/>
    <n v="0.14285714285714285"/>
    <n v="0"/>
    <n v="76334.083333333328"/>
    <n v="0.20500134824002822"/>
  </r>
  <r>
    <n v="1874"/>
    <s v="f738301c-62e3-45b7-a7e6-73f78887096d"/>
    <x v="0"/>
    <x v="1"/>
    <x v="6"/>
    <s v="в ипотеке"/>
    <s v="иное"/>
    <n v="182358"/>
    <n v="724"/>
    <n v="648508"/>
    <n v="7133.55"/>
    <n v="35.4"/>
    <n v="35.265240640000002"/>
    <n v="14"/>
    <n v="74860"/>
    <n v="291852"/>
    <n v="0"/>
    <n v="-0.72439327464422865"/>
    <n v="0.96404793608521966"/>
    <n v="0.40074137090909095"/>
    <n v="0.30952380952380953"/>
    <n v="0"/>
    <n v="54042.333333333336"/>
    <n v="0.13199929684753312"/>
  </r>
  <r>
    <n v="590"/>
    <s v="12f7d0e9-66be-4a6a-9d1b-d1e3779da118"/>
    <x v="0"/>
    <x v="1"/>
    <x v="1"/>
    <s v="в аренде"/>
    <s v="консолидация кредитов"/>
    <n v="178640"/>
    <n v="705"/>
    <n v="1292095"/>
    <n v="12274.95"/>
    <n v="20.100000000000001"/>
    <n v="35.265240640000002"/>
    <n v="4"/>
    <n v="140885"/>
    <n v="290246"/>
    <n v="2"/>
    <n v="-0.74556089304127593"/>
    <n v="0.93874833555259651"/>
    <n v="0.40074137090909095"/>
    <n v="7.1428571428571425E-2"/>
    <n v="0.2857142857142857"/>
    <n v="107674.58333333333"/>
    <n v="0.11400044114403354"/>
  </r>
  <r>
    <n v="11"/>
    <s v="0de7bcdb-ebf4-4608-ba39-05f083f855b6"/>
    <x v="0"/>
    <x v="1"/>
    <x v="6"/>
    <s v="в аренде"/>
    <s v="консолидация кредитов"/>
    <n v="309594.52439999999"/>
    <n v="728"/>
    <n v="714628"/>
    <n v="11851.06"/>
    <n v="16"/>
    <n v="76"/>
    <n v="16"/>
    <n v="203965"/>
    <n v="289784"/>
    <n v="0"/>
    <n v="-1.2411115481956205E-10"/>
    <n v="0.96937416777629826"/>
    <n v="0.86363636363636365"/>
    <n v="0.35714285714285715"/>
    <n v="0"/>
    <n v="59552.333333333336"/>
    <n v="0.19900244602786343"/>
  </r>
  <r>
    <n v="1358"/>
    <s v="c4552960-5389-4827-bbc9-ecfa0c7fe071"/>
    <x v="1"/>
    <x v="0"/>
    <x v="1"/>
    <s v="в ипотеке"/>
    <s v="консолидация кредитов"/>
    <n v="308858"/>
    <n v="733"/>
    <n v="1095559"/>
    <n v="11868.54"/>
    <n v="16"/>
    <n v="35.265240640000002"/>
    <n v="4"/>
    <n v="1995"/>
    <n v="289564"/>
    <n v="0"/>
    <n v="-4.1932404251639006E-3"/>
    <n v="0.97603195739014648"/>
    <n v="0.40074137090909095"/>
    <n v="7.1428571428571425E-2"/>
    <n v="0"/>
    <n v="91296.583333333328"/>
    <n v="0.12999982657255338"/>
  </r>
  <r>
    <n v="1615"/>
    <s v="9804713b-61de-44a9-9efc-14e520018481"/>
    <x v="1"/>
    <x v="0"/>
    <x v="10"/>
    <s v="в ипотеке"/>
    <s v="консолидация кредитов"/>
    <n v="347688"/>
    <n v="703"/>
    <n v="1058699"/>
    <n v="9439.9599999999991"/>
    <n v="15.2"/>
    <n v="48"/>
    <n v="8"/>
    <n v="100111"/>
    <n v="287650"/>
    <n v="2"/>
    <n v="0.21687685703512291"/>
    <n v="0.93608521970705727"/>
    <n v="0.54545454545454541"/>
    <n v="0.16666666666666666"/>
    <n v="0.2857142857142857"/>
    <n v="88224.916666666672"/>
    <n v="0.10699879758080436"/>
  </r>
  <r>
    <n v="1991"/>
    <s v="6415b38b-67e7-4a34-988e-f2916b982dc2"/>
    <x v="0"/>
    <x v="1"/>
    <x v="3"/>
    <s v="в ипотеке"/>
    <s v="консолидация кредитов"/>
    <n v="132660"/>
    <n v="720"/>
    <n v="553755"/>
    <n v="4203.9399999999996"/>
    <n v="6.8"/>
    <n v="35.265240640000002"/>
    <n v="5"/>
    <n v="171456"/>
    <n v="287298"/>
    <n v="0"/>
    <n v="-1.0073379489574228"/>
    <n v="0.95872170439414117"/>
    <n v="0.40074137090909095"/>
    <n v="9.5238095238095233E-2"/>
    <n v="0"/>
    <n v="46146.25"/>
    <n v="9.110036026762737E-2"/>
  </r>
  <r>
    <n v="874"/>
    <s v="2105a980-75d4-4191-a12b-2e5cc7c18161"/>
    <x v="0"/>
    <x v="1"/>
    <x v="8"/>
    <s v="в ипотеке"/>
    <s v="консолидация кредитов"/>
    <n v="447920"/>
    <n v="683"/>
    <n v="1005784"/>
    <n v="7870.18"/>
    <n v="15.1"/>
    <n v="35.265240640000002"/>
    <n v="10"/>
    <n v="230888"/>
    <n v="286528"/>
    <n v="0"/>
    <n v="0.78752578849635058"/>
    <n v="0.9094540612516645"/>
    <n v="0.40074137090909095"/>
    <n v="0.21428571428571427"/>
    <n v="0"/>
    <n v="83815.333333333328"/>
    <n v="9.3899047906906466E-2"/>
  </r>
  <r>
    <n v="686"/>
    <s v="562b632e-fcc1-438a-9748-951e1d9867ce"/>
    <x v="1"/>
    <x v="1"/>
    <x v="7"/>
    <s v="в аренде"/>
    <s v="консолидация кредитов"/>
    <n v="279862"/>
    <n v="680"/>
    <n v="929575"/>
    <n v="6600.03"/>
    <n v="13.6"/>
    <n v="18"/>
    <n v="5"/>
    <n v="224143"/>
    <n v="286462"/>
    <n v="0"/>
    <n v="-0.16927561348615994"/>
    <n v="0.90545938748335553"/>
    <n v="0.20454545454545456"/>
    <n v="9.5238095238095233E-2"/>
    <n v="0"/>
    <n v="77464.583333333328"/>
    <n v="8.5200613183444046E-2"/>
  </r>
  <r>
    <n v="159"/>
    <s v="90fdf7b8-8547-4d7d-b7c1-a1a93117fcee"/>
    <x v="0"/>
    <x v="1"/>
    <x v="5"/>
    <s v="в аренде"/>
    <s v="консолидация кредитов"/>
    <n v="309594.52439999999"/>
    <n v="726"/>
    <n v="1153851"/>
    <n v="7125"/>
    <n v="13.5"/>
    <n v="39"/>
    <n v="7"/>
    <n v="165984"/>
    <n v="286440"/>
    <n v="0"/>
    <n v="-1.2411115481956205E-10"/>
    <n v="0.96671105193075901"/>
    <n v="0.44318181818181818"/>
    <n v="0.14285714285714285"/>
    <n v="0"/>
    <n v="96154.25"/>
    <n v="7.4099688781307113E-2"/>
  </r>
  <r>
    <n v="1810"/>
    <s v="fd202d91-4d91-42e3-88f7-eb38ba631d14"/>
    <x v="1"/>
    <x v="1"/>
    <x v="10"/>
    <s v="в ипотеке"/>
    <s v="консолидация кредитов"/>
    <n v="135102"/>
    <n v="727"/>
    <n v="795511"/>
    <n v="18562.240000000002"/>
    <n v="15"/>
    <n v="35.265240640000002"/>
    <n v="12"/>
    <n v="155572"/>
    <n v="286374"/>
    <n v="1"/>
    <n v="-0.99343495699249829"/>
    <n v="0.96804260985352863"/>
    <n v="0.40074137090909095"/>
    <n v="0.26190476190476192"/>
    <n v="0.14285714285714285"/>
    <n v="66292.583333333328"/>
    <n v="0.28000477680384062"/>
  </r>
  <r>
    <n v="1102"/>
    <s v="f35eabf6-3510-4dbb-9720-8bbb7cb7f778"/>
    <x v="0"/>
    <x v="1"/>
    <x v="1"/>
    <s v="в ипотеке"/>
    <s v="ремонт жилья"/>
    <n v="268598"/>
    <n v="0"/>
    <n v="1168044"/>
    <n v="1997.47"/>
    <n v="14.5"/>
    <n v="35"/>
    <n v="6"/>
    <n v="56620"/>
    <n v="286286"/>
    <n v="1"/>
    <n v="-0.23340472957662275"/>
    <n v="0"/>
    <n v="0.39772727272727271"/>
    <n v="0.11904761904761904"/>
    <n v="0.14285714285714285"/>
    <n v="97337"/>
    <n v="2.0521178996681631E-2"/>
  </r>
  <r>
    <n v="615"/>
    <s v="89ea7100-67e2-404d-a708-e2d8593122b4"/>
    <x v="0"/>
    <x v="1"/>
    <x v="0"/>
    <s v="в собственности"/>
    <s v="иное"/>
    <n v="177628"/>
    <n v="0"/>
    <n v="1168044"/>
    <n v="4314.33"/>
    <n v="10.3"/>
    <n v="35.265240640000002"/>
    <n v="7"/>
    <n v="136724"/>
    <n v="286264"/>
    <n v="0"/>
    <n v="-0.75132249331502843"/>
    <n v="0"/>
    <n v="0.40074137090909095"/>
    <n v="0.14285714285714285"/>
    <n v="0"/>
    <n v="97337"/>
    <n v="4.4323638493070465E-2"/>
  </r>
  <r>
    <n v="1946"/>
    <s v="9e0bf23e-a657-4052-adc3-a9a4e406608d"/>
    <x v="0"/>
    <x v="0"/>
    <x v="6"/>
    <s v="в аренде"/>
    <s v="консолидация кредитов"/>
    <n v="332486"/>
    <n v="657"/>
    <n v="593427"/>
    <n v="5533.75"/>
    <n v="13.7"/>
    <n v="43"/>
    <n v="2"/>
    <n v="198360"/>
    <n v="286022"/>
    <n v="0"/>
    <n v="0.13032760074897096"/>
    <n v="0.87483355525965378"/>
    <n v="0.48863636363636365"/>
    <n v="2.3809523809523808E-2"/>
    <n v="0"/>
    <n v="49452.25"/>
    <n v="0.11190087407549706"/>
  </r>
  <r>
    <n v="1575"/>
    <s v="29ccf1c2-c56f-47bc-ba23-cc40f58076b9"/>
    <x v="0"/>
    <x v="1"/>
    <x v="2"/>
    <s v="в ипотеке"/>
    <s v="иное"/>
    <n v="343486"/>
    <n v="751"/>
    <n v="6489070"/>
    <n v="3785.37"/>
    <n v="15.4"/>
    <n v="35.265240640000002"/>
    <n v="11"/>
    <n v="38019"/>
    <n v="285912"/>
    <n v="0"/>
    <n v="0.19295369068106355"/>
    <n v="1"/>
    <n v="0.40074137090909095"/>
    <n v="0.23809523809523808"/>
    <n v="0"/>
    <n v="540755.83333333337"/>
    <n v="7.0001464000234229E-3"/>
  </r>
  <r>
    <n v="327"/>
    <s v="d1eeca26-b38a-4b30-8687-9572e214c88f"/>
    <x v="1"/>
    <x v="1"/>
    <x v="3"/>
    <s v="в аренде"/>
    <s v="консолидация кредитов"/>
    <n v="215006"/>
    <n v="0"/>
    <n v="1168044"/>
    <n v="20639.13"/>
    <n v="11.9"/>
    <n v="74"/>
    <n v="9"/>
    <n v="76551"/>
    <n v="284130"/>
    <n v="0"/>
    <n v="-0.53851903972577786"/>
    <n v="0"/>
    <n v="0.84090909090909094"/>
    <n v="0.19047619047619047"/>
    <n v="0"/>
    <n v="97337"/>
    <n v="0.21203786843646302"/>
  </r>
  <r>
    <n v="476"/>
    <s v="af9daf28-5add-454c-8a37-4ea08e5593dd"/>
    <x v="0"/>
    <x v="1"/>
    <x v="1"/>
    <s v="в собственности"/>
    <s v="консолидация кредитов"/>
    <n v="176220"/>
    <n v="717"/>
    <n v="1027235"/>
    <n v="9330.7099999999991"/>
    <n v="25.5"/>
    <n v="35.265240640000002"/>
    <n v="7"/>
    <n v="99294"/>
    <n v="283888"/>
    <n v="1"/>
    <n v="-0.75933863282633629"/>
    <n v="0.9547270306258322"/>
    <n v="0.40074137090909095"/>
    <n v="0.14285714285714285"/>
    <n v="0.14285714285714285"/>
    <n v="85602.916666666672"/>
    <n v="0.10899990751872744"/>
  </r>
  <r>
    <n v="1805"/>
    <s v="f95c7892-188a-472f-ad85-39dec27ffe67"/>
    <x v="0"/>
    <x v="0"/>
    <x v="3"/>
    <s v="в аренде"/>
    <s v="консолидация кредитов"/>
    <n v="269852"/>
    <n v="709"/>
    <n v="1495471"/>
    <n v="10505.86"/>
    <n v="19.3"/>
    <n v="35.265240640000002"/>
    <n v="6"/>
    <n v="178505"/>
    <n v="283536"/>
    <n v="1"/>
    <n v="-0.2262653553243642"/>
    <n v="0.94407456724367511"/>
    <n v="0.40074137090909095"/>
    <n v="0.11904761904761904"/>
    <n v="0.14285714285714285"/>
    <n v="124622.58333333333"/>
    <n v="8.4301414069547331E-2"/>
  </r>
  <r>
    <n v="1973"/>
    <s v="ba1bc983-aa8b-4712-a4c6-ea3d837759e5"/>
    <x v="0"/>
    <x v="1"/>
    <x v="1"/>
    <s v="в аренде"/>
    <s v="консолидация кредитов"/>
    <n v="157080"/>
    <n v="720"/>
    <n v="1280125"/>
    <n v="20588.59"/>
    <n v="22.7"/>
    <n v="5"/>
    <n v="10"/>
    <n v="127756"/>
    <n v="283404"/>
    <n v="0"/>
    <n v="-0.8683080293081773"/>
    <n v="0.95872170439414117"/>
    <n v="5.6818181818181816E-2"/>
    <n v="0.21428571428571427"/>
    <n v="0"/>
    <n v="106677.08333333333"/>
    <n v="0.19299918367346941"/>
  </r>
  <r>
    <n v="1887"/>
    <s v="1bb59090-ee78-45ba-8568-f66da087d5d8"/>
    <x v="1"/>
    <x v="1"/>
    <x v="7"/>
    <s v="в аренде"/>
    <s v="консолидация кредитов"/>
    <n v="68662"/>
    <n v="720"/>
    <n v="807595"/>
    <n v="26179.91"/>
    <n v="9.5"/>
    <n v="35.265240640000002"/>
    <n v="15"/>
    <n v="204079"/>
    <n v="283338"/>
    <n v="0"/>
    <n v="-1.3716965401823376"/>
    <n v="0.95872170439414117"/>
    <n v="0.40074137090909095"/>
    <n v="0.33333333333333331"/>
    <n v="0"/>
    <n v="67299.583333333328"/>
    <n v="0.38900552876132222"/>
  </r>
  <r>
    <n v="1871"/>
    <s v="db3c9de4-ae89-4796-8fa6-42aab7e2654f"/>
    <x v="1"/>
    <x v="1"/>
    <x v="3"/>
    <s v="в аренде"/>
    <s v="консолидация кредитов"/>
    <n v="26708"/>
    <n v="715"/>
    <n v="192166"/>
    <n v="1326.01"/>
    <n v="12.7"/>
    <n v="6"/>
    <n v="4"/>
    <n v="15409"/>
    <n v="283250"/>
    <n v="0"/>
    <n v="-1.6105524471833386"/>
    <n v="0.95206391478029295"/>
    <n v="6.8181818181818177E-2"/>
    <n v="7.1428571428571425E-2"/>
    <n v="0"/>
    <n v="16013.833333333334"/>
    <n v="8.2804034012260233E-2"/>
  </r>
  <r>
    <n v="601"/>
    <s v="e32dd752-4b67-4d08-8a23-3970d69c0266"/>
    <x v="1"/>
    <x v="1"/>
    <x v="7"/>
    <s v="в аренде"/>
    <s v="консолидация кредитов"/>
    <n v="78298"/>
    <n v="0"/>
    <n v="1168044"/>
    <n v="16590.23"/>
    <n v="9.4"/>
    <n v="35.265240640000002"/>
    <n v="8"/>
    <n v="237272"/>
    <n v="282656"/>
    <n v="0"/>
    <n v="-1.3168360854018244"/>
    <n v="0"/>
    <n v="0.40074137090909095"/>
    <n v="0.16666666666666666"/>
    <n v="0"/>
    <n v="97337"/>
    <n v="0.17044114776498145"/>
  </r>
  <r>
    <n v="134"/>
    <s v="36096b3d-97e7-4b1e-89bd-660289a7a62d"/>
    <x v="0"/>
    <x v="1"/>
    <x v="7"/>
    <s v="в аренде"/>
    <s v="консолидация кредитов"/>
    <n v="54076"/>
    <n v="744"/>
    <n v="485697"/>
    <n v="2655.06"/>
    <n v="9"/>
    <n v="35.265240640000002"/>
    <n v="6"/>
    <n v="19988"/>
    <n v="282260"/>
    <n v="0"/>
    <n v="-1.4547387354322923"/>
    <n v="0.99067909454061254"/>
    <n v="0.40074137090909095"/>
    <n v="0.11904761904761904"/>
    <n v="0"/>
    <n v="40474.75"/>
    <n v="6.5597934514728312E-2"/>
  </r>
  <r>
    <n v="1793"/>
    <s v="80caf145-783c-4f8d-aa6a-bd2d57e89c56"/>
    <x v="0"/>
    <x v="1"/>
    <x v="4"/>
    <s v="в ипотеке"/>
    <s v="консолидация кредитов"/>
    <n v="393778"/>
    <n v="710"/>
    <n v="1757101"/>
    <n v="15667.59"/>
    <n v="19.600000000000001"/>
    <n v="38"/>
    <n v="9"/>
    <n v="286539"/>
    <n v="282128"/>
    <n v="0"/>
    <n v="0.47928017385059085"/>
    <n v="0.94540612516644473"/>
    <n v="0.43181818181818182"/>
    <n v="0.19047619047619047"/>
    <n v="0"/>
    <n v="146425.08333333334"/>
    <n v="0.10700072448880285"/>
  </r>
  <r>
    <n v="1964"/>
    <s v="e95d8b59-2907-47a8-9a76-39221da3997c"/>
    <x v="0"/>
    <x v="0"/>
    <x v="2"/>
    <s v="в аренде"/>
    <s v="приобретение жилья"/>
    <n v="268466"/>
    <n v="722"/>
    <n v="2318532"/>
    <n v="21639.67"/>
    <n v="14.5"/>
    <n v="35.265240640000002"/>
    <n v="9"/>
    <n v="121296"/>
    <n v="282018"/>
    <n v="1"/>
    <n v="-0.23415624265580787"/>
    <n v="0.96138482023968042"/>
    <n v="0.40074137090909095"/>
    <n v="0.19047619047619047"/>
    <n v="0.14285714285714285"/>
    <n v="193211"/>
    <n v="0.11200019667617267"/>
  </r>
  <r>
    <n v="292"/>
    <s v="662a169b-55a7-49ff-be87-861f0fdbb357"/>
    <x v="0"/>
    <x v="1"/>
    <x v="3"/>
    <s v="в аренде"/>
    <s v="консолидация кредитов"/>
    <n v="178684"/>
    <n v="739"/>
    <n v="1176727"/>
    <n v="19514.14"/>
    <n v="20.7"/>
    <n v="45"/>
    <n v="11"/>
    <n v="192337"/>
    <n v="281534"/>
    <n v="0"/>
    <n v="-0.74531038868154753"/>
    <n v="0.98402130492676432"/>
    <n v="0.51136363636363635"/>
    <n v="0.23809523809523808"/>
    <n v="0"/>
    <n v="98060.583333333328"/>
    <n v="0.19900085576348636"/>
  </r>
  <r>
    <n v="1348"/>
    <s v="f1ca4068-7914-4058-b276-a40d4e71d6c0"/>
    <x v="0"/>
    <x v="1"/>
    <x v="2"/>
    <s v="в ипотеке"/>
    <s v="консолидация кредитов"/>
    <n v="112728"/>
    <n v="736"/>
    <n v="584079"/>
    <n v="8031.11"/>
    <n v="22.5"/>
    <n v="35.265240640000002"/>
    <n v="4"/>
    <n v="38893"/>
    <n v="281512"/>
    <n v="1"/>
    <n v="-1.1208164239143747"/>
    <n v="0.98002663115845534"/>
    <n v="0.40074137090909095"/>
    <n v="7.1428571428571425E-2"/>
    <n v="0.14285714285714285"/>
    <n v="48673.25"/>
    <n v="0.16500048794769201"/>
  </r>
  <r>
    <n v="488"/>
    <s v="67fe8a0d-24d8-4d2c-a212-301c782b0bbb"/>
    <x v="1"/>
    <x v="1"/>
    <x v="2"/>
    <s v="в аренде"/>
    <s v="иное"/>
    <n v="261492"/>
    <n v="732"/>
    <n v="463258"/>
    <n v="8724.61"/>
    <n v="9.9"/>
    <n v="35.265240640000002"/>
    <n v="9"/>
    <n v="134862"/>
    <n v="281358"/>
    <n v="0"/>
    <n v="-0.27386118367275458"/>
    <n v="0.97470039946737685"/>
    <n v="0.40074137090909095"/>
    <n v="0.19047619047619047"/>
    <n v="0"/>
    <n v="38604.833333333336"/>
    <n v="0.22599786727914034"/>
  </r>
  <r>
    <n v="1903"/>
    <s v="90e43776-79d2-45c4-ad89-13b148c95e4d"/>
    <x v="0"/>
    <x v="1"/>
    <x v="6"/>
    <s v="в аренде"/>
    <s v="консолидация кредитов"/>
    <n v="254034"/>
    <n v="674"/>
    <n v="1304198"/>
    <n v="35539.31"/>
    <n v="12.7"/>
    <n v="49"/>
    <n v="12"/>
    <n v="43852"/>
    <n v="280588"/>
    <n v="0"/>
    <n v="-0.31632167264671335"/>
    <n v="0.89747003994673769"/>
    <n v="0.55681818181818177"/>
    <n v="0.26190476190476192"/>
    <n v="0"/>
    <n v="108683.16666666667"/>
    <n v="0.32699921330963544"/>
  </r>
  <r>
    <n v="1114"/>
    <s v="4d0dae14-74e4-4038-b07f-affbb5d72dd2"/>
    <x v="1"/>
    <x v="1"/>
    <x v="8"/>
    <s v="в аренде"/>
    <s v="консолидация кредитов"/>
    <n v="215314"/>
    <n v="732"/>
    <n v="843125"/>
    <n v="15667.97"/>
    <n v="18.3"/>
    <n v="69"/>
    <n v="14"/>
    <n v="192907"/>
    <n v="279906"/>
    <n v="0"/>
    <n v="-0.53676550920767918"/>
    <n v="0.97470039946737685"/>
    <n v="0.78409090909090906"/>
    <n v="0.30952380952380953"/>
    <n v="0"/>
    <n v="70260.416666666672"/>
    <n v="0.22299853521126758"/>
  </r>
  <r>
    <n v="1485"/>
    <s v="58ddda92-44e9-4eef-b2e4-4de06813de2b"/>
    <x v="0"/>
    <x v="0"/>
    <x v="9"/>
    <s v="в аренде"/>
    <s v="консолидация кредитов"/>
    <n v="670538"/>
    <n v="603"/>
    <n v="1302849"/>
    <n v="28120"/>
    <n v="17.5"/>
    <n v="35.265240640000002"/>
    <n v="8"/>
    <n v="195700"/>
    <n v="279400"/>
    <n v="0"/>
    <n v="2.0549525965420403"/>
    <n v="0.80292942743009321"/>
    <n v="0.40074137090909095"/>
    <n v="0.16666666666666666"/>
    <n v="0"/>
    <n v="108570.75"/>
    <n v="0.25900161876011724"/>
  </r>
  <r>
    <n v="961"/>
    <s v="979675c7-4cb6-497d-9941-9ed2562c6c60"/>
    <x v="1"/>
    <x v="1"/>
    <x v="2"/>
    <s v="в ипотеке"/>
    <s v="консолидация кредитов"/>
    <n v="414414"/>
    <n v="740"/>
    <n v="813732"/>
    <n v="4428.1400000000003"/>
    <n v="9.1999999999999993"/>
    <n v="35.265240640000002"/>
    <n v="9"/>
    <n v="87286"/>
    <n v="279202"/>
    <n v="0"/>
    <n v="0.59676671856319652"/>
    <n v="0.98535286284953394"/>
    <n v="0.40074137090909095"/>
    <n v="0.19047619047619047"/>
    <n v="0"/>
    <n v="67811"/>
    <n v="6.530120481927712E-2"/>
  </r>
  <r>
    <n v="699"/>
    <s v="644c8a1d-3e59-4cbf-9fc1-238399b28477"/>
    <x v="1"/>
    <x v="0"/>
    <x v="3"/>
    <s v="в аренде"/>
    <s v="консолидация кредитов"/>
    <n v="288420"/>
    <n v="687"/>
    <n v="1286490"/>
    <n v="4373.99"/>
    <n v="12.2"/>
    <n v="35.265240640000002"/>
    <n v="6"/>
    <n v="109459"/>
    <n v="278564"/>
    <n v="0"/>
    <n v="-0.12055251551899192"/>
    <n v="0.91478029294274299"/>
    <n v="0.40074137090909095"/>
    <n v="0.11904761904761904"/>
    <n v="0"/>
    <n v="107207.5"/>
    <n v="4.0799291094373059E-2"/>
  </r>
  <r>
    <n v="1570"/>
    <s v="daef3dd3-ac49-43e3-a90e-e44f45af8dca"/>
    <x v="0"/>
    <x v="1"/>
    <x v="5"/>
    <s v="в аренде"/>
    <s v="консолидация кредитов"/>
    <n v="118184"/>
    <n v="704"/>
    <n v="286330"/>
    <n v="7349.01"/>
    <n v="13"/>
    <n v="38"/>
    <n v="6"/>
    <n v="164483"/>
    <n v="278454"/>
    <n v="0"/>
    <n v="-1.0897538833080567"/>
    <n v="0.93741677762982689"/>
    <n v="0.43181818181818182"/>
    <n v="0.11904761904761904"/>
    <n v="0"/>
    <n v="23860.833333333332"/>
    <n v="0.30799469143994695"/>
  </r>
  <r>
    <n v="50"/>
    <s v="1ee733fd-fda7-4666-bbcb-059103773627"/>
    <x v="1"/>
    <x v="0"/>
    <x v="1"/>
    <s v="в собственности"/>
    <s v="консолидация кредитов"/>
    <n v="456808"/>
    <n v="598"/>
    <n v="1096167"/>
    <n v="14341.39"/>
    <n v="14.1"/>
    <n v="35.265240640000002"/>
    <n v="8"/>
    <n v="161861"/>
    <n v="278058"/>
    <n v="0"/>
    <n v="0.83812766916148129"/>
    <n v="0.79627163781624499"/>
    <n v="0.40074137090909095"/>
    <n v="0.16666666666666666"/>
    <n v="0"/>
    <n v="91347.25"/>
    <n v="0.15699859601684779"/>
  </r>
  <r>
    <n v="2000"/>
    <s v="53b991f6-2793-4629-a92d-9ad442ce1b48"/>
    <x v="0"/>
    <x v="0"/>
    <x v="7"/>
    <s v="в ипотеке"/>
    <s v="консолидация кредитов"/>
    <n v="405284"/>
    <n v="724"/>
    <n v="849110"/>
    <n v="14364"/>
    <n v="15.2"/>
    <n v="73"/>
    <n v="15"/>
    <n v="151411"/>
    <n v="277376"/>
    <n v="0"/>
    <n v="0.54478706391955967"/>
    <n v="0.96404793608521966"/>
    <n v="0.82954545454545459"/>
    <n v="0.33333333333333331"/>
    <n v="0"/>
    <n v="70759.166666666672"/>
    <n v="0.20299843365406131"/>
  </r>
  <r>
    <n v="1067"/>
    <s v="d0e52082-50bd-4742-8af7-13819832fac9"/>
    <x v="1"/>
    <x v="1"/>
    <x v="3"/>
    <s v="в аренде"/>
    <s v="консолидация кредитов"/>
    <n v="203544"/>
    <n v="728"/>
    <n v="532114"/>
    <n v="9045.9"/>
    <n v="17.899999999999999"/>
    <n v="35.265240640000002"/>
    <n v="6"/>
    <n v="237728"/>
    <n v="277200"/>
    <n v="0"/>
    <n v="-0.60377542543501828"/>
    <n v="0.96937416777629826"/>
    <n v="0.40074137090909095"/>
    <n v="0.11904761904761904"/>
    <n v="0"/>
    <n v="44342.833333333336"/>
    <n v="0.20399914304077696"/>
  </r>
  <r>
    <n v="1753"/>
    <s v="5505ca45-e465-42b1-9dbb-d434bae74e1d"/>
    <x v="0"/>
    <x v="0"/>
    <x v="5"/>
    <s v="в ипотеке"/>
    <s v="консолидация кредитов"/>
    <n v="336490"/>
    <n v="686"/>
    <n v="1263538"/>
    <n v="25060.05"/>
    <n v="22.8"/>
    <n v="24"/>
    <n v="11"/>
    <n v="177498"/>
    <n v="276980"/>
    <n v="0"/>
    <n v="0.15312349748425266"/>
    <n v="0.91344873501997337"/>
    <n v="0.27272727272727271"/>
    <n v="0.23809523809523808"/>
    <n v="0"/>
    <n v="105294.83333333333"/>
    <n v="0.23799885717722777"/>
  </r>
  <r>
    <n v="1168"/>
    <s v="49b32f45-ca26-4fa3-9ec6-2bf05e7bd3f8"/>
    <x v="0"/>
    <x v="1"/>
    <x v="5"/>
    <s v="в аренде"/>
    <s v="консолидация кредитов"/>
    <n v="216040"/>
    <n v="727"/>
    <n v="932881"/>
    <n v="16014.53"/>
    <n v="14.4"/>
    <n v="35.265240640000002"/>
    <n v="8"/>
    <n v="195054"/>
    <n v="276782"/>
    <n v="0"/>
    <n v="-0.53263218727216111"/>
    <n v="0.96804260985352863"/>
    <n v="0.40074137090909095"/>
    <n v="0.16666666666666666"/>
    <n v="0"/>
    <n v="77740.083333333328"/>
    <n v="0.20600093688262491"/>
  </r>
  <r>
    <n v="1953"/>
    <s v="978586ee-05e8-4d9e-a01e-e844538ffcc2"/>
    <x v="0"/>
    <x v="0"/>
    <x v="5"/>
    <s v="в ипотеке"/>
    <s v="ремонт жилья"/>
    <n v="101926"/>
    <n v="711"/>
    <n v="511442"/>
    <n v="9653.52"/>
    <n v="18.7"/>
    <n v="16"/>
    <n v="8"/>
    <n v="165547"/>
    <n v="276628"/>
    <n v="1"/>
    <n v="-1.1823152442276896"/>
    <n v="0.94673768308921435"/>
    <n v="0.18181818181818182"/>
    <n v="0.16666666666666666"/>
    <n v="0.14285714285714285"/>
    <n v="42620.166666666664"/>
    <n v="0.22650122594546401"/>
  </r>
  <r>
    <n v="337"/>
    <s v="f17b80fe-d2b7-4015-944a-b61b9ec5f13a"/>
    <x v="0"/>
    <x v="1"/>
    <x v="3"/>
    <s v="в ипотеке"/>
    <s v="консолидация кредитов"/>
    <n v="309594.52439999999"/>
    <n v="743"/>
    <n v="1496193"/>
    <n v="17081.57"/>
    <n v="20.7"/>
    <n v="33"/>
    <n v="11"/>
    <n v="176567"/>
    <n v="276298"/>
    <n v="0"/>
    <n v="-1.2411115481956205E-10"/>
    <n v="0.98934753661784292"/>
    <n v="0.375"/>
    <n v="0.23809523809523808"/>
    <n v="0"/>
    <n v="124682.75"/>
    <n v="0.13700026667682577"/>
  </r>
  <r>
    <n v="425"/>
    <s v="4cb4da1d-b371-4208-8e1a-72d68d6a7334"/>
    <x v="0"/>
    <x v="1"/>
    <x v="1"/>
    <s v="в аренде"/>
    <s v="консолидация кредитов"/>
    <n v="155738"/>
    <n v="0"/>
    <n v="1168044"/>
    <n v="6654.75"/>
    <n v="19.399999999999999"/>
    <n v="10"/>
    <n v="7"/>
    <n v="125039"/>
    <n v="275748"/>
    <n v="1"/>
    <n v="-0.87594841227989262"/>
    <n v="0"/>
    <n v="0.11363636363636363"/>
    <n v="0.14285714285714285"/>
    <n v="0.14285714285714285"/>
    <n v="97337"/>
    <n v="6.8368143665820807E-2"/>
  </r>
  <r>
    <n v="703"/>
    <s v="0fd78fa8-8d1b-4c3d-a3f1-4ce161b1a2da"/>
    <x v="0"/>
    <x v="1"/>
    <x v="0"/>
    <s v="в ипотеке"/>
    <s v="консолидация кредитов"/>
    <n v="309594.52439999999"/>
    <n v="700"/>
    <n v="1663906"/>
    <n v="33694.03"/>
    <n v="18.899999999999999"/>
    <n v="61"/>
    <n v="9"/>
    <n v="107141"/>
    <n v="275704"/>
    <n v="3"/>
    <n v="-1.2411115481956205E-10"/>
    <n v="0.93209054593874829"/>
    <n v="0.69318181818181823"/>
    <n v="0.19047619047619047"/>
    <n v="0.42857142857142855"/>
    <n v="138658.83333333334"/>
    <n v="0.2429995204055998"/>
  </r>
  <r>
    <n v="606"/>
    <s v="15ada1d7-0ee1-462f-9623-2de3a0da2ea5"/>
    <x v="0"/>
    <x v="1"/>
    <x v="1"/>
    <s v="в ипотеке"/>
    <s v="иное"/>
    <n v="349932"/>
    <n v="721"/>
    <n v="3602153"/>
    <n v="16029.54"/>
    <n v="20"/>
    <n v="15"/>
    <n v="17"/>
    <n v="68989"/>
    <n v="275462"/>
    <n v="0"/>
    <n v="0.22965257938126979"/>
    <n v="0.96005326231691079"/>
    <n v="0.17045454545454544"/>
    <n v="0.38095238095238093"/>
    <n v="0"/>
    <n v="300179.41666666669"/>
    <n v="5.3399863914719889E-2"/>
  </r>
  <r>
    <n v="190"/>
    <s v="b48dacc4-9a81-4817-9efc-62f4678f632b"/>
    <x v="0"/>
    <x v="1"/>
    <x v="0"/>
    <s v="в аренде"/>
    <s v="консолидация кредитов"/>
    <n v="261800"/>
    <n v="738"/>
    <n v="1488536"/>
    <n v="21087.72"/>
    <n v="16.5"/>
    <n v="45"/>
    <n v="8"/>
    <n v="178220"/>
    <n v="274780"/>
    <n v="0"/>
    <n v="-0.27210765315465596"/>
    <n v="0.9826897470039947"/>
    <n v="0.51136363636363635"/>
    <n v="0.16666666666666666"/>
    <n v="0"/>
    <n v="124044.66666666667"/>
    <n v="0.17000102113754723"/>
  </r>
  <r>
    <n v="136"/>
    <s v="1e8705ea-cf91-464b-bba9-035a4c9a6da7"/>
    <x v="0"/>
    <x v="1"/>
    <x v="9"/>
    <s v="в ипотеке"/>
    <s v="консолидация кредитов"/>
    <n v="257400"/>
    <n v="0"/>
    <n v="1168044"/>
    <n v="13740.99"/>
    <n v="15.7"/>
    <n v="35.265240640000002"/>
    <n v="11"/>
    <n v="191159"/>
    <n v="274626"/>
    <n v="0"/>
    <n v="-0.29715808912749297"/>
    <n v="0"/>
    <n v="0.40074137090909095"/>
    <n v="0.23809523809523808"/>
    <n v="0"/>
    <n v="97337"/>
    <n v="0.14116923677532695"/>
  </r>
  <r>
    <n v="1202"/>
    <s v="073a3d8f-82c0-451c-8d7d-8a5ca3304dea"/>
    <x v="1"/>
    <x v="1"/>
    <x v="2"/>
    <s v="в ипотеке"/>
    <s v="консолидация кредитов"/>
    <n v="424468"/>
    <n v="0"/>
    <n v="1168044"/>
    <n v="23842.53"/>
    <n v="13"/>
    <n v="35.265240640000002"/>
    <n v="11"/>
    <n v="192014"/>
    <n v="274164"/>
    <n v="0"/>
    <n v="0.65400696476112918"/>
    <n v="0"/>
    <n v="0.40074137090909095"/>
    <n v="0.23809523809523808"/>
    <n v="0"/>
    <n v="97337"/>
    <n v="0.24494827249658402"/>
  </r>
  <r>
    <n v="166"/>
    <s v="fc950ca6-8f85-425c-a800-85a71a4e0870"/>
    <x v="1"/>
    <x v="0"/>
    <x v="3"/>
    <s v="в аренде"/>
    <s v="иное"/>
    <n v="168300"/>
    <n v="702"/>
    <n v="688522"/>
    <n v="11762.14"/>
    <n v="17"/>
    <n v="30"/>
    <n v="9"/>
    <n v="128041"/>
    <n v="273042"/>
    <n v="0"/>
    <n v="-0.80442941757744291"/>
    <n v="0.93475366178428765"/>
    <n v="0.34090909090909088"/>
    <n v="0.19047619047619047"/>
    <n v="0"/>
    <n v="57376.833333333336"/>
    <n v="0.20499806832606654"/>
  </r>
  <r>
    <n v="1873"/>
    <s v="1ef230bc-76eb-4c7c-92f0-35d92fd0492c"/>
    <x v="0"/>
    <x v="1"/>
    <x v="6"/>
    <s v="в ипотеке"/>
    <s v="консолидация кредитов"/>
    <n v="223608"/>
    <n v="739"/>
    <n v="869022"/>
    <n v="12745.58"/>
    <n v="12.4"/>
    <n v="35.265240640000002"/>
    <n v="9"/>
    <n v="195700"/>
    <n v="272690"/>
    <n v="0"/>
    <n v="-0.4895454373988814"/>
    <n v="0.98402130492676432"/>
    <n v="0.40074137090909095"/>
    <n v="0.19047619047619047"/>
    <n v="0"/>
    <n v="72418.5"/>
    <n v="0.17599895054440509"/>
  </r>
  <r>
    <n v="1352"/>
    <s v="0a1cbeab-44e8-4366-bd31-9459dcce1ff0"/>
    <x v="0"/>
    <x v="0"/>
    <x v="1"/>
    <s v="в ипотеке"/>
    <s v="иное"/>
    <n v="670758"/>
    <n v="665"/>
    <n v="2124067"/>
    <n v="34693.24"/>
    <n v="15"/>
    <n v="49"/>
    <n v="8"/>
    <n v="68989"/>
    <n v="272668"/>
    <n v="0"/>
    <n v="2.056205118340682"/>
    <n v="0.88548601864181087"/>
    <n v="0.55681818181818177"/>
    <n v="0.16666666666666666"/>
    <n v="0"/>
    <n v="177005.58333333334"/>
    <n v="0.19600082294955853"/>
  </r>
  <r>
    <n v="6"/>
    <s v="4ffe99d3-7f2a-44db-afc1-40943f1f9750"/>
    <x v="1"/>
    <x v="1"/>
    <x v="1"/>
    <s v="в ипотеке"/>
    <s v="консолидация кредитов"/>
    <n v="206602"/>
    <n v="729"/>
    <n v="896857"/>
    <n v="16367.74"/>
    <n v="17.3"/>
    <n v="35.265240640000002"/>
    <n v="6"/>
    <n v="215308"/>
    <n v="272448"/>
    <n v="0"/>
    <n v="-0.58636537243389653"/>
    <n v="0.97070572569906788"/>
    <n v="0.40074137090909095"/>
    <n v="0.11904761904761904"/>
    <n v="0"/>
    <n v="74738.083333333328"/>
    <n v="0.21900133466093258"/>
  </r>
  <r>
    <n v="840"/>
    <s v="7fbe8108-cfc6-4925-8021-e952321915e0"/>
    <x v="1"/>
    <x v="1"/>
    <x v="2"/>
    <s v="в аренде"/>
    <s v="консолидация кредитов"/>
    <n v="351692"/>
    <n v="0"/>
    <n v="1168044"/>
    <n v="27715.11"/>
    <n v="16.100000000000001"/>
    <n v="35.265240640000002"/>
    <n v="8"/>
    <n v="188708"/>
    <n v="272448"/>
    <n v="0"/>
    <n v="0.23967275377040462"/>
    <n v="0"/>
    <n v="0.40074137090909095"/>
    <n v="0.16666666666666666"/>
    <n v="0"/>
    <n v="97337"/>
    <n v="0.28473355455787625"/>
  </r>
  <r>
    <n v="7"/>
    <s v="90a75dde-34d5-419c-90dc-1e58b04b3e35"/>
    <x v="0"/>
    <x v="1"/>
    <x v="5"/>
    <s v="в ипотеке"/>
    <s v="консолидация кредитов"/>
    <n v="217646"/>
    <n v="730"/>
    <n v="1184194"/>
    <n v="10855.08"/>
    <n v="19.600000000000001"/>
    <n v="10"/>
    <n v="13"/>
    <n v="122170"/>
    <n v="272052"/>
    <n v="1"/>
    <n v="-0.52348877814207562"/>
    <n v="0.9720372836218375"/>
    <n v="0.11363636363636363"/>
    <n v="0.2857142857142857"/>
    <n v="0.14285714285714285"/>
    <n v="98682.833333333328"/>
    <n v="0.10999967910663287"/>
  </r>
  <r>
    <n v="551"/>
    <s v="81b04d9b-7d6e-40ec-b92a-263e41bd8239"/>
    <x v="0"/>
    <x v="1"/>
    <x v="2"/>
    <s v="в ипотеке"/>
    <s v="консолидация кредитов"/>
    <n v="309594.52439999999"/>
    <n v="748"/>
    <n v="758556"/>
    <n v="9165.7900000000009"/>
    <n v="15.3"/>
    <n v="35.265240640000002"/>
    <n v="7"/>
    <n v="154299"/>
    <n v="271920"/>
    <n v="1"/>
    <n v="-1.2411115481956205E-10"/>
    <n v="0.99600532623169102"/>
    <n v="0.40074137090909095"/>
    <n v="0.14285714285714285"/>
    <n v="0.14285714285714285"/>
    <n v="63213"/>
    <n v="0.14499849714457472"/>
  </r>
  <r>
    <n v="1075"/>
    <s v="9072669a-741c-487c-8a87-37bd74dc2373"/>
    <x v="0"/>
    <x v="1"/>
    <x v="1"/>
    <s v="в ипотеке"/>
    <s v="консолидация кредитов"/>
    <n v="456918"/>
    <n v="0"/>
    <n v="1168044"/>
    <n v="58126.7"/>
    <n v="13.4"/>
    <n v="28"/>
    <n v="11"/>
    <n v="110333"/>
    <n v="271854"/>
    <n v="0"/>
    <n v="0.83875393006080223"/>
    <n v="0"/>
    <n v="0.31818181818181818"/>
    <n v="0.23809523809523808"/>
    <n v="0"/>
    <n v="97337"/>
    <n v="0.59716962717157918"/>
  </r>
  <r>
    <n v="1689"/>
    <s v="9eb8ecc6-c7d1-4c2f-bf34-24ef39c577e7"/>
    <x v="0"/>
    <x v="1"/>
    <x v="1"/>
    <s v="в аренде"/>
    <s v="консолидация кредитов"/>
    <n v="328614"/>
    <n v="0"/>
    <n v="1168044"/>
    <n v="9193.7199999999993"/>
    <n v="17"/>
    <n v="18"/>
    <n v="8"/>
    <n v="207442"/>
    <n v="271722"/>
    <n v="1"/>
    <n v="0.10828321709287438"/>
    <n v="0"/>
    <n v="0.20454545454545456"/>
    <n v="0.16666666666666666"/>
    <n v="0.14285714285714285"/>
    <n v="97337"/>
    <n v="9.4452469256295135E-2"/>
  </r>
  <r>
    <n v="1287"/>
    <s v="a78200ed-9a91-4667-9647-47cfe8041150"/>
    <x v="0"/>
    <x v="1"/>
    <x v="6"/>
    <s v="в аренде"/>
    <s v="консолидация кредитов"/>
    <n v="173712"/>
    <n v="723"/>
    <n v="656355"/>
    <n v="11978.55"/>
    <n v="12.5"/>
    <n v="27"/>
    <n v="9"/>
    <n v="124051"/>
    <n v="271524"/>
    <n v="0"/>
    <n v="-0.77361738133085334"/>
    <n v="0.96271637816245004"/>
    <n v="0.30681818181818182"/>
    <n v="0.19047619047619047"/>
    <n v="0"/>
    <n v="54696.25"/>
    <n v="0.21900130264871906"/>
  </r>
  <r>
    <n v="1998"/>
    <s v="aee8ae64-29a4-4a0d-8896-03f613eabbe5"/>
    <x v="0"/>
    <x v="1"/>
    <x v="1"/>
    <s v="в ипотеке"/>
    <s v="ремонт жилья"/>
    <n v="178860"/>
    <n v="681"/>
    <n v="714457"/>
    <n v="11371.88"/>
    <n v="14.2"/>
    <n v="49"/>
    <n v="8"/>
    <n v="57570"/>
    <n v="270952"/>
    <n v="2"/>
    <n v="-0.74430837124263405"/>
    <n v="0.90679094540612515"/>
    <n v="0.55681818181818177"/>
    <n v="0.16666666666666666"/>
    <n v="0.2857142857142857"/>
    <n v="59538.083333333336"/>
    <n v="0.19100178177273089"/>
  </r>
  <r>
    <n v="1299"/>
    <s v="bbb3383b-f33c-407c-98f4-9dd63b878928"/>
    <x v="1"/>
    <x v="1"/>
    <x v="6"/>
    <s v="в аренде"/>
    <s v="консолидация кредитов"/>
    <n v="225060"/>
    <n v="742"/>
    <n v="796917"/>
    <n v="17864.18"/>
    <n v="15.5"/>
    <n v="14"/>
    <n v="11"/>
    <n v="135470"/>
    <n v="270006"/>
    <n v="0"/>
    <n v="-0.48127879352784519"/>
    <n v="0.98801597869507318"/>
    <n v="0.15909090909090909"/>
    <n v="0.23809523809523808"/>
    <n v="0"/>
    <n v="66409.75"/>
    <n v="0.2689993562692225"/>
  </r>
  <r>
    <n v="505"/>
    <s v="d3957d15-9fc0-40c6-ae93-a81dccb30018"/>
    <x v="0"/>
    <x v="1"/>
    <x v="8"/>
    <s v="в аренде"/>
    <s v="консолидация кредитов"/>
    <n v="309594.52439999999"/>
    <n v="735"/>
    <n v="799292"/>
    <n v="15253.01"/>
    <n v="11.2"/>
    <n v="35.265240640000002"/>
    <n v="6"/>
    <n v="195149"/>
    <n v="269984"/>
    <n v="0"/>
    <n v="-1.2411115481956205E-10"/>
    <n v="0.97869507323568572"/>
    <n v="0.40074137090909095"/>
    <n v="0.11904761904761904"/>
    <n v="0"/>
    <n v="66607.666666666672"/>
    <n v="0.22899781306456213"/>
  </r>
  <r>
    <n v="1401"/>
    <s v="27f90c43-00bd-4d09-bdec-1a865c679f00"/>
    <x v="0"/>
    <x v="1"/>
    <x v="1"/>
    <s v="в аренде"/>
    <s v="консолидация кредитов"/>
    <n v="223080"/>
    <n v="721"/>
    <n v="2022930"/>
    <n v="14379.77"/>
    <n v="8.5"/>
    <n v="35.265240640000002"/>
    <n v="7"/>
    <n v="100852"/>
    <n v="269698"/>
    <n v="0"/>
    <n v="-0.49255148971562185"/>
    <n v="0.96005326231691079"/>
    <n v="0.40074137090909095"/>
    <n v="0.14285714285714285"/>
    <n v="0"/>
    <n v="168577.5"/>
    <n v="8.5300648069878846E-2"/>
  </r>
  <r>
    <n v="893"/>
    <s v="8d9740d1-d26c-4db6-a042-6b8b6465e366"/>
    <x v="1"/>
    <x v="1"/>
    <x v="1"/>
    <s v="в собственности"/>
    <s v="крупная покупка"/>
    <n v="107734"/>
    <n v="729"/>
    <n v="651301"/>
    <n v="3180.6"/>
    <n v="17.5"/>
    <n v="17"/>
    <n v="5"/>
    <n v="65056"/>
    <n v="269038"/>
    <n v="0"/>
    <n v="-1.1492486687435446"/>
    <n v="0.97070572569906788"/>
    <n v="0.19318181818181818"/>
    <n v="9.5238095238095233E-2"/>
    <n v="0"/>
    <n v="54275.083333333336"/>
    <n v="5.8601476122407299E-2"/>
  </r>
  <r>
    <n v="1715"/>
    <s v="64c41a05-5d70-4d73-8292-23194f167da1"/>
    <x v="0"/>
    <x v="0"/>
    <x v="6"/>
    <s v="в аренде"/>
    <s v="консолидация кредитов"/>
    <n v="257950"/>
    <n v="730"/>
    <n v="851466"/>
    <n v="19299.63"/>
    <n v="8.1999999999999993"/>
    <n v="35.265240640000002"/>
    <n v="7"/>
    <n v="144438"/>
    <n v="268884"/>
    <n v="0"/>
    <n v="-0.29402678463088838"/>
    <n v="0.9720372836218375"/>
    <n v="0.40074137090909095"/>
    <n v="0.14285714285714285"/>
    <n v="0"/>
    <n v="70955.5"/>
    <n v="0.27199625117150894"/>
  </r>
  <r>
    <n v="33"/>
    <s v="1c9b6b3e-060d-4a70-8b08-522a7f589e89"/>
    <x v="1"/>
    <x v="1"/>
    <x v="5"/>
    <s v="в аренде"/>
    <s v="консолидация кредитов"/>
    <n v="130174"/>
    <n v="733"/>
    <n v="524609"/>
    <n v="9311.7099999999991"/>
    <n v="15.4"/>
    <n v="35.265240640000002"/>
    <n v="7"/>
    <n v="130701"/>
    <n v="268818"/>
    <n v="1"/>
    <n v="-1.0214914452820758"/>
    <n v="0.97603195739014648"/>
    <n v="0.40074137090909095"/>
    <n v="0.14285714285714285"/>
    <n v="0.14285714285714285"/>
    <n v="43717.416666666664"/>
    <n v="0.21299771830067726"/>
  </r>
  <r>
    <n v="1779"/>
    <s v="9b4868dc-715f-430c-b461-8325ee04a193"/>
    <x v="0"/>
    <x v="0"/>
    <x v="7"/>
    <s v="в аренде"/>
    <s v="Медицинские счета"/>
    <n v="309594.52439999999"/>
    <n v="637"/>
    <n v="1482760"/>
    <n v="10552.22"/>
    <n v="8.1999999999999993"/>
    <n v="35.265240640000002"/>
    <n v="5"/>
    <n v="22724"/>
    <n v="268488"/>
    <n v="0"/>
    <n v="-1.2411115481956205E-10"/>
    <n v="0.84820239680426102"/>
    <n v="0.40074137090909095"/>
    <n v="9.5238095238095233E-2"/>
    <n v="0"/>
    <n v="123563.33333333333"/>
    <n v="8.5399282419272166E-2"/>
  </r>
  <r>
    <n v="1159"/>
    <s v="aaabd1d3-ca88-4655-b234-09941a699a89"/>
    <x v="1"/>
    <x v="1"/>
    <x v="0"/>
    <s v="в аренде"/>
    <s v="консолидация кредитов"/>
    <n v="178860"/>
    <n v="704"/>
    <n v="1062043"/>
    <n v="13983.43"/>
    <n v="7"/>
    <n v="35.265240640000002"/>
    <n v="6"/>
    <n v="145730"/>
    <n v="268268"/>
    <n v="0"/>
    <n v="-0.74430837124263405"/>
    <n v="0.93741677762982689"/>
    <n v="0.40074137090909095"/>
    <n v="0.11904761904761904"/>
    <n v="0"/>
    <n v="88503.583333333328"/>
    <n v="0.15799846145589211"/>
  </r>
  <r>
    <n v="1278"/>
    <s v="3b4fc8db-2218-4c9d-9824-ca06626e0211"/>
    <x v="1"/>
    <x v="0"/>
    <x v="8"/>
    <s v="в ипотеке"/>
    <s v="консолидация кредитов"/>
    <n v="127952"/>
    <n v="733"/>
    <n v="1222536"/>
    <n v="16076.28"/>
    <n v="22.1"/>
    <n v="58"/>
    <n v="8"/>
    <n v="92169"/>
    <n v="268136"/>
    <n v="0"/>
    <n v="-1.0341419154483584"/>
    <n v="0.97603195739014648"/>
    <n v="0.65909090909090906"/>
    <n v="0.16666666666666666"/>
    <n v="0"/>
    <n v="101878"/>
    <n v="0.15779932860872808"/>
  </r>
  <r>
    <n v="1599"/>
    <s v="8c979501-9968-4e5b-8eca-8c22405a899c"/>
    <x v="0"/>
    <x v="1"/>
    <x v="2"/>
    <s v="в собственности"/>
    <s v="иное"/>
    <n v="78452"/>
    <n v="724"/>
    <n v="941070"/>
    <n v="22507.21"/>
    <n v="22.4"/>
    <n v="38"/>
    <n v="13"/>
    <n v="43738"/>
    <n v="267960"/>
    <n v="0"/>
    <n v="-1.3159593201427751"/>
    <n v="0.96404793608521966"/>
    <n v="0.43181818181818182"/>
    <n v="0.2857142857142857"/>
    <n v="0"/>
    <n v="78422.5"/>
    <n v="0.28699939430648091"/>
  </r>
  <r>
    <n v="101"/>
    <s v="4b8c3426-83b6-4e7a-bd22-ab5695587508"/>
    <x v="0"/>
    <x v="1"/>
    <x v="1"/>
    <s v="в ипотеке"/>
    <s v="консолидация кредитов"/>
    <n v="166672"/>
    <n v="705"/>
    <n v="1048667"/>
    <n v="16166.91"/>
    <n v="16"/>
    <n v="18"/>
    <n v="10"/>
    <n v="167656"/>
    <n v="267014"/>
    <n v="0"/>
    <n v="-0.81369807888739265"/>
    <n v="0.93874833555259651"/>
    <n v="0.20454545454545456"/>
    <n v="0.21428571428571427"/>
    <n v="0"/>
    <n v="87388.916666666672"/>
    <n v="0.1849995470440092"/>
  </r>
  <r>
    <n v="1807"/>
    <s v="9c58ff57-72a5-4b56-ac26-9cca7e7d89db"/>
    <x v="1"/>
    <x v="1"/>
    <x v="3"/>
    <s v="в аренде"/>
    <s v="консолидация кредитов"/>
    <n v="183744"/>
    <n v="0"/>
    <n v="1168044"/>
    <n v="16860.79"/>
    <n v="12.8"/>
    <n v="35.265240640000002"/>
    <n v="8"/>
    <n v="165680"/>
    <n v="266794"/>
    <n v="0"/>
    <n v="-0.71650238731278493"/>
    <n v="0"/>
    <n v="0.40074137090909095"/>
    <n v="0.16666666666666666"/>
    <n v="0"/>
    <n v="97337"/>
    <n v="0.17322076908061684"/>
  </r>
  <r>
    <n v="98"/>
    <s v="168cc347-945f-43d4-827b-1c06c7a80722"/>
    <x v="1"/>
    <x v="1"/>
    <x v="3"/>
    <s v="в аренде"/>
    <s v="иное"/>
    <n v="78738"/>
    <n v="624"/>
    <n v="536370"/>
    <n v="14034.92"/>
    <n v="10.5"/>
    <n v="15"/>
    <n v="14"/>
    <n v="138586"/>
    <n v="266112"/>
    <n v="0"/>
    <n v="-1.3143310418045406"/>
    <n v="0.83089214380825571"/>
    <n v="0.17045454545454544"/>
    <n v="0.30952380952380953"/>
    <n v="0"/>
    <n v="44697.5"/>
    <n v="0.31399787460148776"/>
  </r>
  <r>
    <n v="393"/>
    <s v="37e59c53-92cc-4abb-a7d4-918188a8c485"/>
    <x v="0"/>
    <x v="1"/>
    <x v="6"/>
    <s v="в аренде"/>
    <s v="консолидация кредитов"/>
    <n v="309594.52439999999"/>
    <n v="731"/>
    <n v="1307124"/>
    <n v="13724.84"/>
    <n v="11.2"/>
    <n v="35.265240640000002"/>
    <n v="7"/>
    <n v="273182"/>
    <n v="266024"/>
    <n v="0"/>
    <n v="-1.2411115481956205E-10"/>
    <n v="0.97336884154460723"/>
    <n v="0.40074137090909095"/>
    <n v="0.14285714285714285"/>
    <n v="0"/>
    <n v="108927"/>
    <n v="0.12600034885749173"/>
  </r>
  <r>
    <n v="49"/>
    <s v="6cfb0765-7cd8-4ef5-aa6e-f935caf57cf0"/>
    <x v="0"/>
    <x v="1"/>
    <x v="10"/>
    <s v="в аренде"/>
    <s v="консолидация кредитов"/>
    <n v="439428"/>
    <n v="710"/>
    <n v="1518024"/>
    <n v="20923.560000000001"/>
    <n v="17.8"/>
    <n v="35.265240640000002"/>
    <n v="11"/>
    <n v="209304"/>
    <n v="265716"/>
    <n v="0"/>
    <n v="0.739178447068775"/>
    <n v="0.94540612516644473"/>
    <n v="0.40074137090909095"/>
    <n v="0.23809523809523808"/>
    <n v="0"/>
    <n v="126502"/>
    <n v="0.16540102132772605"/>
  </r>
  <r>
    <n v="1416"/>
    <s v="a49ad179-164a-4109-8353-b7589d8bf594"/>
    <x v="0"/>
    <x v="1"/>
    <x v="6"/>
    <s v="в собственности"/>
    <s v="консолидация кредитов"/>
    <n v="348348"/>
    <n v="709"/>
    <n v="846108"/>
    <n v="6938.04"/>
    <n v="14.9"/>
    <n v="35.265240640000002"/>
    <n v="8"/>
    <n v="190817"/>
    <n v="265562"/>
    <n v="0"/>
    <n v="0.22063442243104847"/>
    <n v="0.94407456724367511"/>
    <n v="0.40074137090909095"/>
    <n v="0.16666666666666666"/>
    <n v="0"/>
    <n v="70509"/>
    <n v="9.8399353274050125E-2"/>
  </r>
  <r>
    <n v="1153"/>
    <s v="48378452-205b-44ad-aefc-ec2a217af9e2"/>
    <x v="0"/>
    <x v="0"/>
    <x v="7"/>
    <s v="в ипотеке"/>
    <s v="консолидация кредитов"/>
    <n v="249546"/>
    <n v="724"/>
    <n v="2309184"/>
    <n v="16279.77"/>
    <n v="18.8"/>
    <n v="18"/>
    <n v="8"/>
    <n v="60743"/>
    <n v="265430"/>
    <n v="0"/>
    <n v="-0.3418731173390071"/>
    <n v="0.96404793608521966"/>
    <n v="0.20454545454545456"/>
    <n v="0.16666666666666666"/>
    <n v="0"/>
    <n v="192432"/>
    <n v="8.4600118483412326E-2"/>
  </r>
  <r>
    <n v="1424"/>
    <s v="6944e76f-c877-4782-bd47-8689b418d091"/>
    <x v="0"/>
    <x v="1"/>
    <x v="1"/>
    <s v="в ипотеке"/>
    <s v="бизнес"/>
    <n v="668712"/>
    <n v="684"/>
    <n v="3368890"/>
    <n v="53902.239999999998"/>
    <n v="29.7"/>
    <n v="28"/>
    <n v="11"/>
    <n v="141037"/>
    <n v="265100"/>
    <n v="1"/>
    <n v="2.044556665613313"/>
    <n v="0.91078561917443412"/>
    <n v="0.31818181818181818"/>
    <n v="0.23809523809523808"/>
    <n v="0.14285714285714285"/>
    <n v="280740.83333333331"/>
    <n v="0.192"/>
  </r>
  <r>
    <n v="1161"/>
    <s v="d5218d6b-9db2-4fc9-872d-ec5fa358f9dd"/>
    <x v="1"/>
    <x v="1"/>
    <x v="1"/>
    <s v="в аренде"/>
    <s v="консолидация кредитов"/>
    <n v="215270"/>
    <n v="726"/>
    <n v="855209"/>
    <n v="6841.71"/>
    <n v="25.6"/>
    <n v="10"/>
    <n v="10"/>
    <n v="82536"/>
    <n v="264704"/>
    <n v="1"/>
    <n v="-0.53701601356740758"/>
    <n v="0.96671105193075901"/>
    <n v="0.11363636363636363"/>
    <n v="0.21428571428571427"/>
    <n v="0.14285714285714285"/>
    <n v="71267.416666666672"/>
    <n v="9.6000533202994814E-2"/>
  </r>
  <r>
    <n v="465"/>
    <s v="87af014b-f368-4d7c-8f8d-8f59d5efc338"/>
    <x v="0"/>
    <x v="1"/>
    <x v="0"/>
    <s v="в ипотеке"/>
    <s v="консолидация кредитов"/>
    <n v="208670"/>
    <n v="703"/>
    <n v="566124"/>
    <n v="3811.97"/>
    <n v="11.7"/>
    <n v="35.265240640000002"/>
    <n v="7"/>
    <n v="171779"/>
    <n v="264506"/>
    <n v="0"/>
    <n v="-0.57459166752666313"/>
    <n v="0.93608521970705727"/>
    <n v="0.40074137090909095"/>
    <n v="0.14285714285714285"/>
    <n v="0"/>
    <n v="47177"/>
    <n v="8.0801449859041474E-2"/>
  </r>
  <r>
    <n v="774"/>
    <s v="8f149fa9-23f6-4453-a82c-20ae5ffb6e95"/>
    <x v="0"/>
    <x v="1"/>
    <x v="1"/>
    <s v="в аренде"/>
    <s v="консолидация кредитов"/>
    <n v="182116"/>
    <n v="0"/>
    <n v="1168044"/>
    <n v="3389.22"/>
    <n v="21.9"/>
    <n v="69"/>
    <n v="6"/>
    <n v="92663"/>
    <n v="264286"/>
    <n v="0"/>
    <n v="-0.72577104862273467"/>
    <n v="0"/>
    <n v="0.78409090909090906"/>
    <n v="0.11904761904761904"/>
    <n v="0"/>
    <n v="97337"/>
    <n v="3.4819441733359359E-2"/>
  </r>
  <r>
    <n v="546"/>
    <s v="91378b9c-ca3a-4c12-a0dc-1394d30be104"/>
    <x v="0"/>
    <x v="0"/>
    <x v="1"/>
    <s v="в аренде"/>
    <s v="консолидация кредитов"/>
    <n v="246620"/>
    <n v="0"/>
    <n v="1168044"/>
    <n v="12994.86"/>
    <n v="32.200000000000003"/>
    <n v="35.265240640000002"/>
    <n v="9"/>
    <n v="202559"/>
    <n v="264110"/>
    <n v="0"/>
    <n v="-0.35853165726094371"/>
    <n v="0"/>
    <n v="0.40074137090909095"/>
    <n v="0.19047619047619047"/>
    <n v="0"/>
    <n v="97337"/>
    <n v="0.1335038063634589"/>
  </r>
  <r>
    <n v="820"/>
    <s v="817f26dc-b23c-44ca-a4e8-aa076cb7ea05"/>
    <x v="0"/>
    <x v="1"/>
    <x v="0"/>
    <s v="в аренде"/>
    <s v="иное"/>
    <n v="146366"/>
    <n v="724"/>
    <n v="816753"/>
    <n v="13864.3"/>
    <n v="12.8"/>
    <n v="35.265240640000002"/>
    <n v="12"/>
    <n v="168454"/>
    <n v="263560"/>
    <n v="0"/>
    <n v="-0.9293058409020355"/>
    <n v="0.96404793608521966"/>
    <n v="0.40074137090909095"/>
    <n v="0.26190476190476192"/>
    <n v="0"/>
    <n v="68062.75"/>
    <n v="0.2036987926582455"/>
  </r>
  <r>
    <n v="1201"/>
    <s v="fbf0a5bc-1f06-4e05-9b0b-cc6a4caf1f6c"/>
    <x v="1"/>
    <x v="1"/>
    <x v="8"/>
    <s v="в ипотеке"/>
    <s v="ремонт жилья"/>
    <n v="415910"/>
    <n v="693"/>
    <n v="1126890"/>
    <n v="12301.93"/>
    <n v="12.2"/>
    <n v="17"/>
    <n v="7"/>
    <n v="221635"/>
    <n v="263230"/>
    <n v="0"/>
    <n v="0.60528386679396107"/>
    <n v="0.92276964047936083"/>
    <n v="0.19318181818181818"/>
    <n v="0.14285714285714285"/>
    <n v="0"/>
    <n v="93907.5"/>
    <n v="0.13100050581689429"/>
  </r>
  <r>
    <n v="1642"/>
    <s v="bd2970f9-92ce-4192-b80c-ff83cea87bd3"/>
    <x v="0"/>
    <x v="0"/>
    <x v="1"/>
    <s v="в аренде"/>
    <s v="консолидация кредитов"/>
    <n v="221716"/>
    <n v="719"/>
    <n v="1131906"/>
    <n v="20940.28"/>
    <n v="14.7"/>
    <n v="27"/>
    <n v="13"/>
    <n v="111150"/>
    <n v="262130"/>
    <n v="0"/>
    <n v="-0.50031712486720137"/>
    <n v="0.95739014647137155"/>
    <n v="0.30681818181818182"/>
    <n v="0.2857142857142857"/>
    <n v="0"/>
    <n v="94325.5"/>
    <n v="0.22200020143015409"/>
  </r>
  <r>
    <n v="281"/>
    <s v="d75c5d50-9703-4571-85e9-37c19de411c5"/>
    <x v="0"/>
    <x v="1"/>
    <x v="4"/>
    <s v="в ипотеке"/>
    <s v="консолидация кредитов"/>
    <n v="309540"/>
    <n v="0"/>
    <n v="1168044"/>
    <n v="26895.83"/>
    <n v="16.5"/>
    <n v="35.265240640000002"/>
    <n v="12"/>
    <n v="79686"/>
    <n v="262108"/>
    <n v="0"/>
    <n v="-3.1042284937416045E-4"/>
    <n v="0"/>
    <n v="0.40074137090909095"/>
    <n v="0.26190476190476192"/>
    <n v="0"/>
    <n v="97337"/>
    <n v="0.27631661136053098"/>
  </r>
  <r>
    <n v="1942"/>
    <s v="79e9d1de-914a-472f-9384-709afccaa175"/>
    <x v="1"/>
    <x v="1"/>
    <x v="5"/>
    <s v="в аренде"/>
    <s v="консолидация кредитов"/>
    <n v="106062"/>
    <n v="0"/>
    <n v="1168044"/>
    <n v="3417.15"/>
    <n v="17.7"/>
    <n v="32"/>
    <n v="10"/>
    <n v="80940"/>
    <n v="261074"/>
    <n v="1"/>
    <n v="-1.1587678344132228"/>
    <n v="0"/>
    <n v="0.36363636363636365"/>
    <n v="0.21428571428571427"/>
    <n v="0.14285714285714285"/>
    <n v="97337"/>
    <n v="3.5106382978723406E-2"/>
  </r>
  <r>
    <n v="151"/>
    <s v="ba0dcc40-2355-4934-a4f8-1dc189964279"/>
    <x v="0"/>
    <x v="1"/>
    <x v="0"/>
    <s v="в ипотеке"/>
    <s v="бизнес"/>
    <n v="133804"/>
    <n v="725"/>
    <n v="1386734"/>
    <n v="16756.48"/>
    <n v="13.6"/>
    <n v="35.265240640000002"/>
    <n v="11"/>
    <n v="105450"/>
    <n v="260898"/>
    <n v="0"/>
    <n v="-1.0008248356044853"/>
    <n v="0.96537949400798939"/>
    <n v="0.40074137090909095"/>
    <n v="0.23809523809523808"/>
    <n v="0"/>
    <n v="115561.16666666667"/>
    <n v="0.14500095908804428"/>
  </r>
  <r>
    <n v="511"/>
    <s v="c5396ed9-5ba7-4839-87e4-ba89d333f9e0"/>
    <x v="0"/>
    <x v="1"/>
    <x v="3"/>
    <s v="в аренде"/>
    <s v="консолидация кредитов"/>
    <n v="88374"/>
    <n v="0"/>
    <n v="1168044"/>
    <n v="18904.810000000001"/>
    <n v="15.8"/>
    <n v="4"/>
    <n v="14"/>
    <n v="50996"/>
    <n v="260128"/>
    <n v="1"/>
    <n v="-1.2594705870240277"/>
    <n v="0"/>
    <n v="4.5454545454545456E-2"/>
    <n v="0.30952380952380953"/>
    <n v="0.14285714285714285"/>
    <n v="97337"/>
    <n v="0.19422018348623854"/>
  </r>
  <r>
    <n v="1742"/>
    <s v="1894c80f-a3e7-4e01-8c22-64c8d49b7f43"/>
    <x v="1"/>
    <x v="1"/>
    <x v="8"/>
    <s v="в собственности"/>
    <s v="ремонт жилья"/>
    <n v="174592"/>
    <n v="685"/>
    <n v="452352"/>
    <n v="9725.5300000000007"/>
    <n v="10.9"/>
    <n v="35.265240640000002"/>
    <n v="10"/>
    <n v="106001"/>
    <n v="259490"/>
    <n v="0"/>
    <n v="-0.76860729413628592"/>
    <n v="0.91211717709720375"/>
    <n v="0.40074137090909095"/>
    <n v="0.21428571428571427"/>
    <n v="0"/>
    <n v="37696"/>
    <n v="0.25799899193548387"/>
  </r>
  <r>
    <n v="394"/>
    <s v="d0a8be34-eef9-4005-beb5-cfb5b0468222"/>
    <x v="0"/>
    <x v="1"/>
    <x v="1"/>
    <s v="в аренде"/>
    <s v="консолидация кредитов"/>
    <n v="87274"/>
    <n v="719"/>
    <n v="753692"/>
    <n v="4013.37"/>
    <n v="8.1999999999999993"/>
    <n v="35.265240640000002"/>
    <n v="8"/>
    <n v="101042"/>
    <n v="259424"/>
    <n v="0"/>
    <n v="-1.2657331960172369"/>
    <n v="0.95739014647137155"/>
    <n v="0.40074137090909095"/>
    <n v="0.16666666666666666"/>
    <n v="0"/>
    <n v="62807.666666666664"/>
    <n v="6.3899364727236063E-2"/>
  </r>
  <r>
    <n v="259"/>
    <s v="63796095-b7b6-4f04-b17c-e77f3c799fa5"/>
    <x v="0"/>
    <x v="1"/>
    <x v="1"/>
    <s v="в ипотеке"/>
    <s v="консолидация кредитов"/>
    <n v="196108"/>
    <n v="715"/>
    <n v="865602"/>
    <n v="11397.34"/>
    <n v="18.8"/>
    <n v="29"/>
    <n v="11"/>
    <n v="185478"/>
    <n v="259402"/>
    <n v="1"/>
    <n v="-0.64611066222911284"/>
    <n v="0.95206391478029295"/>
    <n v="0.32954545454545453"/>
    <n v="0.23809523809523808"/>
    <n v="0.14285714285714285"/>
    <n v="72133.5"/>
    <n v="0.15800342420650598"/>
  </r>
  <r>
    <n v="1483"/>
    <s v="2b7823a3-a277-4ca0-8e70-a52608a32549"/>
    <x v="0"/>
    <x v="1"/>
    <x v="1"/>
    <s v="в аренде"/>
    <s v="консолидация кредитов"/>
    <n v="166232"/>
    <n v="723"/>
    <n v="1152312"/>
    <n v="18532.98"/>
    <n v="21.3"/>
    <n v="65"/>
    <n v="6"/>
    <n v="31312"/>
    <n v="258918"/>
    <n v="1"/>
    <n v="-0.8162031224846763"/>
    <n v="0.96271637816245004"/>
    <n v="0.73863636363636365"/>
    <n v="0.11904761904761904"/>
    <n v="0.14285714285714285"/>
    <n v="96026"/>
    <n v="0.1929996042738425"/>
  </r>
  <r>
    <n v="406"/>
    <s v="121f643b-6e0c-47c6-87b6-b9a924207efa"/>
    <x v="0"/>
    <x v="1"/>
    <x v="3"/>
    <s v="в ипотеке"/>
    <s v="консолидация кредитов"/>
    <n v="260810"/>
    <n v="0"/>
    <n v="1168044"/>
    <n v="13076.56"/>
    <n v="19"/>
    <n v="35.265240640000002"/>
    <n v="11"/>
    <n v="180329"/>
    <n v="258742"/>
    <n v="1"/>
    <n v="-0.27774400124854431"/>
    <n v="0"/>
    <n v="0.40074137090909095"/>
    <n v="0.23809523809523808"/>
    <n v="0.14285714285714285"/>
    <n v="97337"/>
    <n v="0.13434315830568025"/>
  </r>
  <r>
    <n v="1988"/>
    <s v="075960b3-4f1a-40f2-a2aa-af722916315b"/>
    <x v="0"/>
    <x v="1"/>
    <x v="2"/>
    <s v="в аренде"/>
    <s v="консолидация кредитов"/>
    <n v="108702"/>
    <n v="747"/>
    <n v="600761"/>
    <n v="8711.1200000000008"/>
    <n v="10.4"/>
    <n v="35.265240640000002"/>
    <n v="5"/>
    <n v="94620"/>
    <n v="258412"/>
    <n v="0"/>
    <n v="-1.1437375728295205"/>
    <n v="0.9946737683089214"/>
    <n v="0.40074137090909095"/>
    <n v="9.5238095238095233E-2"/>
    <n v="0"/>
    <n v="50063.416666666664"/>
    <n v="0.17400170783389737"/>
  </r>
  <r>
    <n v="1130"/>
    <s v="e9577b96-ac54-40af-b20c-0cc40dd9a4a8"/>
    <x v="0"/>
    <x v="1"/>
    <x v="5"/>
    <s v="в аренде"/>
    <s v="консолидация кредитов"/>
    <n v="212366"/>
    <n v="712"/>
    <n v="872917"/>
    <n v="19931.38"/>
    <n v="19"/>
    <n v="42"/>
    <n v="20"/>
    <n v="200944"/>
    <n v="257928"/>
    <n v="0"/>
    <n v="-0.55354930130947999"/>
    <n v="0.94806924101198398"/>
    <n v="0.47727272727272729"/>
    <n v="0.45238095238095238"/>
    <n v="0"/>
    <n v="72743.083333333328"/>
    <n v="0.27399690921359077"/>
  </r>
  <r>
    <n v="742"/>
    <s v="716d4bf3-6479-428d-9979-904aaf7a453c"/>
    <x v="0"/>
    <x v="1"/>
    <x v="2"/>
    <s v="в аренде"/>
    <s v="консолидация кредитов"/>
    <n v="182028"/>
    <n v="723"/>
    <n v="655025"/>
    <n v="20251.150000000001"/>
    <n v="5"/>
    <n v="35.265240640000002"/>
    <n v="5"/>
    <n v="134045"/>
    <n v="257818"/>
    <n v="0"/>
    <n v="-0.72627205734219136"/>
    <n v="0.96271637816245004"/>
    <n v="0.40074137090909095"/>
    <n v="9.5238095238095233E-2"/>
    <n v="0"/>
    <n v="54585.416666666664"/>
    <n v="0.37099927483683831"/>
  </r>
  <r>
    <n v="1590"/>
    <s v="a18cb579-6dd3-484e-abd9-65846d31bca7"/>
    <x v="0"/>
    <x v="1"/>
    <x v="1"/>
    <s v="в аренде"/>
    <s v="консолидация кредитов"/>
    <n v="116138"/>
    <n v="718"/>
    <n v="361399"/>
    <n v="5421.08"/>
    <n v="24.5"/>
    <n v="35.265240640000002"/>
    <n v="7"/>
    <n v="180481"/>
    <n v="257048"/>
    <n v="0"/>
    <n v="-1.1014023360354259"/>
    <n v="0.95605858854860182"/>
    <n v="0.40074137090909095"/>
    <n v="0.14285714285714285"/>
    <n v="0"/>
    <n v="30116.583333333332"/>
    <n v="0.18000315440828557"/>
  </r>
  <r>
    <n v="959"/>
    <s v="47eadf69-2fea-43f2-885c-a76f7c92d7e1"/>
    <x v="1"/>
    <x v="1"/>
    <x v="2"/>
    <s v="в аренде"/>
    <s v="консолидация кредитов"/>
    <n v="109692"/>
    <n v="735"/>
    <n v="625252"/>
    <n v="5679.29"/>
    <n v="17.399999999999999"/>
    <n v="71"/>
    <n v="9"/>
    <n v="99180"/>
    <n v="256916"/>
    <n v="0"/>
    <n v="-1.1381012247356321"/>
    <n v="0.97869507323568572"/>
    <n v="0.80681818181818177"/>
    <n v="0.19047619047619047"/>
    <n v="0"/>
    <n v="52104.333333333336"/>
    <n v="0.10899841983712166"/>
  </r>
  <r>
    <n v="1453"/>
    <s v="5686a1f4-1250-4376-be77-51e222766d37"/>
    <x v="1"/>
    <x v="1"/>
    <x v="2"/>
    <s v="в собственности"/>
    <s v="консолидация кредитов"/>
    <n v="177144"/>
    <n v="0"/>
    <n v="1168044"/>
    <n v="9437.49"/>
    <n v="6.7"/>
    <n v="35.265240640000002"/>
    <n v="6"/>
    <n v="155268"/>
    <n v="256828"/>
    <n v="0"/>
    <n v="-0.75407804127204048"/>
    <n v="0"/>
    <n v="0.40074137090909095"/>
    <n v="0.11904761904761904"/>
    <n v="0"/>
    <n v="97337"/>
    <n v="9.6956861214132342E-2"/>
  </r>
  <r>
    <n v="1112"/>
    <s v="3e1dfda5-8c2b-4cae-9a5d-e7a3dc8be311"/>
    <x v="0"/>
    <x v="1"/>
    <x v="2"/>
    <s v="в аренде"/>
    <s v="иное"/>
    <n v="21934"/>
    <n v="702"/>
    <n v="729087"/>
    <n v="16039.8"/>
    <n v="15.3"/>
    <n v="35.265240640000002"/>
    <n v="10"/>
    <n v="135166"/>
    <n v="256586"/>
    <n v="0"/>
    <n v="-1.6377321702138667"/>
    <n v="0.93475366178428765"/>
    <n v="0.40074137090909095"/>
    <n v="0.21428571428571427"/>
    <n v="0"/>
    <n v="60757.25"/>
    <n v="0.26399812368071301"/>
  </r>
  <r>
    <n v="400"/>
    <s v="efe184e6-8ff3-437b-9990-9cd1870cadf3"/>
    <x v="0"/>
    <x v="0"/>
    <x v="5"/>
    <s v="в ипотеке"/>
    <s v="консолидация кредитов"/>
    <n v="516978"/>
    <n v="712"/>
    <n v="1261809"/>
    <n v="15457.07"/>
    <n v="11"/>
    <n v="35.265240640000002"/>
    <n v="15"/>
    <n v="179208"/>
    <n v="256190"/>
    <n v="0"/>
    <n v="1.1806923810900278"/>
    <n v="0.94806924101198398"/>
    <n v="0.40074137090909095"/>
    <n v="0.33333333333333331"/>
    <n v="0"/>
    <n v="105150.75"/>
    <n v="0.14699914170845191"/>
  </r>
  <r>
    <n v="245"/>
    <s v="6d3ed03d-9b0f-4730-857f-2c31484bcb0c"/>
    <x v="0"/>
    <x v="1"/>
    <x v="10"/>
    <s v="в ипотеке"/>
    <s v="консолидация кредитов"/>
    <n v="131032"/>
    <n v="0"/>
    <n v="1168044"/>
    <n v="2696.86"/>
    <n v="9.9"/>
    <n v="31"/>
    <n v="8"/>
    <n v="77520"/>
    <n v="255684"/>
    <n v="0"/>
    <n v="-1.0166066102673725"/>
    <n v="0"/>
    <n v="0.35227272727272729"/>
    <n v="0.16666666666666666"/>
    <n v="0"/>
    <n v="97337"/>
    <n v="2.7706422018348626E-2"/>
  </r>
  <r>
    <n v="1607"/>
    <s v="5b1d9cf7-d09c-4a2f-91c8-79ea213f3afb"/>
    <x v="0"/>
    <x v="1"/>
    <x v="1"/>
    <s v="в аренде"/>
    <s v="консолидация кредитов"/>
    <n v="309594.52439999999"/>
    <n v="714"/>
    <n v="556263"/>
    <n v="3504.55"/>
    <n v="9.8000000000000007"/>
    <n v="35.265240640000002"/>
    <n v="4"/>
    <n v="102866"/>
    <n v="255618"/>
    <n v="0"/>
    <n v="-1.2411115481956205E-10"/>
    <n v="0.95073235685752333"/>
    <n v="0.40074137090909095"/>
    <n v="7.1428571428571425E-2"/>
    <n v="0"/>
    <n v="46355.25"/>
    <n v="7.5602008402500254E-2"/>
  </r>
  <r>
    <n v="473"/>
    <s v="93bfe4f9-4421-4add-8e13-0a84235cee68"/>
    <x v="0"/>
    <x v="1"/>
    <x v="0"/>
    <s v="в аренде"/>
    <s v="консолидация кредитов"/>
    <n v="311608"/>
    <n v="0"/>
    <n v="1168044"/>
    <n v="19115.14"/>
    <n v="15.9"/>
    <n v="35.265240640000002"/>
    <n v="8"/>
    <n v="120460"/>
    <n v="255464"/>
    <n v="0"/>
    <n v="1.1463282057859245E-2"/>
    <n v="0"/>
    <n v="0.40074137090909095"/>
    <n v="0.16666666666666666"/>
    <n v="0"/>
    <n v="97337"/>
    <n v="0.19638102674214328"/>
  </r>
  <r>
    <n v="1244"/>
    <s v="cd02c9c2-4702-4252-9e7c-5e7577942a3a"/>
    <x v="0"/>
    <x v="1"/>
    <x v="1"/>
    <s v="в собственности"/>
    <s v="консолидация кредитов"/>
    <n v="154594"/>
    <n v="0"/>
    <n v="1168044"/>
    <n v="10075.51"/>
    <n v="12.7"/>
    <n v="35.265240640000002"/>
    <n v="7"/>
    <n v="97280"/>
    <n v="255420"/>
    <n v="0"/>
    <n v="-0.88246152563283031"/>
    <n v="0"/>
    <n v="0.40074137090909095"/>
    <n v="0.14285714285714285"/>
    <n v="0"/>
    <n v="97337"/>
    <n v="0.10351161428850283"/>
  </r>
  <r>
    <n v="1794"/>
    <s v="cac82069-9262-42f7-b497-c5e38d7c743b"/>
    <x v="1"/>
    <x v="0"/>
    <x v="6"/>
    <s v="в ипотеке"/>
    <s v="консолидация кредитов"/>
    <n v="370282"/>
    <n v="680"/>
    <n v="999001"/>
    <n v="11155.47"/>
    <n v="15.5"/>
    <n v="35.265240640000002"/>
    <n v="10"/>
    <n v="26904"/>
    <n v="255288"/>
    <n v="1"/>
    <n v="0.34551084575564106"/>
    <n v="0.90545938748335553"/>
    <n v="0.40074137090909095"/>
    <n v="0.21428571428571427"/>
    <n v="0.14285714285714285"/>
    <n v="83250.083333333328"/>
    <n v="0.13399950550600048"/>
  </r>
  <r>
    <n v="722"/>
    <s v="cf1765cc-be60-4fe6-8b18-249245fa037a"/>
    <x v="0"/>
    <x v="1"/>
    <x v="2"/>
    <s v="в ипотеке"/>
    <s v="консолидация кредитов"/>
    <n v="216128"/>
    <n v="715"/>
    <n v="1175929"/>
    <n v="15483.1"/>
    <n v="32.299999999999997"/>
    <n v="35.265240640000002"/>
    <n v="12"/>
    <n v="137332"/>
    <n v="255222"/>
    <n v="2"/>
    <n v="-0.53213117855270442"/>
    <n v="0.95206391478029295"/>
    <n v="0.40074137090909095"/>
    <n v="0.26190476190476192"/>
    <n v="0.2857142857142857"/>
    <n v="97994.083333333328"/>
    <n v="0.15800035546363769"/>
  </r>
  <r>
    <n v="1436"/>
    <s v="9e13a612-6c1e-461d-b830-e77e5752c2b5"/>
    <x v="0"/>
    <x v="1"/>
    <x v="1"/>
    <s v="в аренде"/>
    <s v="консолидация кредитов"/>
    <n v="110836"/>
    <n v="742"/>
    <n v="765700"/>
    <n v="3407.46"/>
    <n v="13.9"/>
    <n v="35.265240640000002"/>
    <n v="5"/>
    <n v="107293"/>
    <n v="255090"/>
    <n v="0"/>
    <n v="-1.1315881113826947"/>
    <n v="0.98801597869507318"/>
    <n v="0.40074137090909095"/>
    <n v="9.5238095238095233E-2"/>
    <n v="0"/>
    <n v="63808.333333333336"/>
    <n v="5.3401488833746895E-2"/>
  </r>
  <r>
    <n v="432"/>
    <s v="b36af03c-aabf-4817-a356-cba3f9b80aa0"/>
    <x v="1"/>
    <x v="1"/>
    <x v="1"/>
    <s v="в ипотеке"/>
    <s v="консолидация кредитов"/>
    <n v="207636"/>
    <n v="0"/>
    <n v="1168044"/>
    <n v="15330.53"/>
    <n v="19.7"/>
    <n v="8"/>
    <n v="9"/>
    <n v="184281"/>
    <n v="254936"/>
    <n v="0"/>
    <n v="-0.58047851998027988"/>
    <n v="0"/>
    <n v="9.0909090909090912E-2"/>
    <n v="0.19047619047619047"/>
    <n v="0"/>
    <n v="97337"/>
    <n v="0.15749951200468476"/>
  </r>
  <r>
    <n v="1678"/>
    <s v="2afaa2bf-afe8-40eb-851b-c076bd9217e7"/>
    <x v="0"/>
    <x v="0"/>
    <x v="1"/>
    <s v="в ипотеке"/>
    <s v="консолидация кредитов"/>
    <n v="482944"/>
    <n v="696"/>
    <n v="1327872"/>
    <n v="11618.88"/>
    <n v="22.8"/>
    <n v="39"/>
    <n v="10"/>
    <n v="207974"/>
    <n v="254540"/>
    <n v="0"/>
    <n v="0.98692725884013333"/>
    <n v="0.92676431424766981"/>
    <n v="0.44318181818181818"/>
    <n v="0.21428571428571427"/>
    <n v="0"/>
    <n v="110656"/>
    <n v="0.105"/>
  </r>
  <r>
    <n v="1380"/>
    <s v="d5d149e7-5918-478c-8af0-889eb06e4352"/>
    <x v="0"/>
    <x v="1"/>
    <x v="0"/>
    <s v="в аренде"/>
    <s v="иное"/>
    <n v="309594.52439999999"/>
    <n v="720"/>
    <n v="2003854"/>
    <n v="14294.27"/>
    <n v="22.6"/>
    <n v="35.265240640000002"/>
    <n v="9"/>
    <n v="137446"/>
    <n v="254232"/>
    <n v="1"/>
    <n v="-1.2411115481956205E-10"/>
    <n v="0.95872170439414117"/>
    <n v="0.40074137090909095"/>
    <n v="0.19047619047619047"/>
    <n v="0.14285714285714285"/>
    <n v="166987.83333333334"/>
    <n v="8.5600667513701101E-2"/>
  </r>
  <r>
    <n v="1804"/>
    <s v="07c42abf-3348-4081-8c53-e45d06833ecc"/>
    <x v="1"/>
    <x v="1"/>
    <x v="1"/>
    <s v="в аренде"/>
    <s v="консолидация кредитов"/>
    <n v="232540"/>
    <n v="0"/>
    <n v="1168044"/>
    <n v="18534.12"/>
    <n v="13.4"/>
    <n v="35.265240640000002"/>
    <n v="13"/>
    <n v="159847"/>
    <n v="253902"/>
    <n v="0"/>
    <n v="-0.43869305237402223"/>
    <n v="0"/>
    <n v="0.40074137090909095"/>
    <n v="0.2857142857142857"/>
    <n v="0"/>
    <n v="97337"/>
    <n v="0.19041186804606675"/>
  </r>
  <r>
    <n v="892"/>
    <s v="5fd1a1d0-ab03-4eb3-89a0-d761f6e2fe09"/>
    <x v="1"/>
    <x v="0"/>
    <x v="5"/>
    <s v="в аренде"/>
    <s v="консолидация кредитов"/>
    <n v="331188"/>
    <n v="641"/>
    <n v="1525472"/>
    <n v="17924.22"/>
    <n v="28.9"/>
    <n v="51"/>
    <n v="12"/>
    <n v="208506"/>
    <n v="253858"/>
    <n v="0"/>
    <n v="0.12293772213698403"/>
    <n v="0.8535286284953395"/>
    <n v="0.57954545454545459"/>
    <n v="0.26190476190476192"/>
    <n v="0"/>
    <n v="127122.66666666667"/>
    <n v="0.1409994021522519"/>
  </r>
  <r>
    <n v="638"/>
    <s v="2d43639a-7c09-4b47-86f4-359d631fb58b"/>
    <x v="0"/>
    <x v="1"/>
    <x v="1"/>
    <s v="в собственности"/>
    <s v="приобретение автомобиля"/>
    <n v="61358"/>
    <n v="726"/>
    <n v="756884"/>
    <n v="19048.259999999998"/>
    <n v="21.5"/>
    <n v="27"/>
    <n v="9"/>
    <n v="134615"/>
    <n v="251812"/>
    <n v="0"/>
    <n v="-1.413280263897247"/>
    <n v="0.96671105193075901"/>
    <n v="0.30681818181818182"/>
    <n v="0.19047619047619047"/>
    <n v="0"/>
    <n v="63073.666666666664"/>
    <n v="0.30200020082337581"/>
  </r>
  <r>
    <n v="94"/>
    <s v="f4a63c54-c7b6-4132-a5c1-160b09c0a1cf"/>
    <x v="0"/>
    <x v="1"/>
    <x v="8"/>
    <s v="в ипотеке"/>
    <s v="ремонт жилья"/>
    <n v="156772"/>
    <n v="748"/>
    <n v="1411966"/>
    <n v="22591.38"/>
    <n v="18"/>
    <n v="73"/>
    <n v="10"/>
    <n v="38456"/>
    <n v="251548"/>
    <n v="0"/>
    <n v="-0.87006155982627598"/>
    <n v="0.99600532623169102"/>
    <n v="0.82954545454545459"/>
    <n v="0.21428571428571427"/>
    <n v="0"/>
    <n v="117663.83333333333"/>
    <n v="0.19199935409209573"/>
  </r>
  <r>
    <n v="213"/>
    <s v="660e1e64-6904-4904-acd7-6c7dc096bbfc"/>
    <x v="0"/>
    <x v="1"/>
    <x v="1"/>
    <s v="в ипотеке"/>
    <s v="консолидация кредитов"/>
    <n v="205854"/>
    <n v="717"/>
    <n v="1898860"/>
    <n v="31647.73"/>
    <n v="22.3"/>
    <n v="15"/>
    <n v="6"/>
    <n v="195738"/>
    <n v="251284"/>
    <n v="0"/>
    <n v="-0.59062394654927886"/>
    <n v="0.9547270306258322"/>
    <n v="0.17045454545454544"/>
    <n v="0.11904761904761904"/>
    <n v="0"/>
    <n v="158238.33333333334"/>
    <n v="0.20000040024014407"/>
  </r>
  <r>
    <n v="647"/>
    <s v="a510c793-480a-4511-bce4-fef730ce2a10"/>
    <x v="0"/>
    <x v="1"/>
    <x v="2"/>
    <s v="в аренде"/>
    <s v="консолидация кредитов"/>
    <n v="195712"/>
    <n v="0"/>
    <n v="1168044"/>
    <n v="25070.69"/>
    <n v="14.7"/>
    <n v="23"/>
    <n v="18"/>
    <n v="154850"/>
    <n v="251130"/>
    <n v="0"/>
    <n v="-0.64836520146666821"/>
    <n v="0"/>
    <n v="0.26136363636363635"/>
    <n v="0.40476190476190477"/>
    <n v="0"/>
    <n v="97337"/>
    <n v="0.25756587936755804"/>
  </r>
  <r>
    <n v="289"/>
    <s v="0abf8e06-2433-4009-8ad5-adf64ddc80c8"/>
    <x v="0"/>
    <x v="1"/>
    <x v="9"/>
    <s v="в аренде"/>
    <s v="консолидация кредитов"/>
    <n v="132022"/>
    <n v="727"/>
    <n v="855095"/>
    <n v="14180.08"/>
    <n v="17.600000000000001"/>
    <n v="55"/>
    <n v="10"/>
    <n v="130131"/>
    <n v="251108"/>
    <n v="0"/>
    <n v="-1.0109702621734842"/>
    <n v="0.96804260985352863"/>
    <n v="0.625"/>
    <n v="0.21428571428571427"/>
    <n v="0"/>
    <n v="71257.916666666672"/>
    <n v="0.19899655593822907"/>
  </r>
  <r>
    <n v="386"/>
    <s v="160993af-7836-4e58-9f0c-1c894dc1b764"/>
    <x v="1"/>
    <x v="1"/>
    <x v="1"/>
    <s v="в ипотеке"/>
    <s v="консолидация кредитов"/>
    <n v="767690"/>
    <n v="731"/>
    <n v="1629098"/>
    <n v="14118.71"/>
    <n v="16.8"/>
    <n v="35.265240640000002"/>
    <n v="6"/>
    <n v="167371"/>
    <n v="250074"/>
    <n v="0"/>
    <n v="2.608066222822282"/>
    <n v="0.97336884154460723"/>
    <n v="0.40074137090909095"/>
    <n v="0.11904761904761904"/>
    <n v="0"/>
    <n v="135758.16666666666"/>
    <n v="0.1039989736651816"/>
  </r>
  <r>
    <n v="1760"/>
    <s v="bd1e4061-1540-4680-846c-316f10d23c63"/>
    <x v="1"/>
    <x v="1"/>
    <x v="1"/>
    <s v="в аренде"/>
    <s v="консолидация кредитов"/>
    <n v="199078"/>
    <n v="721"/>
    <n v="1031548"/>
    <n v="20716.84"/>
    <n v="37.1"/>
    <n v="70"/>
    <n v="10"/>
    <n v="163001"/>
    <n v="249986"/>
    <n v="0"/>
    <n v="-0.62920161794744789"/>
    <n v="0.96005326231691079"/>
    <n v="0.79545454545454541"/>
    <n v="0.21428571428571427"/>
    <n v="0"/>
    <n v="85962.333333333328"/>
    <n v="0.24099904221616447"/>
  </r>
  <r>
    <n v="806"/>
    <s v="ab2514e8-3bd4-4d64-8fd0-40533b132227"/>
    <x v="0"/>
    <x v="1"/>
    <x v="3"/>
    <s v="в аренде"/>
    <s v="консолидация кредитов"/>
    <n v="264924"/>
    <n v="0"/>
    <n v="1168044"/>
    <n v="12297.94"/>
    <n v="20"/>
    <n v="36"/>
    <n v="6"/>
    <n v="132924"/>
    <n v="249480"/>
    <n v="0"/>
    <n v="-0.25432184361394167"/>
    <n v="0"/>
    <n v="0.40909090909090912"/>
    <n v="0.11904761904761904"/>
    <n v="0"/>
    <n v="97337"/>
    <n v="0.12634393909818467"/>
  </r>
  <r>
    <n v="1778"/>
    <s v="e505cd69-a36a-4b1c-94a3-2a0a52ceb2db"/>
    <x v="0"/>
    <x v="1"/>
    <x v="6"/>
    <s v="в ипотеке"/>
    <s v="консолидация кредитов"/>
    <n v="184536"/>
    <n v="0"/>
    <n v="1168044"/>
    <n v="15721.17"/>
    <n v="18.5"/>
    <n v="35.265240640000002"/>
    <n v="10"/>
    <n v="55138"/>
    <n v="249392"/>
    <n v="1"/>
    <n v="-0.71199330883767431"/>
    <n v="0"/>
    <n v="0.40074137090909095"/>
    <n v="0.21428571428571427"/>
    <n v="0.14285714285714285"/>
    <n v="97337"/>
    <n v="0.16151278547725942"/>
  </r>
  <r>
    <n v="528"/>
    <s v="c0144ec8-abb0-447e-8637-063a93f1a6dd"/>
    <x v="0"/>
    <x v="0"/>
    <x v="4"/>
    <s v="в ипотеке"/>
    <s v="Медицинские счета"/>
    <n v="264836"/>
    <n v="703"/>
    <n v="1277066"/>
    <n v="14473.44"/>
    <n v="17.2"/>
    <n v="35.265240640000002"/>
    <n v="7"/>
    <n v="40280"/>
    <n v="249370"/>
    <n v="0"/>
    <n v="-0.25482285233339841"/>
    <n v="0.93608521970705727"/>
    <n v="0.40074137090909095"/>
    <n v="0.14285714285714285"/>
    <n v="0"/>
    <n v="106422.16666666667"/>
    <n v="0.13600023804564526"/>
  </r>
  <r>
    <n v="1880"/>
    <s v="8ff8af7c-4658-467d-96b4-06f68a9fc489"/>
    <x v="0"/>
    <x v="1"/>
    <x v="3"/>
    <s v="в аренде"/>
    <s v="консолидация кредитов"/>
    <n v="263846"/>
    <n v="724"/>
    <n v="759544"/>
    <n v="13355.29"/>
    <n v="12.5"/>
    <n v="25"/>
    <n v="10"/>
    <n v="123253"/>
    <n v="248622"/>
    <n v="0"/>
    <n v="-0.26045920042728676"/>
    <n v="0.96404793608521966"/>
    <n v="0.28409090909090912"/>
    <n v="0.21428571428571427"/>
    <n v="0"/>
    <n v="63295.333333333336"/>
    <n v="0.21099959975985591"/>
  </r>
  <r>
    <n v="357"/>
    <s v="cf3d93fb-6762-4a14-afa9-05b252698f34"/>
    <x v="0"/>
    <x v="1"/>
    <x v="1"/>
    <s v="в аренде"/>
    <s v="консолидация кредитов"/>
    <n v="131934"/>
    <n v="0"/>
    <n v="1168044"/>
    <n v="10640.95"/>
    <n v="16.7"/>
    <n v="47"/>
    <n v="7"/>
    <n v="136154"/>
    <n v="248270"/>
    <n v="0"/>
    <n v="-1.011471270892941"/>
    <n v="0"/>
    <n v="0.53409090909090906"/>
    <n v="0.14285714285714285"/>
    <n v="0"/>
    <n v="97337"/>
    <n v="0.109320710521179"/>
  </r>
  <r>
    <n v="1859"/>
    <s v="4d450bf0-9372-4462-8e7b-21922366b1d5"/>
    <x v="0"/>
    <x v="1"/>
    <x v="1"/>
    <s v="в аренде"/>
    <s v="консолидация кредитов"/>
    <n v="163548"/>
    <n v="739"/>
    <n v="405859"/>
    <n v="4160.05"/>
    <n v="12.4"/>
    <n v="66"/>
    <n v="11"/>
    <n v="63460"/>
    <n v="247390"/>
    <n v="1"/>
    <n v="-0.83148388842810694"/>
    <n v="0.98402130492676432"/>
    <n v="0.75"/>
    <n v="0.23809523809523808"/>
    <n v="0.14285714285714285"/>
    <n v="33821.583333333336"/>
    <n v="0.12299985955713684"/>
  </r>
  <r>
    <n v="1434"/>
    <s v="da591410-ac89-4bdb-9dbb-a4dc0a514350"/>
    <x v="0"/>
    <x v="1"/>
    <x v="1"/>
    <s v="в ипотеке"/>
    <s v="консолидация кредитов"/>
    <n v="24684"/>
    <n v="724"/>
    <n v="697547"/>
    <n v="18310.490000000002"/>
    <n v="13.3"/>
    <n v="35.265240640000002"/>
    <n v="6"/>
    <n v="31445"/>
    <n v="246026"/>
    <n v="0"/>
    <n v="-1.6220756477308436"/>
    <n v="0.96404793608521966"/>
    <n v="0.40074137090909095"/>
    <n v="0.11904761904761904"/>
    <n v="0"/>
    <n v="58128.916666666664"/>
    <n v="0.31499795712690332"/>
  </r>
  <r>
    <n v="631"/>
    <s v="2b1de31e-8f93-40ce-b05d-d4628b1d9fe2"/>
    <x v="0"/>
    <x v="1"/>
    <x v="8"/>
    <s v="в аренде"/>
    <s v="консолидация кредитов"/>
    <n v="86988"/>
    <n v="0"/>
    <n v="1168044"/>
    <n v="1991.96"/>
    <n v="10.199999999999999"/>
    <n v="35.265240640000002"/>
    <n v="5"/>
    <n v="80294"/>
    <n v="245982"/>
    <n v="0"/>
    <n v="-1.2673614743554713"/>
    <n v="0"/>
    <n v="0.40074137090909095"/>
    <n v="9.5238095238095233E-2"/>
    <n v="0"/>
    <n v="97337"/>
    <n v="2.0464571540113215E-2"/>
  </r>
  <r>
    <n v="1924"/>
    <s v="1f76e90b-5417-497a-b134-8f4d2478f3f0"/>
    <x v="0"/>
    <x v="1"/>
    <x v="5"/>
    <s v="в ипотеке"/>
    <s v="консолидация кредитов"/>
    <n v="261140"/>
    <n v="0"/>
    <n v="1168044"/>
    <n v="13720.28"/>
    <n v="42.7"/>
    <n v="19"/>
    <n v="8"/>
    <n v="147307"/>
    <n v="245784"/>
    <n v="0"/>
    <n v="-0.27586521855058155"/>
    <n v="0"/>
    <n v="0.21590909090909091"/>
    <n v="0.16666666666666666"/>
    <n v="0"/>
    <n v="97337"/>
    <n v="0.14095647081788015"/>
  </r>
  <r>
    <n v="1045"/>
    <s v="2191e828-577b-4210-a501-e7de13aac82d"/>
    <x v="0"/>
    <x v="0"/>
    <x v="3"/>
    <s v="в собственности"/>
    <s v="консолидация кредитов"/>
    <n v="353826"/>
    <n v="0"/>
    <n v="1168044"/>
    <n v="13120.83"/>
    <n v="20"/>
    <n v="16"/>
    <n v="2"/>
    <n v="200355"/>
    <n v="245498"/>
    <n v="0"/>
    <n v="0.25182221521723058"/>
    <n v="0"/>
    <n v="0.18181818181818182"/>
    <n v="2.3809523809523808E-2"/>
    <n v="0"/>
    <n v="97337"/>
    <n v="0.13479796993948859"/>
  </r>
  <r>
    <n v="561"/>
    <s v="09ee63a5-6cb1-4932-af98-24c383ed9ce5"/>
    <x v="0"/>
    <x v="1"/>
    <x v="2"/>
    <s v="в аренде"/>
    <s v="консолидация кредитов"/>
    <n v="110462"/>
    <n v="738"/>
    <n v="1526384"/>
    <n v="5075.28"/>
    <n v="23.4"/>
    <n v="69"/>
    <n v="6"/>
    <n v="175864"/>
    <n v="245344"/>
    <n v="0"/>
    <n v="-1.1337173984403857"/>
    <n v="0.9826897470039947"/>
    <n v="0.78409090909090906"/>
    <n v="0.11904761904761904"/>
    <n v="0"/>
    <n v="127198.66666666667"/>
    <n v="3.9900418243377811E-2"/>
  </r>
  <r>
    <n v="25"/>
    <s v="54f57722-2473-4dd8-b69b-82b5b0c1c9f9"/>
    <x v="0"/>
    <x v="0"/>
    <x v="0"/>
    <s v="в ипотеке"/>
    <s v="консолидация кредитов"/>
    <n v="244926"/>
    <n v="704"/>
    <n v="1249953"/>
    <n v="6812.26"/>
    <n v="14.4"/>
    <n v="35.265240640000002"/>
    <n v="6"/>
    <n v="143051"/>
    <n v="245014"/>
    <n v="1"/>
    <n v="-0.368176075110486"/>
    <n v="0.93741677762982689"/>
    <n v="0.40074137090909095"/>
    <n v="0.11904761904761904"/>
    <n v="0.14285714285714285"/>
    <n v="104162.75"/>
    <n v="6.540015504582973E-2"/>
  </r>
  <r>
    <n v="1080"/>
    <s v="5e4a0a10-4dfd-4f9f-85c2-abfbd448a5c0"/>
    <x v="1"/>
    <x v="1"/>
    <x v="6"/>
    <s v="в аренде"/>
    <s v="консолидация кредитов"/>
    <n v="98406"/>
    <n v="684"/>
    <n v="660953"/>
    <n v="4742.3999999999996"/>
    <n v="17.399999999999999"/>
    <n v="35.265240640000002"/>
    <n v="8"/>
    <n v="153121"/>
    <n v="244882"/>
    <n v="0"/>
    <n v="-1.2023555930059593"/>
    <n v="0.91078561917443412"/>
    <n v="0.40074137090909095"/>
    <n v="0.16666666666666666"/>
    <n v="0"/>
    <n v="55079.416666666664"/>
    <n v="8.6101129732371287E-2"/>
  </r>
  <r>
    <n v="1951"/>
    <s v="5c828bae-028e-4c5c-a1d8-a2748735b6d6"/>
    <x v="1"/>
    <x v="1"/>
    <x v="1"/>
    <s v="в аренде"/>
    <s v="консолидация кредитов"/>
    <n v="273922"/>
    <n v="704"/>
    <n v="1038616"/>
    <n v="13069.34"/>
    <n v="16.2"/>
    <n v="35.265240640000002"/>
    <n v="11"/>
    <n v="201970"/>
    <n v="244882"/>
    <n v="0"/>
    <n v="-0.20309370204948995"/>
    <n v="0.93741677762982689"/>
    <n v="0.40074137090909095"/>
    <n v="0.23809523809523808"/>
    <n v="0"/>
    <n v="86551.333333333328"/>
    <n v="0.1510010244402166"/>
  </r>
  <r>
    <n v="494"/>
    <s v="7090815a-263d-4b9d-9e35-06f8df9ddfd2"/>
    <x v="0"/>
    <x v="1"/>
    <x v="2"/>
    <s v="в аренде"/>
    <s v="приобретение жилья"/>
    <n v="309594.52439999999"/>
    <n v="748"/>
    <n v="902538"/>
    <n v="14688.71"/>
    <n v="26.5"/>
    <n v="35.265240640000002"/>
    <n v="6"/>
    <n v="3173"/>
    <n v="244750"/>
    <n v="0"/>
    <n v="-1.2411115481956205E-10"/>
    <n v="0.99600532623169102"/>
    <n v="0.40074137090909095"/>
    <n v="0.11904761904761904"/>
    <n v="0"/>
    <n v="75211.5"/>
    <n v="0.1952987242642415"/>
  </r>
  <r>
    <n v="127"/>
    <s v="eb9b4903-d0df-4a68-bec9-00583ed78f33"/>
    <x v="0"/>
    <x v="1"/>
    <x v="5"/>
    <s v="в аренде"/>
    <s v="консолидация кредитов"/>
    <n v="133078"/>
    <n v="709"/>
    <n v="804460"/>
    <n v="9117.34"/>
    <n v="12.5"/>
    <n v="35.265240640000002"/>
    <n v="10"/>
    <n v="111568"/>
    <n v="243760"/>
    <n v="0"/>
    <n v="-1.0049581575400033"/>
    <n v="0.94407456724367511"/>
    <n v="0.40074137090909095"/>
    <n v="0.21428571428571427"/>
    <n v="0"/>
    <n v="67038.333333333328"/>
    <n v="0.13600188946622579"/>
  </r>
  <r>
    <n v="1623"/>
    <s v="6fb791ca-5124-4149-a445-b9f1bc40d990"/>
    <x v="0"/>
    <x v="1"/>
    <x v="1"/>
    <s v="в аренде"/>
    <s v="приобретение автомобиля"/>
    <n v="65230"/>
    <n v="741"/>
    <n v="1107776"/>
    <n v="5686.7"/>
    <n v="18.2"/>
    <n v="35.265240640000002"/>
    <n v="7"/>
    <n v="36347"/>
    <n v="243298"/>
    <n v="0"/>
    <n v="-1.3912358802411504"/>
    <n v="0.98668442077230356"/>
    <n v="0.40074137090909095"/>
    <n v="0.14285714285714285"/>
    <n v="0"/>
    <n v="92314.666666666672"/>
    <n v="6.1601262349066953E-2"/>
  </r>
  <r>
    <n v="772"/>
    <s v="2ae52dc5-742e-4377-b498-2070e163aa1d"/>
    <x v="0"/>
    <x v="1"/>
    <x v="1"/>
    <s v="в ипотеке"/>
    <s v="консолидация кредитов"/>
    <n v="137852"/>
    <n v="732"/>
    <n v="1395227"/>
    <n v="2813.71"/>
    <n v="21.2"/>
    <n v="52"/>
    <n v="10"/>
    <n v="76627"/>
    <n v="243078"/>
    <n v="0"/>
    <n v="-0.97777843450947521"/>
    <n v="0.97470039946737685"/>
    <n v="0.59090909090909094"/>
    <n v="0.21428571428571427"/>
    <n v="0"/>
    <n v="116268.91666666667"/>
    <n v="2.4200019064998024E-2"/>
  </r>
  <r>
    <n v="373"/>
    <s v="0cdf50b9-efc7-4577-8bf6-6ff6ffdf86c1"/>
    <x v="0"/>
    <x v="1"/>
    <x v="1"/>
    <s v="в ипотеке"/>
    <s v="консолидация кредитов"/>
    <n v="353232"/>
    <n v="712"/>
    <n v="823707"/>
    <n v="13659.67"/>
    <n v="9.8000000000000007"/>
    <n v="41"/>
    <n v="9"/>
    <n v="117496"/>
    <n v="242968"/>
    <n v="0"/>
    <n v="0.24844040636089756"/>
    <n v="0.94806924101198398"/>
    <n v="0.46590909090909088"/>
    <n v="0.19047619047619047"/>
    <n v="0"/>
    <n v="68642.25"/>
    <n v="0.1989979932184624"/>
  </r>
  <r>
    <n v="83"/>
    <s v="ac460fac-928b-4149-b919-69ea4eb9750f"/>
    <x v="0"/>
    <x v="0"/>
    <x v="10"/>
    <s v="в ипотеке"/>
    <s v="консолидация кредитов"/>
    <n v="392282"/>
    <n v="688"/>
    <n v="974662"/>
    <n v="10396.42"/>
    <n v="12"/>
    <n v="10"/>
    <n v="11"/>
    <n v="35663"/>
    <n v="242946"/>
    <n v="0"/>
    <n v="0.47076302561982625"/>
    <n v="0.91611185086551261"/>
    <n v="0.11363636363636363"/>
    <n v="0.23809523809523808"/>
    <n v="0"/>
    <n v="81221.833333333328"/>
    <n v="0.12800031190299818"/>
  </r>
  <r>
    <n v="1622"/>
    <s v="ced8bb43-4628-43bb-8018-eeb25fc8403e"/>
    <x v="1"/>
    <x v="0"/>
    <x v="1"/>
    <s v="в ипотеке"/>
    <s v="консолидация кредитов"/>
    <n v="242748"/>
    <n v="680"/>
    <n v="795910"/>
    <n v="8887.44"/>
    <n v="11.3"/>
    <n v="28"/>
    <n v="6"/>
    <n v="111169"/>
    <n v="242880"/>
    <n v="1"/>
    <n v="-0.38057604091704034"/>
    <n v="0.90545938748335553"/>
    <n v="0.31818181818181818"/>
    <n v="0.11904761904761904"/>
    <n v="0.14285714285714285"/>
    <n v="66325.833333333328"/>
    <n v="0.1339966579135832"/>
  </r>
  <r>
    <n v="384"/>
    <s v="96014749-34d9-4449-9a6d-874b6b762986"/>
    <x v="1"/>
    <x v="1"/>
    <x v="1"/>
    <s v="в аренде"/>
    <s v="консолидация кредитов"/>
    <n v="79948"/>
    <n v="741"/>
    <n v="230147"/>
    <n v="4372.66"/>
    <n v="8.9"/>
    <n v="35.265240640000002"/>
    <n v="11"/>
    <n v="110086"/>
    <n v="242792"/>
    <n v="0"/>
    <n v="-1.3074421719120106"/>
    <n v="0.98668442077230356"/>
    <n v="0.40074137090909095"/>
    <n v="0.23809523809523808"/>
    <n v="0"/>
    <n v="19178.916666666668"/>
    <n v="0.2279930653017419"/>
  </r>
  <r>
    <n v="1200"/>
    <s v="ef838dab-52d7-419c-b66e-b16a2c051ddd"/>
    <x v="0"/>
    <x v="1"/>
    <x v="8"/>
    <s v="в ипотеке"/>
    <s v="консолидация кредитов"/>
    <n v="343552"/>
    <n v="0"/>
    <n v="1168044"/>
    <n v="12334.23"/>
    <n v="18"/>
    <n v="41"/>
    <n v="7"/>
    <n v="160550"/>
    <n v="242704"/>
    <n v="0"/>
    <n v="0.19332944722065609"/>
    <n v="0"/>
    <n v="0.46590909090909088"/>
    <n v="0.14285714285714285"/>
    <n v="0"/>
    <n v="97337"/>
    <n v="0.12671676751903183"/>
  </r>
  <r>
    <n v="1501"/>
    <s v="3c5478e3-eabc-4103-af2c-c132af2998e7"/>
    <x v="1"/>
    <x v="1"/>
    <x v="5"/>
    <s v="в аренде"/>
    <s v="иное"/>
    <n v="107448"/>
    <n v="692"/>
    <n v="668059"/>
    <n v="4804.53"/>
    <n v="17.399999999999999"/>
    <n v="35.265240640000002"/>
    <n v="4"/>
    <n v="131404"/>
    <n v="242660"/>
    <n v="0"/>
    <n v="-1.150876947081779"/>
    <n v="0.92143808255659121"/>
    <n v="0.40074137090909095"/>
    <n v="7.1428571428571425E-2"/>
    <n v="0"/>
    <n v="55671.583333333336"/>
    <n v="8.6301299735502393E-2"/>
  </r>
  <r>
    <n v="1320"/>
    <s v="48ecb5f6-bd0f-4c88-b254-74e8e1eeb814"/>
    <x v="0"/>
    <x v="1"/>
    <x v="1"/>
    <s v="в аренде"/>
    <s v="консолидация кредитов"/>
    <n v="325512"/>
    <n v="713"/>
    <n v="930601"/>
    <n v="15044.77"/>
    <n v="12.2"/>
    <n v="20"/>
    <n v="6"/>
    <n v="161025"/>
    <n v="242462"/>
    <n v="0"/>
    <n v="9.0622659732024269E-2"/>
    <n v="0.94940079893475371"/>
    <n v="0.22727272727272727"/>
    <n v="0.11904761904761904"/>
    <n v="0"/>
    <n v="77550.083333333328"/>
    <n v="0.19400069417505464"/>
  </r>
  <r>
    <n v="1063"/>
    <s v="fe6a921b-f70f-4901-ad30-1c15b6bf5f27"/>
    <x v="0"/>
    <x v="1"/>
    <x v="1"/>
    <s v="в ипотеке"/>
    <s v="консолидация кредитов"/>
    <n v="455400"/>
    <n v="732"/>
    <n v="1375581"/>
    <n v="23384.82"/>
    <n v="19.7"/>
    <n v="69"/>
    <n v="7"/>
    <n v="186352"/>
    <n v="242198"/>
    <n v="0"/>
    <n v="0.83011152965017343"/>
    <n v="0.97470039946737685"/>
    <n v="0.78409090909090906"/>
    <n v="0.14285714285714285"/>
    <n v="0"/>
    <n v="114631.75"/>
    <n v="0.20399950275556292"/>
  </r>
  <r>
    <n v="1027"/>
    <s v="4b0824a8-9ef4-4e93-889d-d120ebe5c5e1"/>
    <x v="0"/>
    <x v="1"/>
    <x v="7"/>
    <s v="в аренде"/>
    <s v="консолидация кредитов"/>
    <n v="82126"/>
    <n v="717"/>
    <n v="2015672"/>
    <n v="23180.38"/>
    <n v="24"/>
    <n v="35.265240640000002"/>
    <n v="8"/>
    <n v="157016"/>
    <n v="242088"/>
    <n v="0"/>
    <n v="-1.2950422061054563"/>
    <n v="0.9547270306258322"/>
    <n v="0.40074137090909095"/>
    <n v="0.16666666666666666"/>
    <n v="0"/>
    <n v="167972.66666666666"/>
    <n v="0.13800090490913205"/>
  </r>
  <r>
    <n v="604"/>
    <s v="4d35c0ce-d663-4b9f-a2ee-fe39e6006659"/>
    <x v="0"/>
    <x v="1"/>
    <x v="6"/>
    <s v="в ипотеке"/>
    <s v="ремонт жилья"/>
    <n v="266068"/>
    <n v="0"/>
    <n v="1168044"/>
    <n v="2970.46"/>
    <n v="20.7"/>
    <n v="52"/>
    <n v="13"/>
    <n v="97717"/>
    <n v="241758"/>
    <n v="2"/>
    <n v="-0.24780873026100406"/>
    <n v="0"/>
    <n v="0.59090909090909094"/>
    <n v="0.2857142857142857"/>
    <n v="0.2857142857142857"/>
    <n v="97337"/>
    <n v="3.0517275034159672E-2"/>
  </r>
  <r>
    <n v="1789"/>
    <s v="22bfc751-6e54-4906-81b1-02a8c53236c5"/>
    <x v="0"/>
    <x v="1"/>
    <x v="10"/>
    <s v="в ипотеке"/>
    <s v="консолидация кредитов"/>
    <n v="766920"/>
    <n v="0"/>
    <n v="1168044"/>
    <n v="43296.63"/>
    <n v="18.5"/>
    <n v="7"/>
    <n v="15"/>
    <n v="125780"/>
    <n v="241538"/>
    <n v="0"/>
    <n v="2.6036823965270353"/>
    <n v="0"/>
    <n v="7.9545454545454544E-2"/>
    <n v="0.33333333333333331"/>
    <n v="0"/>
    <n v="97337"/>
    <n v="0.4448116338083154"/>
  </r>
  <r>
    <n v="284"/>
    <s v="ceb55b24-7481-4290-a522-f9455d6f051c"/>
    <x v="1"/>
    <x v="1"/>
    <x v="3"/>
    <s v="в аренде"/>
    <s v="консолидация кредитов"/>
    <n v="88528"/>
    <n v="696"/>
    <n v="993833"/>
    <n v="2550.94"/>
    <n v="20.8"/>
    <n v="35"/>
    <n v="11"/>
    <n v="38532"/>
    <n v="241142"/>
    <n v="0"/>
    <n v="-1.2585938217649784"/>
    <n v="0.92676431424766981"/>
    <n v="0.39772727272727271"/>
    <n v="0.23809523809523808"/>
    <n v="0"/>
    <n v="82819.416666666672"/>
    <n v="3.0801231192765784E-2"/>
  </r>
  <r>
    <n v="509"/>
    <s v="80ac7202-710e-4b07-a850-dda14db27dd5"/>
    <x v="0"/>
    <x v="1"/>
    <x v="3"/>
    <s v="в аренде"/>
    <s v="консолидация кредитов"/>
    <n v="43054"/>
    <n v="747"/>
    <n v="490713"/>
    <n v="8346.32"/>
    <n v="21.7"/>
    <n v="81"/>
    <n v="10"/>
    <n v="75962"/>
    <n v="240988"/>
    <n v="0"/>
    <n v="-1.517490077544249"/>
    <n v="0.9946737683089214"/>
    <n v="0.92045454545454541"/>
    <n v="0.21428571428571427"/>
    <n v="0"/>
    <n v="40892.75"/>
    <n v="0.20410268323847136"/>
  </r>
  <r>
    <n v="318"/>
    <s v="aed4c830-c921-4cd4-8fc8-f2622828d3e9"/>
    <x v="0"/>
    <x v="1"/>
    <x v="10"/>
    <s v="в аренде"/>
    <s v="иное"/>
    <n v="175076"/>
    <n v="742"/>
    <n v="748486"/>
    <n v="7983.8"/>
    <n v="36.4"/>
    <n v="35.265240640000002"/>
    <n v="7"/>
    <n v="184490"/>
    <n v="240856"/>
    <n v="0"/>
    <n v="-0.76585174617927387"/>
    <n v="0.98801597869507318"/>
    <n v="0.40074137090909095"/>
    <n v="0.14285714285714285"/>
    <n v="0"/>
    <n v="62373.833333333336"/>
    <n v="0.12799918769355739"/>
  </r>
  <r>
    <n v="1361"/>
    <s v="5662ddce-b424-441f-964e-014976f54537"/>
    <x v="0"/>
    <x v="0"/>
    <x v="7"/>
    <s v="в ипотеке"/>
    <s v="ремонт жилья"/>
    <n v="278740"/>
    <n v="0"/>
    <n v="1168044"/>
    <n v="16457.8"/>
    <n v="16.7"/>
    <n v="48"/>
    <n v="14"/>
    <n v="72542"/>
    <n v="240680"/>
    <n v="0"/>
    <n v="-0.1756634746592334"/>
    <n v="0"/>
    <n v="0.54545454545454541"/>
    <n v="0.30952380952380953"/>
    <n v="0"/>
    <n v="97337"/>
    <n v="0.16908061682607847"/>
  </r>
  <r>
    <n v="252"/>
    <s v="f4a4857d-fdac-4f25-8886-607574527864"/>
    <x v="1"/>
    <x v="1"/>
    <x v="2"/>
    <s v="в ипотеке"/>
    <s v="консолидация кредитов"/>
    <n v="218130"/>
    <n v="728"/>
    <n v="602832"/>
    <n v="9142.7999999999993"/>
    <n v="17.600000000000001"/>
    <n v="26"/>
    <n v="10"/>
    <n v="202616"/>
    <n v="239888"/>
    <n v="0"/>
    <n v="-0.52073323018506357"/>
    <n v="0.96937416777629826"/>
    <n v="0.29545454545454547"/>
    <n v="0.21428571428571427"/>
    <n v="0"/>
    <n v="50236"/>
    <n v="0.1819969742813918"/>
  </r>
  <r>
    <n v="952"/>
    <s v="10abd023-2f6d-4bc3-9ff1-fa84b3fc061d"/>
    <x v="0"/>
    <x v="0"/>
    <x v="10"/>
    <s v="в аренде"/>
    <s v="иное"/>
    <n v="108834"/>
    <n v="704"/>
    <n v="1447344"/>
    <n v="11168.58"/>
    <n v="11"/>
    <n v="31"/>
    <n v="4"/>
    <n v="48868"/>
    <n v="239778"/>
    <n v="0"/>
    <n v="-1.1429860597503354"/>
    <n v="0.93741677762982689"/>
    <n v="0.35227272727272729"/>
    <n v="7.1428571428571425E-2"/>
    <n v="0"/>
    <n v="120612"/>
    <n v="9.2599243856332697E-2"/>
  </r>
  <r>
    <n v="1370"/>
    <s v="27aa06c2-806d-4fe0-8726-a94a767424eb"/>
    <x v="0"/>
    <x v="1"/>
    <x v="10"/>
    <s v="в аренде"/>
    <s v="консолидация кредитов"/>
    <n v="189376"/>
    <n v="733"/>
    <n v="1127916"/>
    <n v="18704.55"/>
    <n v="14.4"/>
    <n v="35.265240640000002"/>
    <n v="24"/>
    <n v="137731"/>
    <n v="239470"/>
    <n v="0"/>
    <n v="-0.68443782926755348"/>
    <n v="0.97603195739014648"/>
    <n v="0.40074137090909095"/>
    <n v="0.54761904761904767"/>
    <n v="0"/>
    <n v="93993"/>
    <n v="0.19899939357186172"/>
  </r>
  <r>
    <n v="656"/>
    <s v="db287e7b-2d6e-438b-a193-9aeb676ae4c1"/>
    <x v="0"/>
    <x v="1"/>
    <x v="8"/>
    <s v="в аренде"/>
    <s v="консолидация кредитов"/>
    <n v="217624"/>
    <n v="0"/>
    <n v="1168044"/>
    <n v="10853.94"/>
    <n v="12.4"/>
    <n v="35.265240640000002"/>
    <n v="7"/>
    <n v="107274"/>
    <n v="239338"/>
    <n v="0"/>
    <n v="-0.52361403032193976"/>
    <n v="0"/>
    <n v="0.40074137090909095"/>
    <n v="0.14285714285714285"/>
    <n v="0"/>
    <n v="97337"/>
    <n v="0.11150888151473747"/>
  </r>
  <r>
    <n v="732"/>
    <s v="e6f03157-2859-413f-b8e4-039707805c4b"/>
    <x v="0"/>
    <x v="1"/>
    <x v="1"/>
    <s v="в аренде"/>
    <s v="консолидация кредитов"/>
    <n v="217338"/>
    <n v="704"/>
    <n v="2721674"/>
    <n v="29257.91"/>
    <n v="18.600000000000001"/>
    <n v="10"/>
    <n v="7"/>
    <n v="160493"/>
    <n v="239162"/>
    <n v="1"/>
    <n v="-0.52524230866017418"/>
    <n v="0.93741677762982689"/>
    <n v="0.11363636363636363"/>
    <n v="0.14285714285714285"/>
    <n v="0.14285714285714285"/>
    <n v="226806.16666666666"/>
    <n v="0.12899962302612289"/>
  </r>
  <r>
    <n v="1721"/>
    <s v="2288c274-d686-4215-a9ef-9c82b313ca16"/>
    <x v="1"/>
    <x v="1"/>
    <x v="5"/>
    <s v="в аренде"/>
    <s v="Медицинские счета"/>
    <n v="22198"/>
    <n v="747"/>
    <n v="1437407"/>
    <n v="2898.83"/>
    <n v="23"/>
    <n v="35.265240640000002"/>
    <n v="4"/>
    <n v="109212"/>
    <n v="239030"/>
    <n v="0"/>
    <n v="-1.6362291440554966"/>
    <n v="0.9946737683089214"/>
    <n v="0.40074137090909095"/>
    <n v="7.1428571428571425E-2"/>
    <n v="0"/>
    <n v="119783.91666666667"/>
    <n v="2.420049436241788E-2"/>
  </r>
  <r>
    <n v="1764"/>
    <s v="a912d984-3920-46d0-9b82-334da50596d2"/>
    <x v="1"/>
    <x v="1"/>
    <x v="9"/>
    <s v="в ипотеке"/>
    <s v="ремонт жилья"/>
    <n v="110726"/>
    <n v="710"/>
    <n v="1606526"/>
    <n v="16333.16"/>
    <n v="25.6"/>
    <n v="35.265240640000002"/>
    <n v="12"/>
    <n v="130663"/>
    <n v="239008"/>
    <n v="0"/>
    <n v="-1.1322143722820155"/>
    <n v="0.94540612516644473"/>
    <n v="0.40074137090909095"/>
    <n v="0.26190476190476192"/>
    <n v="0"/>
    <n v="133877.16666666666"/>
    <n v="0.12200108806206686"/>
  </r>
  <r>
    <n v="344"/>
    <s v="f06b759a-06f2-4061-b10a-b09e05b04d82"/>
    <x v="0"/>
    <x v="0"/>
    <x v="9"/>
    <s v="в ипотеке"/>
    <s v="консолидация кредитов"/>
    <n v="446336"/>
    <n v="683"/>
    <n v="1117865"/>
    <n v="7573.59"/>
    <n v="15.9"/>
    <n v="36"/>
    <n v="4"/>
    <n v="148960"/>
    <n v="238898"/>
    <n v="1"/>
    <n v="0.77850763154612923"/>
    <n v="0.9094540612516645"/>
    <n v="0.40909090909090912"/>
    <n v="7.1428571428571425E-2"/>
    <n v="0.14285714285714285"/>
    <n v="93155.416666666672"/>
    <n v="8.1300586385654794E-2"/>
  </r>
  <r>
    <n v="572"/>
    <s v="a8b43ee6-0155-4e11-9a00-f19f832930ba"/>
    <x v="1"/>
    <x v="1"/>
    <x v="3"/>
    <s v="в аренде"/>
    <s v="бизнес"/>
    <n v="225192"/>
    <n v="0"/>
    <n v="1168044"/>
    <n v="24796.71"/>
    <n v="19.7"/>
    <n v="35.265240640000002"/>
    <n v="8"/>
    <n v="113487"/>
    <n v="238898"/>
    <n v="0"/>
    <n v="-0.48052728044866005"/>
    <n v="0"/>
    <n v="0.40074137090909095"/>
    <n v="0.16666666666666666"/>
    <n v="0"/>
    <n v="97337"/>
    <n v="0.25475112238922504"/>
  </r>
  <r>
    <n v="1176"/>
    <s v="118ec4b7-c76c-4df6-9f7e-9e2951ccc30b"/>
    <x v="0"/>
    <x v="1"/>
    <x v="4"/>
    <s v="в аренде"/>
    <s v="консолидация кредитов"/>
    <n v="225126"/>
    <n v="720"/>
    <n v="731044"/>
    <n v="7188.46"/>
    <n v="19.399999999999999"/>
    <n v="15"/>
    <n v="10"/>
    <n v="200013"/>
    <n v="238744"/>
    <n v="1"/>
    <n v="-0.48090303698825265"/>
    <n v="0.95872170439414117"/>
    <n v="0.17045454545454544"/>
    <n v="0.21428571428571427"/>
    <n v="0.14285714285714285"/>
    <n v="60920.333333333336"/>
    <n v="0.11799771285996465"/>
  </r>
  <r>
    <n v="131"/>
    <s v="c8b825f5-3188-4c38-a4cd-8dd1952d3e20"/>
    <x v="0"/>
    <x v="1"/>
    <x v="8"/>
    <s v="в собственности"/>
    <s v="консолидация кредитов"/>
    <n v="309594.52439999999"/>
    <n v="734"/>
    <n v="622991"/>
    <n v="8046.88"/>
    <n v="10.7"/>
    <n v="75"/>
    <n v="15"/>
    <n v="69179"/>
    <n v="238370"/>
    <n v="0"/>
    <n v="-1.2411115481956205E-10"/>
    <n v="0.9773635153129161"/>
    <n v="0.85227272727272729"/>
    <n v="0.33333333333333331"/>
    <n v="0"/>
    <n v="51915.916666666664"/>
    <n v="0.15499832260819177"/>
  </r>
  <r>
    <n v="1037"/>
    <s v="ae8d0ebe-205f-48a3-90ca-fb64306c80a0"/>
    <x v="1"/>
    <x v="1"/>
    <x v="1"/>
    <s v="в ипотеке"/>
    <s v="консолидация кредитов"/>
    <n v="216238"/>
    <n v="0"/>
    <n v="1168044"/>
    <n v="5168.38"/>
    <n v="31.7"/>
    <n v="35.265240640000002"/>
    <n v="2"/>
    <n v="155629"/>
    <n v="237710"/>
    <n v="0"/>
    <n v="-0.53150491765338348"/>
    <n v="0"/>
    <n v="0.40074137090909095"/>
    <n v="2.3809523809523808E-2"/>
    <n v="0"/>
    <n v="97337"/>
    <n v="5.3097794261175092E-2"/>
  </r>
  <r>
    <n v="1097"/>
    <s v="d0b91e68-6d24-4a62-8b89-155620a21f8d"/>
    <x v="0"/>
    <x v="1"/>
    <x v="8"/>
    <s v="в аренде"/>
    <s v="консолидация кредитов"/>
    <n v="131956"/>
    <n v="737"/>
    <n v="569829"/>
    <n v="13723.32"/>
    <n v="11.4"/>
    <n v="54"/>
    <n v="10"/>
    <n v="184243"/>
    <n v="237578"/>
    <n v="0"/>
    <n v="-1.0113460187130767"/>
    <n v="0.98135818908122507"/>
    <n v="0.61363636363636365"/>
    <n v="0.21428571428571427"/>
    <n v="0"/>
    <n v="47485.75"/>
    <n v="0.28899869960988295"/>
  </r>
  <r>
    <n v="265"/>
    <s v="a8cd0882-f4ae-44ed-bdba-b0fa88032f8d"/>
    <x v="0"/>
    <x v="1"/>
    <x v="9"/>
    <s v="в аренде"/>
    <s v="консолидация кредитов"/>
    <n v="223344"/>
    <n v="719"/>
    <n v="1157328"/>
    <n v="24111"/>
    <n v="17.399999999999999"/>
    <n v="35.265240640000002"/>
    <n v="8"/>
    <n v="100624"/>
    <n v="236830"/>
    <n v="0"/>
    <n v="-0.49104846355725162"/>
    <n v="0.95739014647137155"/>
    <n v="0.40074137090909095"/>
    <n v="0.16666666666666666"/>
    <n v="0"/>
    <n v="96444"/>
    <n v="0.25"/>
  </r>
  <r>
    <n v="643"/>
    <s v="45b57fc5-b081-4653-a862-9671b847575f"/>
    <x v="1"/>
    <x v="1"/>
    <x v="6"/>
    <s v="в аренде"/>
    <s v="консолидация кредитов"/>
    <n v="129074"/>
    <n v="0"/>
    <n v="1168044"/>
    <n v="18949.84"/>
    <n v="6.6"/>
    <n v="35.265240640000002"/>
    <n v="10"/>
    <n v="132734"/>
    <n v="236456"/>
    <n v="0"/>
    <n v="-1.027754054275285"/>
    <n v="0"/>
    <n v="0.40074137090909095"/>
    <n v="0.21428571428571427"/>
    <n v="0"/>
    <n v="97337"/>
    <n v="0.19468280304509078"/>
  </r>
  <r>
    <n v="1826"/>
    <s v="2c62b35d-0b15-4a4b-bdec-0916fe60956d"/>
    <x v="1"/>
    <x v="0"/>
    <x v="7"/>
    <s v="в аренде"/>
    <s v="консолидация кредитов"/>
    <n v="240570"/>
    <n v="0"/>
    <n v="1168044"/>
    <n v="12324.35"/>
    <n v="13.4"/>
    <n v="35.265240640000002"/>
    <n v="7"/>
    <n v="119852"/>
    <n v="236390"/>
    <n v="1"/>
    <n v="-0.39297600672359467"/>
    <n v="0"/>
    <n v="0.40074137090909095"/>
    <n v="0.14285714285714285"/>
    <n v="0.14285714285714285"/>
    <n v="97337"/>
    <n v="0.12661526449346086"/>
  </r>
  <r>
    <n v="1821"/>
    <s v="272c55f7-f23e-47b7-ba21-c88554b9feb3"/>
    <x v="0"/>
    <x v="0"/>
    <x v="1"/>
    <s v="в ипотеке"/>
    <s v="консолидация кредитов"/>
    <n v="433180"/>
    <n v="0"/>
    <n v="1168044"/>
    <n v="21782.36"/>
    <n v="25.6"/>
    <n v="39"/>
    <n v="19"/>
    <n v="203034"/>
    <n v="236038"/>
    <n v="0"/>
    <n v="0.70360682798734642"/>
    <n v="0"/>
    <n v="0.44318181818181818"/>
    <n v="0.42857142857142855"/>
    <n v="0"/>
    <n v="97337"/>
    <n v="0.22378293968377905"/>
  </r>
  <r>
    <n v="1601"/>
    <s v="649c03f7-478d-439f-abcf-260688117cc7"/>
    <x v="0"/>
    <x v="1"/>
    <x v="2"/>
    <s v="в аренде"/>
    <s v="консолидация кредитов"/>
    <n v="105798"/>
    <n v="689"/>
    <n v="228437"/>
    <n v="7138.49"/>
    <n v="12.5"/>
    <n v="33"/>
    <n v="12"/>
    <n v="197809"/>
    <n v="235862"/>
    <n v="0"/>
    <n v="-1.160270860571593"/>
    <n v="0.91744340878828234"/>
    <n v="0.375"/>
    <n v="0.26190476190476192"/>
    <n v="0"/>
    <n v="19036.416666666668"/>
    <n v="0.37499126673875072"/>
  </r>
  <r>
    <n v="59"/>
    <s v="0b25e0aa-3fe1-4540-8e6d-f6e579dfc84a"/>
    <x v="0"/>
    <x v="1"/>
    <x v="3"/>
    <s v="в аренде"/>
    <s v="консолидация кредитов"/>
    <n v="130922"/>
    <n v="747"/>
    <n v="2261304"/>
    <n v="9761.25"/>
    <n v="16.100000000000001"/>
    <n v="30"/>
    <n v="6"/>
    <n v="110428"/>
    <n v="235488"/>
    <n v="0"/>
    <n v="-1.0172328711666936"/>
    <n v="0.9946737683089214"/>
    <n v="0.34090909090909088"/>
    <n v="0.11904761904761904"/>
    <n v="0"/>
    <n v="188442"/>
    <n v="5.1799758015728975E-2"/>
  </r>
  <r>
    <n v="369"/>
    <s v="cadc3a31-59f7-4e44-86d5-1244409aa0a3"/>
    <x v="0"/>
    <x v="0"/>
    <x v="1"/>
    <s v="в аренде"/>
    <s v="консолидация кредитов"/>
    <n v="273856"/>
    <n v="614"/>
    <n v="821826"/>
    <n v="8766.2199999999993"/>
    <n v="16.399999999999999"/>
    <n v="35.265240640000002"/>
    <n v="4"/>
    <n v="146262"/>
    <n v="234586"/>
    <n v="0"/>
    <n v="-0.2034694585890825"/>
    <n v="0.81757656458055927"/>
    <n v="0.40074137090909095"/>
    <n v="7.1428571428571425E-2"/>
    <n v="0"/>
    <n v="68485.5"/>
    <n v="0.12800110972395615"/>
  </r>
  <r>
    <n v="593"/>
    <s v="c0af1fb1-7c34-46ad-bc06-b742f44c7f2e"/>
    <x v="0"/>
    <x v="1"/>
    <x v="1"/>
    <s v="в ипотеке"/>
    <s v="консолидация кредитов"/>
    <n v="175010"/>
    <n v="703"/>
    <n v="785973"/>
    <n v="9890.26"/>
    <n v="12.1"/>
    <n v="35.265240640000002"/>
    <n v="5"/>
    <n v="182115"/>
    <n v="234036"/>
    <n v="0"/>
    <n v="-0.76622750271886642"/>
    <n v="0.93608521970705727"/>
    <n v="0.40074137090909095"/>
    <n v="9.5238095238095233E-2"/>
    <n v="0"/>
    <n v="65497.75"/>
    <n v="0.15100152295307853"/>
  </r>
  <r>
    <n v="1781"/>
    <s v="173110ca-491c-415b-97af-1acbfe0243a4"/>
    <x v="0"/>
    <x v="0"/>
    <x v="1"/>
    <s v="в ипотеке"/>
    <s v="консолидация кредитов"/>
    <n v="620488"/>
    <n v="0"/>
    <n v="1168044"/>
    <n v="35051.01"/>
    <n v="14.2"/>
    <n v="7"/>
    <n v="7"/>
    <n v="141987"/>
    <n v="233508"/>
    <n v="0"/>
    <n v="1.7700038873510189"/>
    <n v="0"/>
    <n v="7.9545454545454544E-2"/>
    <n v="0.14285714285714285"/>
    <n v="0"/>
    <n v="97337"/>
    <n v="0.36009955104431002"/>
  </r>
  <r>
    <n v="992"/>
    <s v="e9e768e1-c7b5-464e-8c30-5edd4afcf4d7"/>
    <x v="0"/>
    <x v="1"/>
    <x v="2"/>
    <s v="в ипотеке"/>
    <s v="консолидация кредитов"/>
    <n v="309594.52439999999"/>
    <n v="735"/>
    <n v="1575575"/>
    <n v="12000.59"/>
    <n v="14"/>
    <n v="27"/>
    <n v="16"/>
    <n v="137864"/>
    <n v="232364"/>
    <n v="0"/>
    <n v="-1.2411115481956205E-10"/>
    <n v="0.97869507323568572"/>
    <n v="0.30681818181818182"/>
    <n v="0.35714285714285715"/>
    <n v="0"/>
    <n v="131297.91666666666"/>
    <n v="9.1399698522761544E-2"/>
  </r>
  <r>
    <n v="1985"/>
    <s v="17931585-63b3-49bf-897e-b14b61d3285e"/>
    <x v="0"/>
    <x v="1"/>
    <x v="4"/>
    <s v="в собственности"/>
    <s v="консолидация кредитов"/>
    <n v="175890"/>
    <n v="706"/>
    <n v="856900"/>
    <n v="15638.52"/>
    <n v="12"/>
    <n v="35.265240640000002"/>
    <n v="12"/>
    <n v="86412"/>
    <n v="232144"/>
    <n v="0"/>
    <n v="-0.761217415524299"/>
    <n v="0.94007989347536614"/>
    <n v="0.40074137090909095"/>
    <n v="0.26190476190476192"/>
    <n v="0"/>
    <n v="71408.333333333328"/>
    <n v="0.21900133037694017"/>
  </r>
  <r>
    <n v="483"/>
    <s v="86c15f3a-1d5d-497c-8780-0d3935c0a927"/>
    <x v="1"/>
    <x v="1"/>
    <x v="6"/>
    <s v="в аренде"/>
    <s v="ремонт жилья"/>
    <n v="32450"/>
    <n v="711"/>
    <n v="653904"/>
    <n v="11770.12"/>
    <n v="8.1999999999999993"/>
    <n v="34"/>
    <n v="11"/>
    <n v="129656"/>
    <n v="231308"/>
    <n v="0"/>
    <n v="-1.5778616282387863"/>
    <n v="0.94673768308921435"/>
    <n v="0.38636363636363635"/>
    <n v="0.23809523809523808"/>
    <n v="0"/>
    <n v="54492"/>
    <n v="0.21599721059972107"/>
  </r>
  <r>
    <n v="24"/>
    <s v="eb166545-76e5-43ae-8c64-3fe5ebb9c729"/>
    <x v="0"/>
    <x v="1"/>
    <x v="1"/>
    <s v="в ипотеке"/>
    <s v="консолидация кредитов"/>
    <n v="91894"/>
    <n v="724"/>
    <n v="850383"/>
    <n v="5860.74"/>
    <n v="17.5"/>
    <n v="35.265240640000002"/>
    <n v="7"/>
    <n v="95608"/>
    <n v="230626"/>
    <n v="0"/>
    <n v="-1.239430238245758"/>
    <n v="0.96404793608521966"/>
    <n v="0.40074137090909095"/>
    <n v="0.14285714285714285"/>
    <n v="0"/>
    <n v="70865.25"/>
    <n v="8.2702594007641253E-2"/>
  </r>
  <r>
    <n v="249"/>
    <s v="19542fc0-6f7e-4e88-8d98-bb678d68ea30"/>
    <x v="0"/>
    <x v="1"/>
    <x v="8"/>
    <s v="в аренде"/>
    <s v="консолидация кредитов"/>
    <n v="226336"/>
    <n v="724"/>
    <n v="1409610"/>
    <n v="6331.56"/>
    <n v="17"/>
    <n v="35.265240640000002"/>
    <n v="5"/>
    <n v="79192"/>
    <n v="230428"/>
    <n v="4"/>
    <n v="-0.47401416709572247"/>
    <n v="0.96404793608521966"/>
    <n v="0.40074137090909095"/>
    <n v="9.5238095238095233E-2"/>
    <n v="0.5714285714285714"/>
    <n v="117467.5"/>
    <n v="5.3900525677315007E-2"/>
  </r>
  <r>
    <n v="1306"/>
    <s v="91e4ce3b-d824-4041-aedb-fb4f64142cd9"/>
    <x v="0"/>
    <x v="1"/>
    <x v="0"/>
    <s v="в аренде"/>
    <s v="консолидация кредитов"/>
    <n v="429264"/>
    <n v="715"/>
    <n v="704387"/>
    <n v="9391.89"/>
    <n v="13"/>
    <n v="16"/>
    <n v="12"/>
    <n v="26809"/>
    <n v="229900"/>
    <n v="0"/>
    <n v="0.68131193997152151"/>
    <n v="0.95206391478029295"/>
    <n v="0.18181818181818182"/>
    <n v="0.26190476190476192"/>
    <n v="0"/>
    <n v="58698.916666666664"/>
    <n v="0.16000107895233728"/>
  </r>
  <r>
    <n v="1408"/>
    <s v="c82a8ee2-8c19-42f4-abb3-026a6c715e00"/>
    <x v="0"/>
    <x v="1"/>
    <x v="2"/>
    <s v="в аренде"/>
    <s v="консолидация кредитов"/>
    <n v="178486"/>
    <n v="0"/>
    <n v="1168044"/>
    <n v="6224.59"/>
    <n v="15"/>
    <n v="35.265240640000002"/>
    <n v="7"/>
    <n v="161500"/>
    <n v="229724"/>
    <n v="0"/>
    <n v="-0.74643765830032516"/>
    <n v="0"/>
    <n v="0.40074137090909095"/>
    <n v="0.14285714285714285"/>
    <n v="0"/>
    <n v="97337"/>
    <n v="6.3948858090962332E-2"/>
  </r>
  <r>
    <n v="375"/>
    <s v="bb433d07-83ce-45b4-95aa-88f6da823bbe"/>
    <x v="0"/>
    <x v="1"/>
    <x v="1"/>
    <s v="в аренде"/>
    <s v="консолидация кредитов"/>
    <n v="221056"/>
    <n v="741"/>
    <n v="954560"/>
    <n v="9386.57"/>
    <n v="12"/>
    <n v="13"/>
    <n v="19"/>
    <n v="117420"/>
    <n v="229658"/>
    <n v="0"/>
    <n v="-0.5040746902631269"/>
    <n v="0.98668442077230356"/>
    <n v="0.14772727272727273"/>
    <n v="0.42857142857142855"/>
    <n v="0"/>
    <n v="79546.666666666672"/>
    <n v="0.11800079617834394"/>
  </r>
  <r>
    <n v="221"/>
    <s v="0ce26174-19c8-48b5-8a4d-226aca78367e"/>
    <x v="0"/>
    <x v="1"/>
    <x v="1"/>
    <s v="в аренде"/>
    <s v="консолидация кредитов"/>
    <n v="152790"/>
    <n v="743"/>
    <n v="678661"/>
    <n v="4450.9399999999996"/>
    <n v="14"/>
    <n v="8"/>
    <n v="5"/>
    <n v="119510"/>
    <n v="229086"/>
    <n v="1"/>
    <n v="-0.89273220438169343"/>
    <n v="0.98934753661784292"/>
    <n v="9.0909090909090912E-2"/>
    <n v="9.5238095238095233E-2"/>
    <n v="0.14285714285714285"/>
    <n v="56555.083333333336"/>
    <n v="7.8700971471765718E-2"/>
  </r>
  <r>
    <n v="174"/>
    <s v="a2dc4e54-eaa7-4bbc-b103-8d06d05a3f54"/>
    <x v="0"/>
    <x v="1"/>
    <x v="4"/>
    <s v="в ипотеке"/>
    <s v="ремонт жилья"/>
    <n v="716958"/>
    <n v="718"/>
    <n v="1934960"/>
    <n v="31765.72"/>
    <n v="10"/>
    <n v="24"/>
    <n v="9"/>
    <n v="168815"/>
    <n v="228624"/>
    <n v="0"/>
    <n v="2.3192346960554708"/>
    <n v="0.95605858854860182"/>
    <n v="0.27272727272727271"/>
    <n v="0.19047619047619047"/>
    <n v="0"/>
    <n v="161246.66666666666"/>
    <n v="0.19700078554595446"/>
  </r>
  <r>
    <n v="1051"/>
    <s v="e9756027-6058-4a39-b52b-d2ac5f6646f3"/>
    <x v="1"/>
    <x v="1"/>
    <x v="1"/>
    <s v="в ипотеке"/>
    <s v="консолидация кредитов"/>
    <n v="181984"/>
    <n v="693"/>
    <n v="562932"/>
    <n v="15434.08"/>
    <n v="22.5"/>
    <n v="4"/>
    <n v="14"/>
    <n v="72257"/>
    <n v="228624"/>
    <n v="1"/>
    <n v="-0.72652256170191976"/>
    <n v="0.92276964047936083"/>
    <n v="4.5454545454545456E-2"/>
    <n v="0.30952380952380953"/>
    <n v="0.14285714285714285"/>
    <n v="46911"/>
    <n v="0.32900769542324826"/>
  </r>
  <r>
    <n v="626"/>
    <s v="4bfbef83-43cb-4f97-83d8-b8fe05fd4a57"/>
    <x v="0"/>
    <x v="0"/>
    <x v="7"/>
    <s v="в собственности"/>
    <s v="консолидация кредитов"/>
    <n v="347996"/>
    <n v="700"/>
    <n v="686945"/>
    <n v="3932.81"/>
    <n v="11"/>
    <n v="35.265240640000002"/>
    <n v="7"/>
    <n v="164578"/>
    <n v="227678"/>
    <n v="0"/>
    <n v="0.21863038755322151"/>
    <n v="0.93209054593874829"/>
    <n v="0.40074137090909095"/>
    <n v="0.14285714285714285"/>
    <n v="0"/>
    <n v="57245.416666666664"/>
    <n v="6.870087124878993E-2"/>
  </r>
  <r>
    <n v="459"/>
    <s v="4448c50f-658f-4897-89b0-8da53c60cbb5"/>
    <x v="0"/>
    <x v="1"/>
    <x v="1"/>
    <s v="в ипотеке"/>
    <s v="консолидация кредитов"/>
    <n v="309594.52439999999"/>
    <n v="738"/>
    <n v="2081792"/>
    <n v="21511.99"/>
    <n v="25.6"/>
    <n v="27"/>
    <n v="10"/>
    <n v="163153"/>
    <n v="227612"/>
    <n v="0"/>
    <n v="-1.2411115481956205E-10"/>
    <n v="0.9826897470039947"/>
    <n v="0.30681818181818182"/>
    <n v="0.21428571428571427"/>
    <n v="0"/>
    <n v="173482.66666666666"/>
    <n v="0.12400080315420563"/>
  </r>
  <r>
    <n v="1639"/>
    <s v="569bdc25-e6f9-4f99-bcfe-2ae85a5e944d"/>
    <x v="0"/>
    <x v="1"/>
    <x v="5"/>
    <s v="в аренде"/>
    <s v="консолидация кредитов"/>
    <n v="106766"/>
    <n v="728"/>
    <n v="1786608"/>
    <n v="22034.87"/>
    <n v="11.9"/>
    <n v="6"/>
    <n v="10"/>
    <n v="82346"/>
    <n v="226996"/>
    <n v="0"/>
    <n v="-1.1547597646575689"/>
    <n v="0.96937416777629826"/>
    <n v="6.8181818181818177E-2"/>
    <n v="0.21428571428571427"/>
    <n v="0"/>
    <n v="148884"/>
    <n v="0.14800025523226135"/>
  </r>
  <r>
    <n v="880"/>
    <s v="eeadd70e-80dc-4ebb-96c9-12a616727898"/>
    <x v="0"/>
    <x v="1"/>
    <x v="5"/>
    <s v="в аренде"/>
    <s v="консолидация кредитов"/>
    <n v="309594.52439999999"/>
    <n v="712"/>
    <n v="652137"/>
    <n v="9075.73"/>
    <n v="20.399999999999999"/>
    <n v="17"/>
    <n v="11"/>
    <n v="85101"/>
    <n v="226534"/>
    <n v="1"/>
    <n v="-1.2411115481956205E-10"/>
    <n v="0.94806924101198398"/>
    <n v="0.19318181818181818"/>
    <n v="0.23809523809523808"/>
    <n v="0.14285714285714285"/>
    <n v="54344.75"/>
    <n v="0.16700288436325494"/>
  </r>
  <r>
    <n v="1776"/>
    <s v="d438794b-f38a-4784-a6e6-ca98a1201e08"/>
    <x v="1"/>
    <x v="1"/>
    <x v="3"/>
    <s v="в ипотеке"/>
    <s v="консолидация кредитов"/>
    <n v="76186"/>
    <n v="705"/>
    <n v="451117"/>
    <n v="3740.53"/>
    <n v="14.8"/>
    <n v="26"/>
    <n v="9"/>
    <n v="99636"/>
    <n v="226226"/>
    <n v="0"/>
    <n v="-1.3288602946687862"/>
    <n v="0.93874833555259651"/>
    <n v="0.29545454545454547"/>
    <n v="0.19047619047619047"/>
    <n v="0"/>
    <n v="37593.083333333336"/>
    <n v="9.950048435328307E-2"/>
  </r>
  <r>
    <n v="1425"/>
    <s v="e4b13240-43a4-49e6-be12-bf70f69d9492"/>
    <x v="0"/>
    <x v="1"/>
    <x v="1"/>
    <s v="в собственности"/>
    <s v="ремонт жилья"/>
    <n v="220880"/>
    <n v="744"/>
    <n v="1239940"/>
    <n v="1797.97"/>
    <n v="13"/>
    <n v="51"/>
    <n v="4"/>
    <n v="42370"/>
    <n v="225038"/>
    <n v="1"/>
    <n v="-0.50507670770204038"/>
    <n v="0.99067909454061254"/>
    <n v="0.57954545454545459"/>
    <n v="7.1428571428571425E-2"/>
    <n v="0.14285714285714285"/>
    <n v="103328.33333333333"/>
    <n v="1.7400551639595467E-2"/>
  </r>
  <r>
    <n v="563"/>
    <s v="9163d180-dd9a-4000-898b-8048b51b9888"/>
    <x v="1"/>
    <x v="1"/>
    <x v="4"/>
    <s v="в аренде"/>
    <s v="иное"/>
    <n v="48884"/>
    <n v="0"/>
    <n v="1168044"/>
    <n v="7996.72"/>
    <n v="13.8"/>
    <n v="24"/>
    <n v="11"/>
    <n v="157472"/>
    <n v="224554"/>
    <n v="0"/>
    <n v="-1.48429824988024"/>
    <n v="0"/>
    <n v="0.27272727272727271"/>
    <n v="0.23809523809523808"/>
    <n v="0"/>
    <n v="97337"/>
    <n v="8.2154987312121799E-2"/>
  </r>
  <r>
    <n v="1806"/>
    <s v="f1c23786-bf76-48be-8b27-9da9ee7e5a26"/>
    <x v="0"/>
    <x v="0"/>
    <x v="1"/>
    <s v="в ипотеке"/>
    <s v="консолидация кредитов"/>
    <n v="467082"/>
    <n v="724"/>
    <n v="1260574"/>
    <n v="9391.1299999999992"/>
    <n v="23.6"/>
    <n v="35.265240640000002"/>
    <n v="6"/>
    <n v="103550"/>
    <n v="224510"/>
    <n v="0"/>
    <n v="0.89662043715805584"/>
    <n v="0.96404793608521966"/>
    <n v="0.40074137090909095"/>
    <n v="0.11904761904761904"/>
    <n v="0"/>
    <n v="105047.83333333333"/>
    <n v="8.9398607301118371E-2"/>
  </r>
  <r>
    <n v="1673"/>
    <s v="524a08da-9a15-4796-b930-736dd4567d90"/>
    <x v="1"/>
    <x v="1"/>
    <x v="8"/>
    <s v="в ипотеке"/>
    <s v="консолидация кредитов"/>
    <n v="213356"/>
    <n v="729"/>
    <n v="799083"/>
    <n v="6306.1"/>
    <n v="10"/>
    <n v="18"/>
    <n v="12"/>
    <n v="118617"/>
    <n v="224422"/>
    <n v="0"/>
    <n v="-0.54791295321559175"/>
    <n v="0.97070572569906788"/>
    <n v="0.20454545454545456"/>
    <n v="0.26190476190476192"/>
    <n v="0"/>
    <n v="66590.25"/>
    <n v="9.4700049932234825E-2"/>
  </r>
  <r>
    <n v="300"/>
    <s v="09c6f224-cf1f-4c50-b3ac-30c93dc5ff28"/>
    <x v="0"/>
    <x v="1"/>
    <x v="5"/>
    <s v="в аренде"/>
    <s v="консолидация кредитов"/>
    <n v="309594.52439999999"/>
    <n v="725"/>
    <n v="2229137"/>
    <n v="14656.6"/>
    <n v="19.899999999999999"/>
    <n v="8"/>
    <n v="6"/>
    <n v="125742"/>
    <n v="224334"/>
    <n v="0"/>
    <n v="-1.2411115481956205E-10"/>
    <n v="0.96537949400798939"/>
    <n v="9.0909090909090912E-2"/>
    <n v="0.11904761904761904"/>
    <n v="0"/>
    <n v="185761.41666666666"/>
    <n v="7.8900130409212177E-2"/>
  </r>
  <r>
    <n v="99"/>
    <s v="d110ff2c-c936-487a-8e4f-8a192bad9cd8"/>
    <x v="0"/>
    <x v="1"/>
    <x v="6"/>
    <s v="в аренде"/>
    <s v="консолидация кредитов"/>
    <n v="453464"/>
    <n v="712"/>
    <n v="895147"/>
    <n v="17007.849999999999"/>
    <n v="14.2"/>
    <n v="77"/>
    <n v="12"/>
    <n v="137845"/>
    <n v="222926"/>
    <n v="1"/>
    <n v="0.81908933782212523"/>
    <n v="0.94806924101198398"/>
    <n v="0.875"/>
    <n v="0.26190476190476192"/>
    <n v="0.14285714285714285"/>
    <n v="74595.583333333328"/>
    <n v="0.22800076412030648"/>
  </r>
  <r>
    <n v="325"/>
    <s v="dcc6ab9d-f70d-4b50-975e-4c165c09b9af"/>
    <x v="1"/>
    <x v="1"/>
    <x v="8"/>
    <s v="в ипотеке"/>
    <s v="приобретение автомобиля"/>
    <n v="251416"/>
    <n v="720"/>
    <n v="1057293"/>
    <n v="13480.5"/>
    <n v="9"/>
    <n v="35.265240640000002"/>
    <n v="12"/>
    <n v="138377"/>
    <n v="222838"/>
    <n v="0"/>
    <n v="-0.33122668205055139"/>
    <n v="0.95872170439414117"/>
    <n v="0.40074137090909095"/>
    <n v="0.26190476190476192"/>
    <n v="0"/>
    <n v="88107.75"/>
    <n v="0.15300016173378619"/>
  </r>
  <r>
    <n v="1641"/>
    <s v="92be0d20-ef42-48b9-9cd3-70aa8eb6146a"/>
    <x v="1"/>
    <x v="1"/>
    <x v="1"/>
    <s v="в ипотеке"/>
    <s v="консолидация кредитов"/>
    <n v="356444"/>
    <n v="0"/>
    <n v="1168044"/>
    <n v="4368.67"/>
    <n v="14.9"/>
    <n v="35.265240640000002"/>
    <n v="8"/>
    <n v="155306"/>
    <n v="222816"/>
    <n v="0"/>
    <n v="0.26672722462106863"/>
    <n v="0"/>
    <n v="0.40074137090909095"/>
    <n v="0.16666666666666666"/>
    <n v="0"/>
    <n v="97337"/>
    <n v="4.4881905133710716E-2"/>
  </r>
  <r>
    <n v="883"/>
    <s v="3483498c-c247-4329-acec-91aeb5c245ab"/>
    <x v="0"/>
    <x v="0"/>
    <x v="8"/>
    <s v="в ипотеке"/>
    <s v="консолидация кредитов"/>
    <n v="747736"/>
    <n v="646"/>
    <n v="1538696"/>
    <n v="20644.07"/>
    <n v="18"/>
    <n v="77"/>
    <n v="7"/>
    <n v="167200"/>
    <n v="222772"/>
    <n v="1"/>
    <n v="2.494462495685466"/>
    <n v="0.86018641810918772"/>
    <n v="0.875"/>
    <n v="0.14285714285714285"/>
    <n v="0.14285714285714285"/>
    <n v="128224.66666666667"/>
    <n v="0.1609992097204386"/>
  </r>
  <r>
    <n v="770"/>
    <s v="206609fa-9e43-4fcf-a0f9-4e7103eecc4c"/>
    <x v="1"/>
    <x v="1"/>
    <x v="0"/>
    <s v="в аренде"/>
    <s v="иное"/>
    <n v="105468"/>
    <n v="738"/>
    <n v="702088"/>
    <n v="1006.24"/>
    <n v="9.4"/>
    <n v="42"/>
    <n v="13"/>
    <n v="28139"/>
    <n v="221650"/>
    <n v="0"/>
    <n v="-1.1621496432695557"/>
    <n v="0.9826897470039947"/>
    <n v="0.47727272727272729"/>
    <n v="0.2857142857142857"/>
    <n v="0"/>
    <n v="58507.333333333336"/>
    <n v="1.719852781987443E-2"/>
  </r>
  <r>
    <n v="1618"/>
    <s v="90b0ee93-dabc-4e96-851b-e5865bb02fa0"/>
    <x v="0"/>
    <x v="1"/>
    <x v="6"/>
    <s v="в аренде"/>
    <s v="консолидация кредитов"/>
    <n v="175934"/>
    <n v="739"/>
    <n v="816677"/>
    <n v="3763.52"/>
    <n v="13.5"/>
    <n v="12"/>
    <n v="5"/>
    <n v="149055"/>
    <n v="221540"/>
    <n v="0"/>
    <n v="-0.76096691116457071"/>
    <n v="0.98402130492676432"/>
    <n v="0.13636363636363635"/>
    <n v="9.5238095238095233E-2"/>
    <n v="0"/>
    <n v="68056.416666666672"/>
    <n v="5.5300002326501167E-2"/>
  </r>
  <r>
    <n v="27"/>
    <s v="9baf6d5d-f744-4332-abb0-e939b75cde40"/>
    <x v="0"/>
    <x v="1"/>
    <x v="7"/>
    <s v="в аренде"/>
    <s v="консолидация кредитов"/>
    <n v="309594.52439999999"/>
    <n v="724"/>
    <n v="1029857"/>
    <n v="13817.18"/>
    <n v="12"/>
    <n v="35.265240640000002"/>
    <n v="6"/>
    <n v="138339"/>
    <n v="221232"/>
    <n v="0"/>
    <n v="-1.2411115481956205E-10"/>
    <n v="0.96404793608521966"/>
    <n v="0.40074137090909095"/>
    <n v="0.11904761904761904"/>
    <n v="0"/>
    <n v="85821.416666666672"/>
    <n v="0.16099920668597678"/>
  </r>
  <r>
    <n v="599"/>
    <s v="7aa65e91-926c-4e4d-949c-0e63a72bb5bc"/>
    <x v="0"/>
    <x v="1"/>
    <x v="2"/>
    <s v="в ипотеке"/>
    <s v="консолидация кредитов"/>
    <n v="152416"/>
    <n v="747"/>
    <n v="637241"/>
    <n v="12521.76"/>
    <n v="19.8"/>
    <n v="35.265240640000002"/>
    <n v="9"/>
    <n v="120118"/>
    <n v="221122"/>
    <n v="1"/>
    <n v="-0.89486149143938465"/>
    <n v="0.9946737683089214"/>
    <n v="0.40074137090909095"/>
    <n v="0.19047619047619047"/>
    <n v="0.14285714285714285"/>
    <n v="53103.416666666664"/>
    <n v="0.23579951698023199"/>
  </r>
  <r>
    <n v="1333"/>
    <s v="4da089b3-2a0e-4bd1-ac95-1ba125bdcdbb"/>
    <x v="0"/>
    <x v="1"/>
    <x v="1"/>
    <s v="в ипотеке"/>
    <s v="консолидация кредитов"/>
    <n v="112706"/>
    <n v="744"/>
    <n v="973275"/>
    <n v="7688.92"/>
    <n v="13"/>
    <n v="14"/>
    <n v="9"/>
    <n v="99750"/>
    <n v="220814"/>
    <n v="0"/>
    <n v="-1.1209416760942388"/>
    <n v="0.99067909454061254"/>
    <n v="0.15909090909090909"/>
    <n v="0.19047619047619047"/>
    <n v="0"/>
    <n v="81106.25"/>
    <n v="9.4800585651537331E-2"/>
  </r>
  <r>
    <n v="13"/>
    <s v="11581f68-de3c-49d8-80d9-22268ebb323b"/>
    <x v="0"/>
    <x v="1"/>
    <x v="5"/>
    <s v="в собственности"/>
    <s v="консолидация кредитов"/>
    <n v="309594.52439999999"/>
    <n v="740"/>
    <n v="776188"/>
    <n v="11578.22"/>
    <n v="8.5"/>
    <n v="25"/>
    <n v="6"/>
    <n v="134083"/>
    <n v="220220"/>
    <n v="0"/>
    <n v="-1.2411115481956205E-10"/>
    <n v="0.98535286284953394"/>
    <n v="0.28409090909090912"/>
    <n v="0.11904761904761904"/>
    <n v="0"/>
    <n v="64682.333333333336"/>
    <n v="0.17900127288749632"/>
  </r>
  <r>
    <n v="309"/>
    <s v="df888b2a-d3e8-4351-93b6-acf3ab7e17c6"/>
    <x v="0"/>
    <x v="1"/>
    <x v="0"/>
    <s v="в аренде"/>
    <s v="иное"/>
    <n v="309594.52439999999"/>
    <n v="750"/>
    <n v="931095"/>
    <n v="2498.5"/>
    <n v="15.5"/>
    <n v="35.265240640000002"/>
    <n v="5"/>
    <n v="71459"/>
    <n v="220044"/>
    <n v="0"/>
    <n v="-1.2411115481956205E-10"/>
    <n v="0.99866844207723038"/>
    <n v="0.40074137090909095"/>
    <n v="9.5238095238095233E-2"/>
    <n v="0"/>
    <n v="77591.25"/>
    <n v="3.2200795837159471E-2"/>
  </r>
  <r>
    <n v="338"/>
    <s v="6f0fb886-cacf-4e15-82cb-d125472a0c7b"/>
    <x v="0"/>
    <x v="0"/>
    <x v="8"/>
    <s v="в ипотеке"/>
    <s v="консолидация кредитов"/>
    <n v="440132"/>
    <n v="676"/>
    <n v="1292380"/>
    <n v="4157.2"/>
    <n v="15.6"/>
    <n v="69"/>
    <n v="3"/>
    <n v="150822"/>
    <n v="219956"/>
    <n v="0"/>
    <n v="0.74318651682442893"/>
    <n v="0.90013315579227693"/>
    <n v="0.78409090909090906"/>
    <n v="4.7619047619047616E-2"/>
    <n v="0"/>
    <n v="107698.33333333333"/>
    <n v="3.8600411643634223E-2"/>
  </r>
  <r>
    <n v="841"/>
    <s v="3fa09eea-e901-4afb-a78d-adb917a38a45"/>
    <x v="0"/>
    <x v="1"/>
    <x v="0"/>
    <s v="в аренде"/>
    <s v="консолидация кредитов"/>
    <n v="224092"/>
    <n v="721"/>
    <n v="696730"/>
    <n v="10683.13"/>
    <n v="7.7"/>
    <n v="35.265240640000002"/>
    <n v="7"/>
    <n v="119377"/>
    <n v="219736"/>
    <n v="0"/>
    <n v="-0.48678988944186935"/>
    <n v="0.96005326231691079"/>
    <n v="0.40074137090909095"/>
    <n v="0.14285714285714285"/>
    <n v="0"/>
    <n v="58060.833333333336"/>
    <n v="0.18399890919007361"/>
  </r>
  <r>
    <n v="158"/>
    <s v="68b77d5b-94b9-46b3-a979-d9ae507df0e2"/>
    <x v="0"/>
    <x v="1"/>
    <x v="9"/>
    <s v="в аренде"/>
    <s v="консолидация кредитов"/>
    <n v="151954"/>
    <n v="707"/>
    <n v="562419"/>
    <n v="14341.77"/>
    <n v="12.5"/>
    <n v="35.265240640000002"/>
    <n v="9"/>
    <n v="107692"/>
    <n v="219142"/>
    <n v="1"/>
    <n v="-0.89749178721653244"/>
    <n v="0.94141145139813587"/>
    <n v="0.40074137090909095"/>
    <n v="0.19047619047619047"/>
    <n v="0.14285714285714285"/>
    <n v="46868.25"/>
    <n v="0.30600182426269384"/>
  </r>
  <r>
    <n v="1658"/>
    <s v="b181b75f-cb87-48eb-bbd0-fca933dcd395"/>
    <x v="0"/>
    <x v="0"/>
    <x v="6"/>
    <s v="в аренде"/>
    <s v="консолидация кредитов"/>
    <n v="222002"/>
    <n v="0"/>
    <n v="1168044"/>
    <n v="11690.13"/>
    <n v="8.5"/>
    <n v="35.265240640000002"/>
    <n v="5"/>
    <n v="155743"/>
    <n v="217536"/>
    <n v="0"/>
    <n v="-0.49868884652896694"/>
    <n v="0"/>
    <n v="0.40074137090909095"/>
    <n v="9.5238095238095233E-2"/>
    <n v="0"/>
    <n v="97337"/>
    <n v="0.12009955104430997"/>
  </r>
  <r>
    <n v="374"/>
    <s v="55ee39ef-0a44-4b79-8154-a512c22bdb97"/>
    <x v="0"/>
    <x v="1"/>
    <x v="6"/>
    <s v="в ипотеке"/>
    <s v="консолидация кредитов"/>
    <n v="309594.52439999999"/>
    <n v="734"/>
    <n v="950399"/>
    <n v="17344.72"/>
    <n v="14.2"/>
    <n v="35.265240640000002"/>
    <n v="11"/>
    <n v="139897"/>
    <n v="217448"/>
    <n v="0"/>
    <n v="-1.2411115481956205E-10"/>
    <n v="0.9773635153129161"/>
    <n v="0.40074137090909095"/>
    <n v="0.23809523809523808"/>
    <n v="0"/>
    <n v="79199.916666666672"/>
    <n v="0.21899922032746247"/>
  </r>
  <r>
    <n v="713"/>
    <s v="7fff04e9-478b-4da3-acfd-6a5c0f949ddb"/>
    <x v="0"/>
    <x v="1"/>
    <x v="1"/>
    <s v="в аренде"/>
    <s v="консолидация кредитов"/>
    <n v="82610"/>
    <n v="0"/>
    <n v="1168044"/>
    <n v="7767.2"/>
    <n v="22.2"/>
    <n v="35.265240640000002"/>
    <n v="4"/>
    <n v="48108"/>
    <n v="216766"/>
    <n v="0"/>
    <n v="-1.2922866581484442"/>
    <n v="0"/>
    <n v="0.40074137090909095"/>
    <n v="7.1428571428571425E-2"/>
    <n v="0"/>
    <n v="97337"/>
    <n v="7.9796993948858086E-2"/>
  </r>
  <r>
    <n v="1053"/>
    <s v="e27b5bfc-6f93-48d0-970f-59341606062e"/>
    <x v="0"/>
    <x v="1"/>
    <x v="7"/>
    <s v="в ипотеке"/>
    <s v="консолидация кредитов"/>
    <n v="142186"/>
    <n v="705"/>
    <n v="793459"/>
    <n v="16464.07"/>
    <n v="28.9"/>
    <n v="62"/>
    <n v="8"/>
    <n v="85291"/>
    <n v="216590"/>
    <n v="1"/>
    <n v="-0.95310375507623069"/>
    <n v="0.93874833555259651"/>
    <n v="0.70454545454545459"/>
    <n v="0.16666666666666666"/>
    <n v="0.14285714285714285"/>
    <n v="66121.583333333328"/>
    <n v="0.24899691099351071"/>
  </r>
  <r>
    <n v="82"/>
    <s v="3c75455c-6827-49fc-b91d-3001a1a5c9ba"/>
    <x v="0"/>
    <x v="1"/>
    <x v="5"/>
    <s v="в ипотеке"/>
    <s v="иное"/>
    <n v="89320"/>
    <n v="748"/>
    <n v="1832075"/>
    <n v="13312.92"/>
    <n v="19"/>
    <n v="35.265240640000002"/>
    <n v="6"/>
    <n v="127946"/>
    <n v="216260"/>
    <n v="0"/>
    <n v="-1.2540847432898676"/>
    <n v="0.99600532623169102"/>
    <n v="0.40074137090909095"/>
    <n v="0.11904761904761904"/>
    <n v="0"/>
    <n v="152672.91666666666"/>
    <n v="8.7198962924552773E-2"/>
  </r>
  <r>
    <n v="1491"/>
    <s v="11ddc5c8-23f4-4a8d-b75a-20197df401c2"/>
    <x v="0"/>
    <x v="0"/>
    <x v="5"/>
    <s v="в ипотеке"/>
    <s v="консолидация кредитов"/>
    <n v="309594.52439999999"/>
    <n v="738"/>
    <n v="1678878"/>
    <n v="17908.07"/>
    <n v="22"/>
    <n v="41"/>
    <n v="7"/>
    <n v="93879"/>
    <n v="216128"/>
    <n v="0"/>
    <n v="-1.2411115481956205E-10"/>
    <n v="0.9826897470039947"/>
    <n v="0.46590909090909088"/>
    <n v="0.14285714285714285"/>
    <n v="0"/>
    <n v="139906.5"/>
    <n v="0.12800027160996807"/>
  </r>
  <r>
    <n v="359"/>
    <s v="edfb58ce-4aaa-4ab9-a448-caba8034a937"/>
    <x v="0"/>
    <x v="0"/>
    <x v="1"/>
    <s v="в ипотеке"/>
    <s v="консолидация кредитов"/>
    <n v="545160"/>
    <n v="699"/>
    <n v="3954888"/>
    <n v="27881.93"/>
    <n v="18.100000000000001"/>
    <n v="39"/>
    <n v="15"/>
    <n v="163020"/>
    <n v="215974"/>
    <n v="0"/>
    <n v="1.3411404234960489"/>
    <n v="0.93075898801597867"/>
    <n v="0.44318181818181818"/>
    <n v="0.33333333333333331"/>
    <n v="0"/>
    <n v="329574"/>
    <n v="8.4599907759714058E-2"/>
  </r>
  <r>
    <n v="419"/>
    <s v="ab46b1a7-f937-4ba9-ac98-270344120cf7"/>
    <x v="0"/>
    <x v="1"/>
    <x v="5"/>
    <s v="в аренде"/>
    <s v="консолидация кредитов"/>
    <n v="152372"/>
    <n v="697"/>
    <n v="845937"/>
    <n v="2876.22"/>
    <n v="8.8000000000000007"/>
    <n v="46"/>
    <n v="10"/>
    <n v="56943"/>
    <n v="215468"/>
    <n v="0"/>
    <n v="-0.89511199579911294"/>
    <n v="0.92809587217043943"/>
    <n v="0.52272727272727271"/>
    <n v="0.21428571428571427"/>
    <n v="0"/>
    <n v="70494.75"/>
    <n v="4.0800485142510612E-2"/>
  </r>
  <r>
    <n v="421"/>
    <s v="ab46b1a7-f937-4ba9-ac98-270344120cf7"/>
    <x v="0"/>
    <x v="1"/>
    <x v="5"/>
    <s v="в аренде"/>
    <s v="консолидация кредитов"/>
    <n v="152372"/>
    <n v="697"/>
    <n v="845937"/>
    <n v="2876.22"/>
    <n v="8.8000000000000007"/>
    <n v="46"/>
    <n v="10"/>
    <n v="56943"/>
    <n v="215468"/>
    <n v="0"/>
    <n v="-0.89511199579911294"/>
    <n v="0.92809587217043943"/>
    <n v="0.52272727272727271"/>
    <n v="0.21428571428571427"/>
    <n v="0"/>
    <n v="70494.75"/>
    <n v="4.0800485142510612E-2"/>
  </r>
  <r>
    <n v="709"/>
    <s v="9f62fff8-b67f-4ba1-be06-1c9af63cfe52"/>
    <x v="1"/>
    <x v="1"/>
    <x v="3"/>
    <s v="в ипотеке"/>
    <s v="консолидация кредитов"/>
    <n v="322300"/>
    <n v="733"/>
    <n v="891480"/>
    <n v="23772.799999999999"/>
    <n v="22.6"/>
    <n v="11"/>
    <n v="11"/>
    <n v="53827"/>
    <n v="214918"/>
    <n v="0"/>
    <n v="7.2335841471853235E-2"/>
    <n v="0.97603195739014648"/>
    <n v="0.125"/>
    <n v="0.23809523809523808"/>
    <n v="0"/>
    <n v="74290"/>
    <n v="0.32"/>
  </r>
  <r>
    <n v="102"/>
    <s v="5df79973-ce71-49e2-a6a2-a52221cd1b1a"/>
    <x v="0"/>
    <x v="1"/>
    <x v="0"/>
    <s v="в аренде"/>
    <s v="иное"/>
    <n v="132792"/>
    <n v="751"/>
    <n v="668990"/>
    <n v="6132.25"/>
    <n v="14.7"/>
    <n v="35.265240640000002"/>
    <n v="5"/>
    <n v="61199"/>
    <n v="214742"/>
    <n v="0"/>
    <n v="-1.0065864358782377"/>
    <n v="1"/>
    <n v="0.40074137090909095"/>
    <n v="9.5238095238095233E-2"/>
    <n v="0"/>
    <n v="55749.166666666664"/>
    <n v="0.10999715989775632"/>
  </r>
  <r>
    <n v="1537"/>
    <s v="3a2ab379-e2b1-468e-ae54-72c784616788"/>
    <x v="1"/>
    <x v="0"/>
    <x v="2"/>
    <s v="в ипотеке"/>
    <s v="консолидация кредитов"/>
    <n v="546876"/>
    <n v="0"/>
    <n v="1168044"/>
    <n v="24642.62"/>
    <n v="23.4"/>
    <n v="35.265240640000002"/>
    <n v="13"/>
    <n v="141094"/>
    <n v="214698"/>
    <n v="0"/>
    <n v="1.3509100935254554"/>
    <n v="0"/>
    <n v="0.40074137090909095"/>
    <n v="0.2857142857142857"/>
    <n v="0"/>
    <n v="97337"/>
    <n v="0.25316806558657035"/>
  </r>
  <r>
    <n v="188"/>
    <s v="e3c54e03-73c7-418d-9672-f3eda66c4f4f"/>
    <x v="0"/>
    <x v="1"/>
    <x v="9"/>
    <s v="в аренде"/>
    <s v="консолидация кредитов"/>
    <n v="476586"/>
    <n v="707"/>
    <n v="1403207"/>
    <n v="18241.52"/>
    <n v="13.4"/>
    <n v="11"/>
    <n v="6"/>
    <n v="91580"/>
    <n v="214654"/>
    <n v="0"/>
    <n v="0.9507293788593838"/>
    <n v="0.94141145139813587"/>
    <n v="0.125"/>
    <n v="0.11904761904761904"/>
    <n v="0"/>
    <n v="116933.91666666667"/>
    <n v="0.15599853763557336"/>
  </r>
  <r>
    <n v="1338"/>
    <s v="2af8bfa6-3ab7-4f14-b71a-2ee5dfed5038"/>
    <x v="0"/>
    <x v="0"/>
    <x v="0"/>
    <s v="в аренде"/>
    <s v="консолидация кредитов"/>
    <n v="214522"/>
    <n v="723"/>
    <n v="518757"/>
    <n v="6441.19"/>
    <n v="17.600000000000001"/>
    <n v="35.265240640000002"/>
    <n v="7"/>
    <n v="148675"/>
    <n v="214654"/>
    <n v="1"/>
    <n v="-0.54127458768278991"/>
    <n v="0.96271637816245004"/>
    <n v="0.40074137090909095"/>
    <n v="0.14285714285714285"/>
    <n v="0.14285714285714285"/>
    <n v="43229.75"/>
    <n v="0.14899901109768157"/>
  </r>
  <r>
    <n v="813"/>
    <s v="13dca6a4-d993-4e0e-bafe-9efe877b8669"/>
    <x v="1"/>
    <x v="1"/>
    <x v="7"/>
    <s v="в аренде"/>
    <s v="консолидация кредитов"/>
    <n v="446820"/>
    <n v="715"/>
    <n v="1254228"/>
    <n v="6427.89"/>
    <n v="16.5"/>
    <n v="35.265240640000002"/>
    <n v="3"/>
    <n v="110903"/>
    <n v="214390"/>
    <n v="0"/>
    <n v="0.78126317950314128"/>
    <n v="0.95206391478029295"/>
    <n v="0.40074137090909095"/>
    <n v="4.7619047619047616E-2"/>
    <n v="0"/>
    <n v="104519"/>
    <n v="6.1499727322305041E-2"/>
  </r>
  <r>
    <n v="963"/>
    <s v="71a86951-50e3-43ab-9d06-87d7bc264e33"/>
    <x v="0"/>
    <x v="1"/>
    <x v="1"/>
    <s v="в аренде"/>
    <s v="консолидация кредитов"/>
    <n v="172700"/>
    <n v="723"/>
    <n v="775542"/>
    <n v="19840.939999999999"/>
    <n v="14.9"/>
    <n v="35.265240640000002"/>
    <n v="12"/>
    <n v="109269"/>
    <n v="213708"/>
    <n v="1"/>
    <n v="-0.77937898160460584"/>
    <n v="0.96271637816245004"/>
    <n v="0.40074137090909095"/>
    <n v="0.26190476190476192"/>
    <n v="0.14285714285714285"/>
    <n v="64628.5"/>
    <n v="0.30699985300602672"/>
  </r>
  <r>
    <n v="891"/>
    <s v="8e92af1d-3239-455a-b1a5-9795d4b11bbb"/>
    <x v="0"/>
    <x v="1"/>
    <x v="1"/>
    <s v="в аренде"/>
    <s v="иное"/>
    <n v="112332"/>
    <n v="699"/>
    <n v="873050"/>
    <n v="15787.48"/>
    <n v="17.2"/>
    <n v="35.265240640000002"/>
    <n v="7"/>
    <n v="175978"/>
    <n v="213356"/>
    <n v="0"/>
    <n v="-1.12307096315193"/>
    <n v="0.93075898801597867"/>
    <n v="0.40074137090909095"/>
    <n v="0.14285714285714285"/>
    <n v="0"/>
    <n v="72754.166666666672"/>
    <n v="0.21699760609357996"/>
  </r>
  <r>
    <n v="1181"/>
    <s v="6c855362-32f5-4639-bbbb-b040821488de"/>
    <x v="1"/>
    <x v="1"/>
    <x v="3"/>
    <s v="в аренде"/>
    <s v="консолидация кредитов"/>
    <n v="55946"/>
    <n v="727"/>
    <n v="501771"/>
    <n v="8655.4500000000007"/>
    <n v="16.8"/>
    <n v="35.265240640000002"/>
    <n v="6"/>
    <n v="40432"/>
    <n v="212828"/>
    <n v="0"/>
    <n v="-1.4440923001438366"/>
    <n v="0.96804260985352863"/>
    <n v="0.40074137090909095"/>
    <n v="0.11904761904761904"/>
    <n v="0"/>
    <n v="41814.25"/>
    <n v="0.20699761444961948"/>
  </r>
  <r>
    <n v="977"/>
    <s v="deed9021-d878-4200-b8f4-94f4c63b9b01"/>
    <x v="0"/>
    <x v="0"/>
    <x v="2"/>
    <s v="в ипотеке"/>
    <s v="консолидация кредитов"/>
    <n v="372196"/>
    <n v="665"/>
    <n v="1243645"/>
    <n v="10778.13"/>
    <n v="16"/>
    <n v="35.265240640000002"/>
    <n v="6"/>
    <n v="147269"/>
    <n v="212608"/>
    <n v="0"/>
    <n v="0.35640778540382517"/>
    <n v="0.88548601864181087"/>
    <n v="0.40074137090909095"/>
    <n v="0.11904761904761904"/>
    <n v="0"/>
    <n v="103637.08333333333"/>
    <n v="0.10399877778626537"/>
  </r>
  <r>
    <n v="140"/>
    <s v="ec83df40-a37c-4c6f-89c4-e2dbe965026e"/>
    <x v="0"/>
    <x v="1"/>
    <x v="5"/>
    <s v="в аренде"/>
    <s v="консолидация кредитов"/>
    <n v="129844"/>
    <n v="0"/>
    <n v="1168044"/>
    <n v="16120.17"/>
    <n v="14.2"/>
    <n v="35.265240640000002"/>
    <n v="10"/>
    <n v="110618"/>
    <n v="212058"/>
    <n v="0"/>
    <n v="-1.0233702279800385"/>
    <n v="0"/>
    <n v="0.40074137090909095"/>
    <n v="0.21428571428571427"/>
    <n v="0"/>
    <n v="97337"/>
    <n v="0.16561194612531721"/>
  </r>
  <r>
    <n v="1448"/>
    <s v="c2ddd5b7-5938-46f1-bfc0-321c571ebf9e"/>
    <x v="0"/>
    <x v="1"/>
    <x v="9"/>
    <s v="в аренде"/>
    <s v="консолидация кредитов"/>
    <n v="215798"/>
    <n v="725"/>
    <n v="1358994"/>
    <n v="2502.87"/>
    <n v="15.5"/>
    <n v="35.265240640000002"/>
    <n v="7"/>
    <n v="114133"/>
    <n v="211442"/>
    <n v="0"/>
    <n v="-0.53400996125066713"/>
    <n v="0.96537949400798939"/>
    <n v="0.40074137090909095"/>
    <n v="0.14285714285714285"/>
    <n v="0"/>
    <n v="113249.5"/>
    <n v="2.2100494924922404E-2"/>
  </r>
  <r>
    <n v="1341"/>
    <s v="5052efb5-c669-4b69-ad7a-41b06b9b3f83"/>
    <x v="0"/>
    <x v="1"/>
    <x v="5"/>
    <s v="в аренде"/>
    <s v="консолидация кредитов"/>
    <n v="171776"/>
    <n v="0"/>
    <n v="1168044"/>
    <n v="9462"/>
    <n v="6.6"/>
    <n v="35.265240640000002"/>
    <n v="5"/>
    <n v="101270"/>
    <n v="210518"/>
    <n v="0"/>
    <n v="-0.78463957315890165"/>
    <n v="0"/>
    <n v="0.40074137090909095"/>
    <n v="9.5238095238095233E-2"/>
    <n v="0"/>
    <n v="97337"/>
    <n v="9.7208666796798751E-2"/>
  </r>
  <r>
    <n v="1729"/>
    <s v="f2e2c480-fa67-4014-aa27-fcb2cbac5a81"/>
    <x v="1"/>
    <x v="1"/>
    <x v="7"/>
    <s v="в ипотеке"/>
    <s v="консолидация кредитов"/>
    <n v="151096"/>
    <n v="721"/>
    <n v="671137"/>
    <n v="12863.57"/>
    <n v="17.899999999999999"/>
    <n v="8"/>
    <n v="8"/>
    <n v="108509"/>
    <n v="209396"/>
    <n v="0"/>
    <n v="-0.90237662223123571"/>
    <n v="0.96005326231691079"/>
    <n v="9.0909090909090912E-2"/>
    <n v="0.16666666666666666"/>
    <n v="0"/>
    <n v="55928.083333333336"/>
    <n v="0.23000198171163264"/>
  </r>
  <r>
    <n v="897"/>
    <s v="e5a50c20-93a3-4fae-a239-fcb0a899b718"/>
    <x v="0"/>
    <x v="0"/>
    <x v="1"/>
    <s v="в ипотеке"/>
    <s v="консолидация кредитов"/>
    <n v="457666"/>
    <n v="0"/>
    <n v="1168044"/>
    <n v="7381.31"/>
    <n v="39"/>
    <n v="35.265240640000002"/>
    <n v="4"/>
    <n v="173090"/>
    <n v="209198"/>
    <n v="0"/>
    <n v="0.84301250417618456"/>
    <n v="0"/>
    <n v="0.40074137090909095"/>
    <n v="7.1428571428571425E-2"/>
    <n v="0"/>
    <n v="97337"/>
    <n v="7.5832520007807935E-2"/>
  </r>
  <r>
    <n v="1169"/>
    <s v="c72aa52e-d987-4eec-abd8-bd1d29efb1d0"/>
    <x v="0"/>
    <x v="1"/>
    <x v="6"/>
    <s v="в аренде"/>
    <s v="консолидация кредитов"/>
    <n v="309594.52439999999"/>
    <n v="729"/>
    <n v="975251"/>
    <n v="8777.24"/>
    <n v="23.4"/>
    <n v="49"/>
    <n v="7"/>
    <n v="110732"/>
    <n v="208472"/>
    <n v="1"/>
    <n v="-1.2411115481956205E-10"/>
    <n v="0.97070572569906788"/>
    <n v="0.55681818181818177"/>
    <n v="0.14285714285714285"/>
    <n v="0.14285714285714285"/>
    <n v="81270.916666666672"/>
    <n v="0.10799976621403104"/>
  </r>
  <r>
    <n v="1325"/>
    <s v="d942d440-d71a-4c23-b5eb-45d4a4169c9a"/>
    <x v="0"/>
    <x v="1"/>
    <x v="1"/>
    <s v="в ипотеке"/>
    <s v="консолидация кредитов"/>
    <n v="218174"/>
    <n v="731"/>
    <n v="1168215"/>
    <n v="12947.93"/>
    <n v="25.4"/>
    <n v="35.265240640000002"/>
    <n v="8"/>
    <n v="156522"/>
    <n v="208318"/>
    <n v="1"/>
    <n v="-0.52048272582533517"/>
    <n v="0.97336884154460723"/>
    <n v="0.40074137090909095"/>
    <n v="0.16666666666666666"/>
    <n v="0.14285714285714285"/>
    <n v="97351.25"/>
    <n v="0.13300219565747742"/>
  </r>
  <r>
    <n v="1785"/>
    <s v="0bf8e7e8-371a-4575-9f5c-32617c8d16ff"/>
    <x v="0"/>
    <x v="1"/>
    <x v="5"/>
    <s v="в аренде"/>
    <s v="консолидация кредитов"/>
    <n v="176836"/>
    <n v="0"/>
    <n v="1168044"/>
    <n v="16852.810000000001"/>
    <n v="14.8"/>
    <n v="39"/>
    <n v="9"/>
    <n v="154280"/>
    <n v="207724"/>
    <n v="0"/>
    <n v="-0.75583157179013905"/>
    <n v="0"/>
    <n v="0.44318181818181818"/>
    <n v="0.19047619047619047"/>
    <n v="0"/>
    <n v="97337"/>
    <n v="0.17313878586765569"/>
  </r>
  <r>
    <n v="783"/>
    <s v="1bdb2782-30ef-45e4-b936-48fbc200b5ac"/>
    <x v="0"/>
    <x v="1"/>
    <x v="10"/>
    <s v="в аренде"/>
    <s v="консолидация кредитов"/>
    <n v="217888"/>
    <n v="735"/>
    <n v="1223144"/>
    <n v="9163.51"/>
    <n v="10.8"/>
    <n v="35.265240640000002"/>
    <n v="8"/>
    <n v="117952"/>
    <n v="207570"/>
    <n v="0"/>
    <n v="-0.52211100416356959"/>
    <n v="0.97869507323568572"/>
    <n v="0.40074137090909095"/>
    <n v="0.16666666666666666"/>
    <n v="0"/>
    <n v="101928.66666666667"/>
    <n v="8.9901205418168262E-2"/>
  </r>
  <r>
    <n v="1666"/>
    <s v="de5dd7c7-007d-48fb-b46e-86834df7030b"/>
    <x v="0"/>
    <x v="1"/>
    <x v="1"/>
    <s v="в ипотеке"/>
    <s v="консолидация кредитов"/>
    <n v="215512"/>
    <n v="708"/>
    <n v="1535048"/>
    <n v="9325.39"/>
    <n v="15.8"/>
    <n v="38"/>
    <n v="9"/>
    <n v="126388"/>
    <n v="206712"/>
    <n v="1"/>
    <n v="-0.53563823958890155"/>
    <n v="0.94274300932090549"/>
    <n v="0.43181818181818182"/>
    <n v="0.19047619047619047"/>
    <n v="0.14285714285714285"/>
    <n v="127920.66666666667"/>
    <n v="7.2899792058619656E-2"/>
  </r>
  <r>
    <n v="1939"/>
    <s v="bb5aae8a-6389-4583-8aeb-4524cd3c1358"/>
    <x v="0"/>
    <x v="1"/>
    <x v="3"/>
    <s v="в аренде"/>
    <s v="консолидация кредитов"/>
    <n v="218988"/>
    <n v="736"/>
    <n v="1365131"/>
    <n v="14902.65"/>
    <n v="10.4"/>
    <n v="35.265240640000002"/>
    <n v="11"/>
    <n v="92758"/>
    <n v="206536"/>
    <n v="0"/>
    <n v="-0.5158483951703603"/>
    <n v="0.98002663115845534"/>
    <n v="0.40074137090909095"/>
    <n v="0.23809523809523808"/>
    <n v="0"/>
    <n v="113760.91666666667"/>
    <n v="0.13099973555651434"/>
  </r>
  <r>
    <n v="1933"/>
    <s v="0b945b76-a670-4e55-8528-dee971bac49e"/>
    <x v="0"/>
    <x v="1"/>
    <x v="1"/>
    <s v="в аренде"/>
    <s v="консолидация кредитов"/>
    <n v="202488"/>
    <n v="687"/>
    <n v="668002"/>
    <n v="10799.22"/>
    <n v="16.3"/>
    <n v="6"/>
    <n v="11"/>
    <n v="88521"/>
    <n v="206250"/>
    <n v="0"/>
    <n v="-0.60978753006849917"/>
    <n v="0.91478029294274299"/>
    <n v="6.8181818181818177E-2"/>
    <n v="0.23809523809523808"/>
    <n v="0"/>
    <n v="55666.833333333336"/>
    <n v="0.19399738324136753"/>
  </r>
  <r>
    <n v="1294"/>
    <s v="9df45839-070a-4ca9-8823-fad775d80f7e"/>
    <x v="0"/>
    <x v="1"/>
    <x v="5"/>
    <s v="в собственности"/>
    <s v="консолидация кредитов"/>
    <n v="120472"/>
    <n v="711"/>
    <n v="677502"/>
    <n v="8638.16"/>
    <n v="8.1"/>
    <n v="37"/>
    <n v="19"/>
    <n v="146699"/>
    <n v="206162"/>
    <n v="0"/>
    <n v="-1.0767276566021815"/>
    <n v="0.94673768308921435"/>
    <n v="0.42045454545454547"/>
    <n v="0.42857142857142855"/>
    <n v="0"/>
    <n v="56458.5"/>
    <n v="0.15300016826518592"/>
  </r>
  <r>
    <n v="834"/>
    <s v="06e9516e-b22b-4659-80ac-aad5e871f195"/>
    <x v="0"/>
    <x v="1"/>
    <x v="2"/>
    <s v="в ипотеке"/>
    <s v="консолидация кредитов"/>
    <n v="221276"/>
    <n v="743"/>
    <n v="1299486"/>
    <n v="12345.25"/>
    <n v="20.8"/>
    <n v="37"/>
    <n v="12"/>
    <n v="74385"/>
    <n v="206030"/>
    <n v="1"/>
    <n v="-0.50282216846448502"/>
    <n v="0.98934753661784292"/>
    <n v="0.42045454545454547"/>
    <n v="0.26190476190476192"/>
    <n v="0.14285714285714285"/>
    <n v="108290.5"/>
    <n v="0.11400122817791035"/>
  </r>
  <r>
    <n v="1172"/>
    <s v="6b27a3e6-9c2d-42f3-b14f-b6eeddf6394d"/>
    <x v="0"/>
    <x v="1"/>
    <x v="1"/>
    <s v="в ипотеке"/>
    <s v="консолидация кредитов"/>
    <n v="417164"/>
    <n v="709"/>
    <n v="1002364"/>
    <n v="9271.81"/>
    <n v="21.7"/>
    <n v="45"/>
    <n v="8"/>
    <n v="136705"/>
    <n v="205832"/>
    <n v="0"/>
    <n v="0.6124232410462197"/>
    <n v="0.94407456724367511"/>
    <n v="0.51136363636363635"/>
    <n v="0.16666666666666666"/>
    <n v="0"/>
    <n v="83530.333333333328"/>
    <n v="0.11099931761316248"/>
  </r>
  <r>
    <n v="1708"/>
    <s v="353a480d-6ee8-4588-acc6-6a1c77363429"/>
    <x v="0"/>
    <x v="1"/>
    <x v="3"/>
    <s v="в аренде"/>
    <s v="иное"/>
    <n v="37752"/>
    <n v="715"/>
    <n v="767372"/>
    <n v="11446.74"/>
    <n v="14.2"/>
    <n v="9"/>
    <n v="5"/>
    <n v="703"/>
    <n v="205480"/>
    <n v="0"/>
    <n v="-1.5476758528915178"/>
    <n v="0.95206391478029295"/>
    <n v="0.10227272727272728"/>
    <n v="9.5238095238095233E-2"/>
    <n v="0"/>
    <n v="63947.666666666664"/>
    <n v="0.17900168366841637"/>
  </r>
  <r>
    <n v="1279"/>
    <s v="a2e3645c-dac6-4f31-8e42-99d76e20aa78"/>
    <x v="0"/>
    <x v="0"/>
    <x v="5"/>
    <s v="в аренде"/>
    <s v="консолидация кредитов"/>
    <n v="699006"/>
    <n v="707"/>
    <n v="1886510"/>
    <n v="16349.88"/>
    <n v="15.4"/>
    <n v="35.265240640000002"/>
    <n v="6"/>
    <n v="18411"/>
    <n v="204996"/>
    <n v="0"/>
    <n v="2.2170289172862958"/>
    <n v="0.94141145139813587"/>
    <n v="0.40074137090909095"/>
    <n v="0.11904761904761904"/>
    <n v="0"/>
    <n v="157209.16666666666"/>
    <n v="0.10400080572061637"/>
  </r>
  <r>
    <n v="1916"/>
    <s v="277ce792-7895-4df7-ae9b-6349b7e48261"/>
    <x v="0"/>
    <x v="1"/>
    <x v="8"/>
    <s v="в собственности"/>
    <s v="консолидация кредитов"/>
    <n v="440044"/>
    <n v="745"/>
    <n v="1900190"/>
    <n v="24860.74"/>
    <n v="20.6"/>
    <n v="33"/>
    <n v="10"/>
    <n v="66120"/>
    <n v="204732"/>
    <n v="0"/>
    <n v="0.74268550810497225"/>
    <n v="0.99201065246338216"/>
    <n v="0.375"/>
    <n v="0.21428571428571427"/>
    <n v="0"/>
    <n v="158349.16666666666"/>
    <n v="0.15699950004999502"/>
  </r>
  <r>
    <n v="1065"/>
    <s v="fae73d75-089a-4406-9c2b-94c37baa8009"/>
    <x v="0"/>
    <x v="0"/>
    <x v="9"/>
    <s v="в ипотеке"/>
    <s v="консолидация кредитов"/>
    <n v="299420"/>
    <n v="677"/>
    <n v="836589"/>
    <n v="6748.42"/>
    <n v="22.8"/>
    <n v="39"/>
    <n v="7"/>
    <n v="99142"/>
    <n v="204622"/>
    <n v="2"/>
    <n v="-5.7926425586899338E-2"/>
    <n v="0.90146471371504655"/>
    <n v="0.44318181818181818"/>
    <n v="0.14285714285714285"/>
    <n v="0.2857142857142857"/>
    <n v="69715.75"/>
    <n v="9.6799073380118547E-2"/>
  </r>
  <r>
    <n v="1791"/>
    <s v="0194e40b-d2a8-4410-b580-2931b30d868b"/>
    <x v="0"/>
    <x v="1"/>
    <x v="3"/>
    <s v="в ипотеке"/>
    <s v="консолидация кредитов"/>
    <n v="177276"/>
    <n v="0"/>
    <n v="1168044"/>
    <n v="15507.04"/>
    <n v="20.100000000000001"/>
    <n v="23"/>
    <n v="9"/>
    <n v="127376"/>
    <n v="203984"/>
    <n v="0"/>
    <n v="-0.75332652819285539"/>
    <n v="0"/>
    <n v="0.26136363636363635"/>
    <n v="0.19047619047619047"/>
    <n v="0"/>
    <n v="97337"/>
    <n v="0.15931290259613509"/>
  </r>
  <r>
    <n v="542"/>
    <s v="3c8fc36b-be7a-4ba3-87ed-41bb85d9c82e"/>
    <x v="0"/>
    <x v="1"/>
    <x v="1"/>
    <s v="в ипотеке"/>
    <s v="консолидация кредитов"/>
    <n v="132462"/>
    <n v="691"/>
    <n v="781736"/>
    <n v="4156.0600000000004"/>
    <n v="15.6"/>
    <n v="35.265240640000002"/>
    <n v="4"/>
    <n v="82517"/>
    <n v="203302"/>
    <n v="1"/>
    <n v="-1.0084652185762006"/>
    <n v="0.92010652463382159"/>
    <n v="0.40074137090909095"/>
    <n v="7.1428571428571425E-2"/>
    <n v="0.14285714285714285"/>
    <n v="65144.666666666664"/>
    <n v="6.3797394516818984E-2"/>
  </r>
  <r>
    <n v="1600"/>
    <s v="63c5a3e5-1b7d-423b-9a8e-b93e8ff2ad3b"/>
    <x v="0"/>
    <x v="1"/>
    <x v="8"/>
    <s v="в ипотеке"/>
    <s v="консолидация кредитов"/>
    <n v="427328"/>
    <n v="710"/>
    <n v="1029895"/>
    <n v="23172.78"/>
    <n v="19.7"/>
    <n v="33"/>
    <n v="11"/>
    <n v="79192"/>
    <n v="203302"/>
    <n v="1"/>
    <n v="0.6702897481434732"/>
    <n v="0.94540612516644473"/>
    <n v="0.375"/>
    <n v="0.23809523809523808"/>
    <n v="0.14285714285714285"/>
    <n v="85824.583333333328"/>
    <n v="0.27000166036343509"/>
  </r>
  <r>
    <n v="1412"/>
    <s v="30c4cfc2-15e7-4833-b4fd-8823d362118d"/>
    <x v="0"/>
    <x v="1"/>
    <x v="3"/>
    <s v="в аренде"/>
    <s v="консолидация кредитов"/>
    <n v="223234"/>
    <n v="724"/>
    <n v="1156758"/>
    <n v="5668.08"/>
    <n v="13"/>
    <n v="35.265240640000002"/>
    <n v="7"/>
    <n v="156370"/>
    <n v="203214"/>
    <n v="0"/>
    <n v="-0.49167472445657256"/>
    <n v="0.96404793608521966"/>
    <n v="0.40074137090909095"/>
    <n v="0.14285714285714285"/>
    <n v="0"/>
    <n v="96396.5"/>
    <n v="5.8799645215334581E-2"/>
  </r>
  <r>
    <n v="645"/>
    <s v="9434bb58-ec87-4e87-9177-25b9ea9c3b58"/>
    <x v="0"/>
    <x v="1"/>
    <x v="8"/>
    <s v="в ипотеке"/>
    <s v="консолидация кредитов"/>
    <n v="309594.52439999999"/>
    <n v="721"/>
    <n v="777024"/>
    <n v="4506.8"/>
    <n v="12"/>
    <n v="35.265240640000002"/>
    <n v="3"/>
    <n v="161405"/>
    <n v="202488"/>
    <n v="1"/>
    <n v="-1.2411115481956205E-10"/>
    <n v="0.96005326231691079"/>
    <n v="0.40074137090909095"/>
    <n v="4.7619047619047616E-2"/>
    <n v="0.14285714285714285"/>
    <n v="64752"/>
    <n v="6.960093896713615E-2"/>
  </r>
  <r>
    <n v="477"/>
    <s v="25f9b079-a3b3-4f09-9611-dc0ea52c8d33"/>
    <x v="0"/>
    <x v="1"/>
    <x v="1"/>
    <s v="в аренде"/>
    <s v="иное"/>
    <n v="309594.52439999999"/>
    <n v="700"/>
    <n v="730588"/>
    <n v="6149.16"/>
    <n v="9.1999999999999993"/>
    <n v="60"/>
    <n v="7"/>
    <n v="38437"/>
    <n v="202268"/>
    <n v="0"/>
    <n v="-1.2411115481956205E-10"/>
    <n v="0.93209054593874829"/>
    <n v="0.68181818181818177"/>
    <n v="0.14285714285714285"/>
    <n v="0"/>
    <n v="60882.333333333336"/>
    <n v="0.10100072818058878"/>
  </r>
  <r>
    <n v="1410"/>
    <s v="603246c5-8c17-4aa7-8879-e1a5c9c3de87"/>
    <x v="1"/>
    <x v="1"/>
    <x v="1"/>
    <s v="в собственности"/>
    <s v="консолидация кредитов"/>
    <n v="217514"/>
    <n v="654"/>
    <n v="525996"/>
    <n v="4996.8100000000004"/>
    <n v="9.6999999999999993"/>
    <n v="35.265240640000002"/>
    <n v="7"/>
    <n v="122227"/>
    <n v="202202"/>
    <n v="0"/>
    <n v="-0.5242402912212607"/>
    <n v="0.87083888149134492"/>
    <n v="0.40074137090909095"/>
    <n v="0.14285714285714285"/>
    <n v="0"/>
    <n v="43833"/>
    <n v="0.11399653229302124"/>
  </r>
  <r>
    <n v="172"/>
    <s v="ee43e681-9eca-4f0a-9b37-0c7a242b7963"/>
    <x v="0"/>
    <x v="1"/>
    <x v="4"/>
    <s v="в аренде"/>
    <s v="консолидация кредитов"/>
    <n v="263648"/>
    <n v="736"/>
    <n v="1138518"/>
    <n v="12808.28"/>
    <n v="15"/>
    <n v="35.265240640000002"/>
    <n v="6"/>
    <n v="61788"/>
    <n v="202092"/>
    <n v="1"/>
    <n v="-0.26158647004606439"/>
    <n v="0.98002663115845534"/>
    <n v="0.40074137090909095"/>
    <n v="0.11904761904761904"/>
    <n v="0.14285714285714285"/>
    <n v="94876.5"/>
    <n v="0.1349994993491539"/>
  </r>
  <r>
    <n v="1349"/>
    <s v="8f316f59-314a-4dbb-9625-a9f1df648c0d"/>
    <x v="0"/>
    <x v="0"/>
    <x v="7"/>
    <s v="в ипотеке"/>
    <s v="консолидация кредитов"/>
    <n v="237930"/>
    <n v="711"/>
    <n v="1245374"/>
    <n v="30511.72"/>
    <n v="22.9"/>
    <n v="44"/>
    <n v="11"/>
    <n v="145635"/>
    <n v="201938"/>
    <n v="1"/>
    <n v="-0.40800626830729686"/>
    <n v="0.94673768308921435"/>
    <n v="0.5"/>
    <n v="0.23809523809523808"/>
    <n v="0.14285714285714285"/>
    <n v="103781.16666666667"/>
    <n v="0.29400054923259999"/>
  </r>
  <r>
    <n v="1207"/>
    <s v="de4d30d6-70ed-4189-82b2-41a9ab4824bc"/>
    <x v="0"/>
    <x v="1"/>
    <x v="1"/>
    <s v="в аренде"/>
    <s v="консолидация кредитов"/>
    <n v="39006"/>
    <n v="717"/>
    <n v="291992"/>
    <n v="6034.4"/>
    <n v="22"/>
    <n v="43"/>
    <n v="8"/>
    <n v="27512"/>
    <n v="201630"/>
    <n v="1"/>
    <n v="-1.540536478639259"/>
    <n v="0.9547270306258322"/>
    <n v="0.48863636363636365"/>
    <n v="0.16666666666666666"/>
    <n v="0.14285714285714285"/>
    <n v="24332.666666666668"/>
    <n v="0.2479958355023425"/>
  </r>
  <r>
    <n v="1393"/>
    <s v="d19fe356-f219-4624-ab6d-be53df6deee7"/>
    <x v="1"/>
    <x v="0"/>
    <x v="2"/>
    <s v="в аренде"/>
    <s v="консолидация кредитов"/>
    <n v="268708"/>
    <n v="730"/>
    <n v="870219"/>
    <n v="16454.57"/>
    <n v="23.3"/>
    <n v="35.265240640000002"/>
    <n v="5"/>
    <n v="169195"/>
    <n v="201542"/>
    <n v="0"/>
    <n v="-0.23277846867730181"/>
    <n v="0.9720372836218375"/>
    <n v="0.40074137090909095"/>
    <n v="9.5238095238095233E-2"/>
    <n v="0"/>
    <n v="72518.25"/>
    <n v="0.22690246937839784"/>
  </r>
  <r>
    <n v="308"/>
    <s v="597b6a21-89f4-4c78-83a4-ab24a7725c52"/>
    <x v="1"/>
    <x v="1"/>
    <x v="7"/>
    <s v="в ипотеке"/>
    <s v="консолидация кредитов"/>
    <n v="141636"/>
    <n v="716"/>
    <n v="1051175"/>
    <n v="13227.04"/>
    <n v="12.5"/>
    <n v="18"/>
    <n v="12"/>
    <n v="151791"/>
    <n v="201322"/>
    <n v="0"/>
    <n v="-0.95623505957283539"/>
    <n v="0.95339547270306257"/>
    <n v="0.20454545454545456"/>
    <n v="0.26190476190476192"/>
    <n v="0"/>
    <n v="87597.916666666672"/>
    <n v="0.15099719837324899"/>
  </r>
  <r>
    <n v="1152"/>
    <s v="d9c79be8-4a3a-4e26-bee2-a3dfe20c6893"/>
    <x v="0"/>
    <x v="1"/>
    <x v="1"/>
    <s v="в ипотеке"/>
    <s v="иное"/>
    <n v="108240"/>
    <n v="0"/>
    <n v="1168044"/>
    <n v="12202.37"/>
    <n v="27.2"/>
    <n v="30"/>
    <n v="10"/>
    <n v="68951"/>
    <n v="201102"/>
    <n v="0"/>
    <n v="-1.1463678686066685"/>
    <n v="0"/>
    <n v="0.34090909090909088"/>
    <n v="0.21428571428571427"/>
    <n v="0"/>
    <n v="97337"/>
    <n v="0.12536209252391178"/>
  </r>
  <r>
    <n v="1520"/>
    <s v="c0ed6375-b0bf-4897-9435-3e60e03248ab"/>
    <x v="1"/>
    <x v="0"/>
    <x v="1"/>
    <s v="в ипотеке"/>
    <s v="консолидация кредитов"/>
    <n v="319374"/>
    <n v="0"/>
    <n v="1168044"/>
    <n v="12721.64"/>
    <n v="18.600000000000001"/>
    <n v="21"/>
    <n v="4"/>
    <n v="58558"/>
    <n v="200024"/>
    <n v="0"/>
    <n v="5.5677301549916611E-2"/>
    <n v="0"/>
    <n v="0.23863636363636365"/>
    <n v="7.1428571428571425E-2"/>
    <n v="0"/>
    <n v="97337"/>
    <n v="0.13069685731016981"/>
  </r>
  <r>
    <n v="57"/>
    <s v="9966e08c-04a6-41ab-86d0-e4062c64bd41"/>
    <x v="1"/>
    <x v="1"/>
    <x v="0"/>
    <s v="в аренде"/>
    <s v="крупная покупка"/>
    <n v="78012"/>
    <n v="738"/>
    <n v="728726"/>
    <n v="10135.36"/>
    <n v="11.4"/>
    <n v="35.265240640000002"/>
    <n v="8"/>
    <n v="104633"/>
    <n v="199936"/>
    <n v="0"/>
    <n v="-1.3184643637400588"/>
    <n v="0.9826897470039947"/>
    <n v="0.40074137090909095"/>
    <n v="0.16666666666666666"/>
    <n v="0"/>
    <n v="60727.166666666664"/>
    <n v="0.16689993221046046"/>
  </r>
  <r>
    <n v="775"/>
    <s v="3c4686b9-b1f9-4afe-8f92-613aefa52e85"/>
    <x v="1"/>
    <x v="1"/>
    <x v="8"/>
    <s v="в ипотеке"/>
    <s v="бизнес"/>
    <n v="46156"/>
    <n v="654"/>
    <n v="1640745"/>
    <n v="31721.26"/>
    <n v="16.7"/>
    <n v="63"/>
    <n v="8"/>
    <n v="164008"/>
    <n v="199914"/>
    <n v="0"/>
    <n v="-1.4998295201833989"/>
    <n v="0.87083888149134492"/>
    <n v="0.71590909090909094"/>
    <n v="0.16666666666666666"/>
    <n v="0"/>
    <n v="136728.75"/>
    <n v="0.23200138961264546"/>
  </r>
  <r>
    <n v="1541"/>
    <s v="0b920c5c-a312-4356-b9d0-c3eb4e3ca486"/>
    <x v="0"/>
    <x v="1"/>
    <x v="1"/>
    <s v="в ипотеке"/>
    <s v="консолидация кредитов"/>
    <n v="171622"/>
    <n v="0"/>
    <n v="1168044"/>
    <n v="6221.93"/>
    <n v="13.2"/>
    <n v="26"/>
    <n v="7"/>
    <n v="111131"/>
    <n v="199474"/>
    <n v="0"/>
    <n v="-0.78551633841795099"/>
    <n v="0"/>
    <n v="0.29545454545454547"/>
    <n v="0.14285714285714285"/>
    <n v="0"/>
    <n v="97337"/>
    <n v="6.3921530353308609E-2"/>
  </r>
  <r>
    <n v="1385"/>
    <s v="0d8daa84-5a54-4736-9761-b882d3b559f3"/>
    <x v="0"/>
    <x v="1"/>
    <x v="10"/>
    <s v="в ипотеке"/>
    <s v="бизнес"/>
    <n v="309594.52439999999"/>
    <n v="651"/>
    <n v="3244535"/>
    <n v="15925.23"/>
    <n v="7.4"/>
    <n v="35.265240640000002"/>
    <n v="6"/>
    <n v="40622"/>
    <n v="199276"/>
    <n v="2"/>
    <n v="-1.2411115481956205E-10"/>
    <n v="0.86684420772303594"/>
    <n v="0.40074137090909095"/>
    <n v="0.11904761904761904"/>
    <n v="0.2857142857142857"/>
    <n v="270377.91666666669"/>
    <n v="5.8899891663982663E-2"/>
  </r>
  <r>
    <n v="1234"/>
    <s v="7f9d9c68-622f-43bf-a2a6-54dff3c1836f"/>
    <x v="1"/>
    <x v="1"/>
    <x v="1"/>
    <s v="в аренде"/>
    <s v="консолидация кредитов"/>
    <n v="129668"/>
    <n v="744"/>
    <n v="466602"/>
    <n v="10887.19"/>
    <n v="23.4"/>
    <n v="35.265240640000002"/>
    <n v="9"/>
    <n v="129789"/>
    <n v="198770"/>
    <n v="0"/>
    <n v="-1.0243722454189521"/>
    <n v="0.99067909454061254"/>
    <n v="0.40074137090909095"/>
    <n v="0.19047619047619047"/>
    <n v="0"/>
    <n v="38883.5"/>
    <n v="0.27999511360860008"/>
  </r>
  <r>
    <n v="234"/>
    <s v="3e28b8e1-eec6-4c4a-8b1b-d718535bc995"/>
    <x v="0"/>
    <x v="1"/>
    <x v="6"/>
    <s v="в аренде"/>
    <s v="консолидация кредитов"/>
    <n v="309594.52439999999"/>
    <n v="699"/>
    <n v="656849"/>
    <n v="3848.07"/>
    <n v="11.7"/>
    <n v="60"/>
    <n v="10"/>
    <n v="30552"/>
    <n v="198682"/>
    <n v="0"/>
    <n v="-1.2411115481956205E-10"/>
    <n v="0.93075898801597867"/>
    <n v="0.68181818181818177"/>
    <n v="0.21428571428571427"/>
    <n v="0"/>
    <n v="54737.416666666664"/>
    <n v="7.0300540915796489E-2"/>
  </r>
  <r>
    <n v="223"/>
    <s v="529f45cf-801d-4844-994d-8b3b2db40bd9"/>
    <x v="1"/>
    <x v="1"/>
    <x v="3"/>
    <s v="в аренде"/>
    <s v="бизнес"/>
    <n v="292292"/>
    <n v="741"/>
    <n v="666805"/>
    <n v="6223.45"/>
    <n v="15"/>
    <n v="35.265240640000002"/>
    <n v="7"/>
    <n v="81016"/>
    <n v="198352"/>
    <n v="0"/>
    <n v="-9.8508131862895323E-2"/>
    <n v="0.98668442077230356"/>
    <n v="0.40074137090909095"/>
    <n v="0.14285714285714285"/>
    <n v="0"/>
    <n v="55567.083333333336"/>
    <n v="0.11199886023650092"/>
  </r>
  <r>
    <n v="193"/>
    <s v="477346c7-4293-4c1b-a712-89be53157e28"/>
    <x v="1"/>
    <x v="1"/>
    <x v="5"/>
    <s v="в аренде"/>
    <s v="консолидация кредитов"/>
    <n v="107536"/>
    <n v="0"/>
    <n v="1168044"/>
    <n v="22176.61"/>
    <n v="13.5"/>
    <n v="35.265240640000002"/>
    <n v="7"/>
    <n v="107483"/>
    <n v="197868"/>
    <n v="0"/>
    <n v="-1.1503759383623224"/>
    <n v="0"/>
    <n v="0.40074137090909095"/>
    <n v="0.14285714285714285"/>
    <n v="0"/>
    <n v="97337"/>
    <n v="0.22783330080031233"/>
  </r>
  <r>
    <n v="1936"/>
    <s v="5a2a5685-477e-4470-aa22-aa85467d17ff"/>
    <x v="1"/>
    <x v="1"/>
    <x v="1"/>
    <s v="в аренде"/>
    <s v="консолидация кредитов"/>
    <n v="142912"/>
    <n v="711"/>
    <n v="1060675"/>
    <n v="6885.6"/>
    <n v="14.7"/>
    <n v="35.265240640000002"/>
    <n v="7"/>
    <n v="138016"/>
    <n v="197560"/>
    <n v="0"/>
    <n v="-0.94897043314071261"/>
    <n v="0.94673768308921435"/>
    <n v="0.40074137090909095"/>
    <n v="0.14285714285714285"/>
    <n v="0"/>
    <n v="88389.583333333328"/>
    <n v="7.7900582176444258E-2"/>
  </r>
  <r>
    <n v="537"/>
    <s v="01c3faa5-4779-415f-99a1-2fc4e18b1ef0"/>
    <x v="1"/>
    <x v="0"/>
    <x v="6"/>
    <s v="в ипотеке"/>
    <s v="консолидация кредитов"/>
    <n v="526460"/>
    <n v="688"/>
    <n v="1041979"/>
    <n v="28306.959999999999"/>
    <n v="30.8"/>
    <n v="35.265240640000002"/>
    <n v="20"/>
    <n v="157434"/>
    <n v="197494"/>
    <n v="0"/>
    <n v="1.2346760706114916"/>
    <n v="0.91611185086551261"/>
    <n v="0.40074137090909095"/>
    <n v="0.45238095238095238"/>
    <n v="0"/>
    <n v="86831.583333333328"/>
    <n v="0.32599843183020005"/>
  </r>
  <r>
    <n v="456"/>
    <s v="9078506e-5fe4-461c-a420-66321502c708"/>
    <x v="0"/>
    <x v="0"/>
    <x v="3"/>
    <s v="в аренде"/>
    <s v="консолидация кредитов"/>
    <n v="216832"/>
    <n v="0"/>
    <n v="1168044"/>
    <n v="25920.560000000001"/>
    <n v="14"/>
    <n v="15"/>
    <n v="8"/>
    <n v="97052"/>
    <n v="197164"/>
    <n v="1"/>
    <n v="-0.52812310879705049"/>
    <n v="0"/>
    <n v="0.17045454545454544"/>
    <n v="0.16666666666666666"/>
    <n v="0.14285714285714285"/>
    <n v="97337"/>
    <n v="0.26629709154792114"/>
  </r>
  <r>
    <n v="1647"/>
    <s v="a55184ff-cd24-4248-893a-4e0f93d91e47"/>
    <x v="0"/>
    <x v="1"/>
    <x v="6"/>
    <s v="в аренде"/>
    <s v="иное"/>
    <n v="215666"/>
    <n v="691"/>
    <n v="651909"/>
    <n v="2982.62"/>
    <n v="11.3"/>
    <n v="36"/>
    <n v="7"/>
    <n v="79496"/>
    <n v="196262"/>
    <n v="0"/>
    <n v="-0.53476147432985222"/>
    <n v="0.92010652463382159"/>
    <n v="0.40909090909090912"/>
    <n v="0.14285714285714285"/>
    <n v="0"/>
    <n v="54325.75"/>
    <n v="5.4902509399318004E-2"/>
  </r>
  <r>
    <n v="1774"/>
    <s v="7c8ca538-9ede-4473-b978-e8de6cace8f0"/>
    <x v="1"/>
    <x v="1"/>
    <x v="0"/>
    <s v="в аренде"/>
    <s v="консолидация кредитов"/>
    <n v="288222"/>
    <n v="659"/>
    <n v="734027"/>
    <n v="20002.439999999999"/>
    <n v="8.9"/>
    <n v="35.265240640000002"/>
    <n v="24"/>
    <n v="52383"/>
    <n v="196262"/>
    <n v="0"/>
    <n v="-0.12167978513776959"/>
    <n v="0.87749667110519303"/>
    <n v="0.40074137090909095"/>
    <n v="0.54761904761904767"/>
    <n v="0"/>
    <n v="61168.916666666664"/>
    <n v="0.32700333911422874"/>
  </r>
  <r>
    <n v="212"/>
    <s v="9af01efe-ca83-4a69-bae2-a2d80b18e467"/>
    <x v="0"/>
    <x v="1"/>
    <x v="7"/>
    <s v="в аренде"/>
    <s v="консолидация кредитов"/>
    <n v="104368"/>
    <n v="691"/>
    <n v="853974"/>
    <n v="22559.08"/>
    <n v="20"/>
    <n v="32"/>
    <n v="10"/>
    <n v="116223"/>
    <n v="195580"/>
    <n v="1"/>
    <n v="-1.1684122522627649"/>
    <n v="0.92010652463382159"/>
    <n v="0.36363636363636365"/>
    <n v="0.21428571428571427"/>
    <n v="0.14285714285714285"/>
    <n v="71164.5"/>
    <n v="0.31699906554532109"/>
  </r>
  <r>
    <n v="269"/>
    <s v="e25e2a25-19db-4100-97fc-18282b8c98a0"/>
    <x v="0"/>
    <x v="1"/>
    <x v="1"/>
    <s v="в ипотеке"/>
    <s v="консолидация кредитов"/>
    <n v="309594.52439999999"/>
    <n v="721"/>
    <n v="805733"/>
    <n v="12757.55"/>
    <n v="15.9"/>
    <n v="45"/>
    <n v="9"/>
    <n v="93347"/>
    <n v="195448"/>
    <n v="0"/>
    <n v="-1.2411115481956205E-10"/>
    <n v="0.96005326231691079"/>
    <n v="0.51136363636363635"/>
    <n v="0.19047619047619047"/>
    <n v="0"/>
    <n v="67144.416666666672"/>
    <n v="0.19000165067087979"/>
  </r>
  <r>
    <n v="1581"/>
    <s v="145159fa-cfd1-4b9c-9848-f80631497bb6"/>
    <x v="0"/>
    <x v="1"/>
    <x v="8"/>
    <s v="в ипотеке"/>
    <s v="консолидация кредитов"/>
    <n v="173646"/>
    <n v="710"/>
    <n v="875026"/>
    <n v="13949.61"/>
    <n v="21.4"/>
    <n v="19"/>
    <n v="11"/>
    <n v="112176"/>
    <n v="195294"/>
    <n v="0"/>
    <n v="-0.77399313787044588"/>
    <n v="0.94540612516644473"/>
    <n v="0.21590909090909091"/>
    <n v="0.23809523809523808"/>
    <n v="0"/>
    <n v="72918.833333333328"/>
    <n v="0.19130325270334828"/>
  </r>
  <r>
    <n v="845"/>
    <s v="4ab01738-05af-4ace-881e-0a435c452a47"/>
    <x v="0"/>
    <x v="1"/>
    <x v="8"/>
    <s v="в аренде"/>
    <s v="консолидация кредитов"/>
    <n v="157234"/>
    <n v="0"/>
    <n v="1168044"/>
    <n v="13398.04"/>
    <n v="15.7"/>
    <n v="35.265240640000002"/>
    <n v="17"/>
    <n v="169043"/>
    <n v="194370"/>
    <n v="0"/>
    <n v="-0.86743126404912807"/>
    <n v="0"/>
    <n v="0.40074137090909095"/>
    <n v="0.38095238095238093"/>
    <n v="0"/>
    <n v="97337"/>
    <n v="0.13764591059925826"/>
  </r>
  <r>
    <n v="1577"/>
    <s v="01d86d59-a20f-4d2e-9cb4-b9157a6b13e8"/>
    <x v="0"/>
    <x v="1"/>
    <x v="0"/>
    <s v="в ипотеке"/>
    <s v="консолидация кредитов"/>
    <n v="218416"/>
    <n v="716"/>
    <n v="867711"/>
    <n v="12798.59"/>
    <n v="12.4"/>
    <n v="31"/>
    <n v="12"/>
    <n v="93138"/>
    <n v="194326"/>
    <n v="0"/>
    <n v="-0.51910495184682914"/>
    <n v="0.95339547270306257"/>
    <n v="0.35227272727272729"/>
    <n v="0.26190476190476192"/>
    <n v="0"/>
    <n v="72309.25"/>
    <n v="0.17699796360769887"/>
  </r>
  <r>
    <n v="1357"/>
    <s v="24eeadbe-2a30-47d8-8289-bced495414ac"/>
    <x v="0"/>
    <x v="1"/>
    <x v="6"/>
    <s v="в аренде"/>
    <s v="консолидация кредитов"/>
    <n v="85954"/>
    <n v="718"/>
    <n v="556719"/>
    <n v="1874.35"/>
    <n v="4.9000000000000004"/>
    <n v="35.265240640000002"/>
    <n v="4"/>
    <n v="73131"/>
    <n v="193336"/>
    <n v="0"/>
    <n v="-1.2732483268090879"/>
    <n v="0.95605858854860182"/>
    <n v="0.40074137090909095"/>
    <n v="7.1428571428571425E-2"/>
    <n v="0"/>
    <n v="46393.25"/>
    <n v="4.0401351489710247E-2"/>
  </r>
  <r>
    <n v="147"/>
    <s v="6ecfe8c1-8b24-472b-9efa-0fd181df38e9"/>
    <x v="0"/>
    <x v="1"/>
    <x v="4"/>
    <s v="в ипотеке"/>
    <s v="консолидация кредитов"/>
    <n v="214786"/>
    <n v="723"/>
    <n v="883329"/>
    <n v="11924.97"/>
    <n v="14.3"/>
    <n v="79"/>
    <n v="5"/>
    <n v="154755"/>
    <n v="193314"/>
    <n v="0"/>
    <n v="-0.53977156152441963"/>
    <n v="0.96271637816245004"/>
    <n v="0.89772727272727271"/>
    <n v="9.5238095238095233E-2"/>
    <n v="0"/>
    <n v="73610.75"/>
    <n v="0.16200038717171064"/>
  </r>
  <r>
    <n v="1702"/>
    <s v="483f9f34-14a6-4344-802d-8e371c06e157"/>
    <x v="1"/>
    <x v="1"/>
    <x v="1"/>
    <s v="в аренде"/>
    <s v="консолидация кредитов"/>
    <n v="112442"/>
    <n v="724"/>
    <n v="1420782"/>
    <n v="23206.03"/>
    <n v="28.4"/>
    <n v="35.265240640000002"/>
    <n v="11"/>
    <n v="140410"/>
    <n v="193314"/>
    <n v="0"/>
    <n v="-1.122444702252609"/>
    <n v="0.96404793608521966"/>
    <n v="0.40074137090909095"/>
    <n v="0.23809523809523808"/>
    <n v="0"/>
    <n v="118398.5"/>
    <n v="0.19599935809997593"/>
  </r>
  <r>
    <n v="1739"/>
    <s v="464c6df6-9bf3-4c1a-b5cb-6084d36bdc76"/>
    <x v="0"/>
    <x v="1"/>
    <x v="3"/>
    <s v="в ипотеке"/>
    <s v="консолидация кредитов"/>
    <n v="210650"/>
    <n v="707"/>
    <n v="1705554"/>
    <n v="19329.650000000001"/>
    <n v="16"/>
    <n v="34"/>
    <n v="14"/>
    <n v="58045"/>
    <n v="193138"/>
    <n v="0"/>
    <n v="-0.56331897133888642"/>
    <n v="0.94141145139813587"/>
    <n v="0.38636363636363635"/>
    <n v="0.30952380952380953"/>
    <n v="0"/>
    <n v="142129.5"/>
    <n v="0.13600026736180737"/>
  </r>
  <r>
    <n v="450"/>
    <s v="277f0c8d-3100-4734-acde-eabfda554112"/>
    <x v="1"/>
    <x v="1"/>
    <x v="7"/>
    <s v="в аренде"/>
    <s v="консолидация кредитов"/>
    <n v="215446"/>
    <n v="720"/>
    <n v="1308283"/>
    <n v="11992.61"/>
    <n v="22"/>
    <n v="27"/>
    <n v="13"/>
    <n v="139479"/>
    <n v="192940"/>
    <n v="0"/>
    <n v="-0.5360139961284941"/>
    <n v="0.95872170439414117"/>
    <n v="0.30681818181818182"/>
    <n v="0.2857142857142857"/>
    <n v="0"/>
    <n v="109023.58333333333"/>
    <n v="0.11000014522851709"/>
  </r>
  <r>
    <n v="428"/>
    <s v="4e3eee3d-4f66-4a08-8060-154c1cbc29fc"/>
    <x v="0"/>
    <x v="1"/>
    <x v="9"/>
    <s v="в ипотеке"/>
    <s v="консолидация кредитов"/>
    <n v="223146"/>
    <n v="719"/>
    <n v="573819"/>
    <n v="10902.58"/>
    <n v="22.6"/>
    <n v="35.265240640000002"/>
    <n v="9"/>
    <n v="77159"/>
    <n v="192544"/>
    <n v="1"/>
    <n v="-0.49217573317602931"/>
    <n v="0.95739014647137155"/>
    <n v="0.40074137090909095"/>
    <n v="0.19047619047619047"/>
    <n v="0.14285714285714285"/>
    <n v="47818.25"/>
    <n v="0.2280003973378365"/>
  </r>
  <r>
    <n v="736"/>
    <s v="0f002804-4b3c-4ab3-a5ad-331f1548ca2c"/>
    <x v="0"/>
    <x v="1"/>
    <x v="8"/>
    <s v="в аренде"/>
    <s v="консолидация кредитов"/>
    <n v="287408"/>
    <n v="699"/>
    <n v="992845"/>
    <n v="6014.83"/>
    <n v="8"/>
    <n v="35.265240640000002"/>
    <n v="7"/>
    <n v="93005"/>
    <n v="192302"/>
    <n v="0"/>
    <n v="-0.12631411579274443"/>
    <n v="0.93075898801597867"/>
    <n v="0.40074137090909095"/>
    <n v="0.14285714285714285"/>
    <n v="0"/>
    <n v="82737.083333333328"/>
    <n v="7.2698115012917425E-2"/>
  </r>
  <r>
    <n v="464"/>
    <s v="a8cc187e-2d6d-4fda-867a-f4b527a5349f"/>
    <x v="0"/>
    <x v="1"/>
    <x v="1"/>
    <s v="в аренде"/>
    <s v="консолидация кредитов"/>
    <n v="130746"/>
    <n v="734"/>
    <n v="1018590"/>
    <n v="16891.57"/>
    <n v="22.8"/>
    <n v="29"/>
    <n v="7"/>
    <n v="41230"/>
    <n v="191686"/>
    <n v="1"/>
    <n v="-1.018234888605607"/>
    <n v="0.9773635153129161"/>
    <n v="0.32954545454545453"/>
    <n v="0.14285714285714285"/>
    <n v="0.14285714285714285"/>
    <n v="84882.5"/>
    <n v="0.1989994404029099"/>
  </r>
  <r>
    <n v="904"/>
    <s v="12edd88d-c4e2-475e-862c-92c7cec78bbe"/>
    <x v="0"/>
    <x v="0"/>
    <x v="2"/>
    <s v="в ипотеке"/>
    <s v="консолидация кредитов"/>
    <n v="391732"/>
    <n v="716"/>
    <n v="845766"/>
    <n v="14096.1"/>
    <n v="15.6"/>
    <n v="35.265240640000002"/>
    <n v="11"/>
    <n v="150366"/>
    <n v="191532"/>
    <n v="1"/>
    <n v="0.4676317211232216"/>
    <n v="0.95339547270306257"/>
    <n v="0.40074137090909095"/>
    <n v="0.23809523809523808"/>
    <n v="0.14285714285714285"/>
    <n v="70480.5"/>
    <n v="0.2"/>
  </r>
  <r>
    <n v="1605"/>
    <s v="686dbe54-31da-48de-aa5e-23209628ee30"/>
    <x v="0"/>
    <x v="1"/>
    <x v="3"/>
    <s v="в аренде"/>
    <s v="консолидация кредитов"/>
    <n v="213664"/>
    <n v="736"/>
    <n v="776948"/>
    <n v="8028.45"/>
    <n v="8"/>
    <n v="20"/>
    <n v="5"/>
    <n v="124203"/>
    <n v="191246"/>
    <n v="0"/>
    <n v="-0.54615942269749307"/>
    <n v="0.98002663115845534"/>
    <n v="0.22727272727272727"/>
    <n v="9.5238095238095233E-2"/>
    <n v="0"/>
    <n v="64745.666666666664"/>
    <n v="0.12399980436271153"/>
  </r>
  <r>
    <n v="1118"/>
    <s v="f8a4e585-6a0c-49b7-8664-3294433f6c5f"/>
    <x v="1"/>
    <x v="1"/>
    <x v="5"/>
    <s v="в ипотеке"/>
    <s v="иное"/>
    <n v="55286"/>
    <n v="704"/>
    <n v="1909880"/>
    <n v="14737.92"/>
    <n v="16.899999999999999"/>
    <n v="33"/>
    <n v="7"/>
    <n v="131290"/>
    <n v="191224"/>
    <n v="0"/>
    <n v="-1.447849865539762"/>
    <n v="0.93741677762982689"/>
    <n v="0.375"/>
    <n v="0.14285714285714285"/>
    <n v="0"/>
    <n v="159156.66666666666"/>
    <n v="9.2600079586152018E-2"/>
  </r>
  <r>
    <n v="677"/>
    <s v="8ce48a9b-f9fe-4eb5-b400-220822b8660e"/>
    <x v="0"/>
    <x v="1"/>
    <x v="0"/>
    <s v="в ипотеке"/>
    <s v="консолидация кредитов"/>
    <n v="54230"/>
    <n v="742"/>
    <n v="842859"/>
    <n v="9692.85"/>
    <n v="17.899999999999999"/>
    <n v="22"/>
    <n v="20"/>
    <n v="65436"/>
    <n v="190872"/>
    <n v="0"/>
    <n v="-1.4538619701732429"/>
    <n v="0.98801597869507318"/>
    <n v="0.25"/>
    <n v="0.45238095238095238"/>
    <n v="0"/>
    <n v="70238.25"/>
    <n v="0.1379995942381822"/>
  </r>
  <r>
    <n v="652"/>
    <s v="2a336913-4dc5-4657-be02-6e6c96aef479"/>
    <x v="0"/>
    <x v="1"/>
    <x v="5"/>
    <s v="в аренде"/>
    <s v="консолидация кредитов"/>
    <n v="111034"/>
    <n v="699"/>
    <n v="348707"/>
    <n v="5957.07"/>
    <n v="12.7"/>
    <n v="35.265240640000002"/>
    <n v="5"/>
    <n v="116204"/>
    <n v="190586"/>
    <n v="0"/>
    <n v="-1.1304608417639168"/>
    <n v="0.93075898801597867"/>
    <n v="0.40074137090909095"/>
    <n v="9.5238095238095233E-2"/>
    <n v="0"/>
    <n v="29058.916666666668"/>
    <n v="0.20499972756497573"/>
  </r>
  <r>
    <n v="924"/>
    <s v="b6a65f31-489c-4f5c-8957-4f402f07a308"/>
    <x v="1"/>
    <x v="1"/>
    <x v="1"/>
    <s v="в аренде"/>
    <s v="консолидация кредитов"/>
    <n v="99704"/>
    <n v="0"/>
    <n v="1168044"/>
    <n v="3333.93"/>
    <n v="18.5"/>
    <n v="35.265240640000002"/>
    <n v="6"/>
    <n v="98211"/>
    <n v="190476"/>
    <n v="1"/>
    <n v="-1.1949657143939723"/>
    <n v="0"/>
    <n v="0.40074137090909095"/>
    <n v="0.11904761904761904"/>
    <n v="0.14285714285714285"/>
    <n v="97337"/>
    <n v="3.4251415186414211E-2"/>
  </r>
  <r>
    <n v="1366"/>
    <s v="4a02d4be-9e81-47a8-a21d-ea56d82e1fea"/>
    <x v="0"/>
    <x v="1"/>
    <x v="5"/>
    <s v="в аренде"/>
    <s v="иное"/>
    <n v="44726"/>
    <n v="0"/>
    <n v="1168044"/>
    <n v="9094.92"/>
    <n v="10"/>
    <n v="35.265240640000002"/>
    <n v="10"/>
    <n v="83125"/>
    <n v="190234"/>
    <n v="0"/>
    <n v="-1.507970911874571"/>
    <n v="0"/>
    <n v="0.40074137090909095"/>
    <n v="0.21428571428571427"/>
    <n v="0"/>
    <n v="97337"/>
    <n v="9.3437439000585598E-2"/>
  </r>
  <r>
    <n v="1131"/>
    <s v="fffc6027-7506-4a93-bf58-6346730f2602"/>
    <x v="0"/>
    <x v="0"/>
    <x v="7"/>
    <s v="в аренде"/>
    <s v="консолидация кредитов"/>
    <n v="309594.52439999999"/>
    <n v="678"/>
    <n v="888763"/>
    <n v="12146.51"/>
    <n v="12"/>
    <n v="35.265240640000002"/>
    <n v="7"/>
    <n v="159562"/>
    <n v="190080"/>
    <n v="1"/>
    <n v="-1.2411115481956205E-10"/>
    <n v="0.90279627163781628"/>
    <n v="0.40074137090909095"/>
    <n v="0.14285714285714285"/>
    <n v="0.14285714285714285"/>
    <n v="74063.583333333328"/>
    <n v="0.1640011116574385"/>
  </r>
  <r>
    <n v="714"/>
    <s v="d103a2d9-3534-4715-b33d-458f45697a66"/>
    <x v="1"/>
    <x v="1"/>
    <x v="3"/>
    <s v="в аренде"/>
    <s v="консолидация кредитов"/>
    <n v="357588"/>
    <n v="739"/>
    <n v="1374650"/>
    <n v="19015.96"/>
    <n v="17.5"/>
    <n v="29"/>
    <n v="12"/>
    <n v="88616"/>
    <n v="190014"/>
    <n v="0"/>
    <n v="0.27324033797400626"/>
    <n v="0.98402130492676432"/>
    <n v="0.32954545454545453"/>
    <n v="0.26190476190476192"/>
    <n v="0"/>
    <n v="114554.16666666667"/>
    <n v="0.1659997235659986"/>
  </r>
  <r>
    <n v="1613"/>
    <s v="d05d78b2-4a68-4819-b944-28ac99f3815b"/>
    <x v="0"/>
    <x v="1"/>
    <x v="9"/>
    <s v="в аренде"/>
    <s v="бизнес"/>
    <n v="309594.52439999999"/>
    <n v="743"/>
    <n v="518111"/>
    <n v="9442.43"/>
    <n v="11.2"/>
    <n v="35.265240640000002"/>
    <n v="6"/>
    <n v="98629"/>
    <n v="189090"/>
    <n v="0"/>
    <n v="-1.2411115481956205E-10"/>
    <n v="0.98934753661784292"/>
    <n v="0.40074137090909095"/>
    <n v="0.11904761904761904"/>
    <n v="0"/>
    <n v="43175.916666666664"/>
    <n v="0.21869668854743485"/>
  </r>
  <r>
    <n v="1513"/>
    <s v="3e7e8f60-1fc1-411f-886b-3964cb9bc807"/>
    <x v="0"/>
    <x v="1"/>
    <x v="8"/>
    <s v="в аренде"/>
    <s v="консолидация кредитов"/>
    <n v="322652"/>
    <n v="733"/>
    <n v="724470"/>
    <n v="11048.31"/>
    <n v="14.8"/>
    <n v="42"/>
    <n v="10"/>
    <n v="120422"/>
    <n v="188958"/>
    <n v="1"/>
    <n v="7.4339876349680201E-2"/>
    <n v="0.97603195739014648"/>
    <n v="0.47727272727272729"/>
    <n v="0.21428571428571427"/>
    <n v="0.14285714285714285"/>
    <n v="60372.5"/>
    <n v="0.18300236034618411"/>
  </r>
  <r>
    <n v="618"/>
    <s v="fdb1f63e-b46d-437f-bae6-062b7ed14cdd"/>
    <x v="0"/>
    <x v="1"/>
    <x v="2"/>
    <s v="в ипотеке"/>
    <s v="ремонт жилья"/>
    <n v="148214"/>
    <n v="747"/>
    <n v="911487"/>
    <n v="20424.810000000001"/>
    <n v="20.5"/>
    <n v="35.265240640000002"/>
    <n v="6"/>
    <n v="142766"/>
    <n v="188716"/>
    <n v="0"/>
    <n v="-0.91878465779344398"/>
    <n v="0.9946737683089214"/>
    <n v="0.40074137090909095"/>
    <n v="0.11904761904761904"/>
    <n v="0"/>
    <n v="75957.25"/>
    <n v="0.26889875554999687"/>
  </r>
  <r>
    <n v="462"/>
    <s v="62550808-4d89-4058-9a93-b8dec2606e71"/>
    <x v="0"/>
    <x v="1"/>
    <x v="1"/>
    <s v="в ипотеке"/>
    <s v="ремонт жилья"/>
    <n v="158026"/>
    <n v="716"/>
    <n v="1091854"/>
    <n v="11009.55"/>
    <n v="14.3"/>
    <n v="7"/>
    <n v="7"/>
    <n v="87438"/>
    <n v="188540"/>
    <n v="0"/>
    <n v="-0.86292218557401734"/>
    <n v="0.95339547270306257"/>
    <n v="7.9545454545454544E-2"/>
    <n v="0.14285714285714285"/>
    <n v="0"/>
    <n v="90987.833333333328"/>
    <n v="0.1210002436223158"/>
  </r>
  <r>
    <n v="705"/>
    <s v="780a5a3e-61e6-4473-b00d-a4109f2361a6"/>
    <x v="0"/>
    <x v="1"/>
    <x v="7"/>
    <s v="в ипотеке"/>
    <s v="консолидация кредитов"/>
    <n v="196196"/>
    <n v="739"/>
    <n v="378632"/>
    <n v="2120.4"/>
    <n v="6.8"/>
    <n v="35.265240640000002"/>
    <n v="3"/>
    <n v="80028"/>
    <n v="188320"/>
    <n v="0"/>
    <n v="-0.64560965350965616"/>
    <n v="0.98402130492676432"/>
    <n v="0.40074137090909095"/>
    <n v="4.7619047619047616E-2"/>
    <n v="0"/>
    <n v="31552.666666666668"/>
    <n v="6.7201926936973105E-2"/>
  </r>
  <r>
    <n v="1474"/>
    <s v="af21db09-b0d1-42c7-92e6-170170f5dcf8"/>
    <x v="0"/>
    <x v="1"/>
    <x v="1"/>
    <s v="в собственности"/>
    <s v="иное"/>
    <n v="29172"/>
    <n v="696"/>
    <n v="406942"/>
    <n v="8850.9599999999991"/>
    <n v="16.5"/>
    <n v="35.265240640000002"/>
    <n v="7"/>
    <n v="31673"/>
    <n v="188012"/>
    <n v="1"/>
    <n v="-1.5965242030385498"/>
    <n v="0.92676431424766981"/>
    <n v="0.40074137090909095"/>
    <n v="0.14285714285714285"/>
    <n v="0.14285714285714285"/>
    <n v="33911.833333333336"/>
    <n v="0.26099915958539543"/>
  </r>
  <r>
    <n v="1842"/>
    <s v="c18b046c-c153-4f10-8f20-b6c56355dcd3"/>
    <x v="1"/>
    <x v="1"/>
    <x v="6"/>
    <s v="в аренде"/>
    <s v="иное"/>
    <n v="220528"/>
    <n v="664"/>
    <n v="914185"/>
    <n v="13103.35"/>
    <n v="32.5"/>
    <n v="6"/>
    <n v="8"/>
    <n v="78261"/>
    <n v="187594"/>
    <n v="0"/>
    <n v="-0.50708074257986735"/>
    <n v="0.88415446071904125"/>
    <n v="6.8181818181818177E-2"/>
    <n v="0.16666666666666666"/>
    <n v="0"/>
    <n v="76182.083333333328"/>
    <n v="0.17200041567078875"/>
  </r>
  <r>
    <n v="1007"/>
    <s v="f3aeb64c-5712-43d3-9896-6eab7adbdc6c"/>
    <x v="0"/>
    <x v="1"/>
    <x v="1"/>
    <s v="в ипотеке"/>
    <s v="ремонт жилья"/>
    <n v="258060"/>
    <n v="695"/>
    <n v="1634380"/>
    <n v="3895.19"/>
    <n v="19.399999999999999"/>
    <n v="20"/>
    <n v="8"/>
    <n v="50787"/>
    <n v="187308"/>
    <n v="2"/>
    <n v="-0.29340052373156744"/>
    <n v="0.92543275632490019"/>
    <n v="0.22727272727272727"/>
    <n v="0.16666666666666666"/>
    <n v="0.2857142857142857"/>
    <n v="136198.33333333334"/>
    <n v="2.8599395489421062E-2"/>
  </r>
  <r>
    <n v="112"/>
    <s v="3edb6bb1-2045-4746-bd78-cdd4a7683b8d"/>
    <x v="1"/>
    <x v="1"/>
    <x v="5"/>
    <s v="в аренде"/>
    <s v="консолидация кредитов"/>
    <n v="109802"/>
    <n v="745"/>
    <n v="474069"/>
    <n v="1497.39"/>
    <n v="11"/>
    <n v="35.265240640000002"/>
    <n v="2"/>
    <n v="91048"/>
    <n v="186604"/>
    <n v="0"/>
    <n v="-1.1374749638363113"/>
    <n v="0.99201065246338216"/>
    <n v="0.40074137090909095"/>
    <n v="2.3809523809523808E-2"/>
    <n v="0"/>
    <n v="39505.75"/>
    <n v="3.7903090056510762E-2"/>
  </r>
  <r>
    <n v="789"/>
    <s v="4e974240-4b7e-46ea-9d3c-2702989f18be"/>
    <x v="1"/>
    <x v="1"/>
    <x v="9"/>
    <s v="в ипотеке"/>
    <s v="консолидация кредитов"/>
    <n v="163878"/>
    <n v="741"/>
    <n v="1439402"/>
    <n v="14034.16"/>
    <n v="11"/>
    <n v="18"/>
    <n v="7"/>
    <n v="110865"/>
    <n v="186604"/>
    <n v="0"/>
    <n v="-0.82960510573014412"/>
    <n v="0.98668442077230356"/>
    <n v="0.20454545454545456"/>
    <n v="0.14285714285714285"/>
    <n v="0"/>
    <n v="119950.16666666667"/>
    <n v="0.11699992080044351"/>
  </r>
  <r>
    <n v="121"/>
    <s v="7a826762-3889-4043-9425-363df5f6101d"/>
    <x v="0"/>
    <x v="1"/>
    <x v="0"/>
    <s v="в ипотеке"/>
    <s v="консолидация кредитов"/>
    <n v="218988"/>
    <n v="740"/>
    <n v="775409"/>
    <n v="8141.88"/>
    <n v="14.9"/>
    <n v="9"/>
    <n v="5"/>
    <n v="100206"/>
    <n v="186230"/>
    <n v="0"/>
    <n v="-0.5158483951703603"/>
    <n v="0.98535286284953394"/>
    <n v="0.10227272727272728"/>
    <n v="9.5238095238095233E-2"/>
    <n v="0"/>
    <n v="64617.416666666664"/>
    <n v="0.12600132317267404"/>
  </r>
  <r>
    <n v="1906"/>
    <s v="c964919c-8f7f-4872-a8e0-b9110349b22a"/>
    <x v="1"/>
    <x v="0"/>
    <x v="3"/>
    <s v="в аренде"/>
    <s v="бизнес"/>
    <n v="220858"/>
    <n v="704"/>
    <n v="1907410"/>
    <n v="20504.61"/>
    <n v="12.3"/>
    <n v="20"/>
    <n v="9"/>
    <n v="92872"/>
    <n v="185416"/>
    <n v="0"/>
    <n v="-0.50520195988190453"/>
    <n v="0.93741677762982689"/>
    <n v="0.22727272727272727"/>
    <n v="0.19047619047619047"/>
    <n v="0"/>
    <n v="158950.83333333334"/>
    <n v="0.12899970116545473"/>
  </r>
  <r>
    <n v="1297"/>
    <s v="e6c640ef-c258-4fdc-b92a-af7f8acf34da"/>
    <x v="0"/>
    <x v="1"/>
    <x v="0"/>
    <s v="в аренде"/>
    <s v="консолидация кредитов"/>
    <n v="173118"/>
    <n v="714"/>
    <n v="672790"/>
    <n v="17604.45"/>
    <n v="10"/>
    <n v="35.265240640000002"/>
    <n v="6"/>
    <n v="129010"/>
    <n v="183964"/>
    <n v="0"/>
    <n v="-0.77699919018718633"/>
    <n v="0.95073235685752333"/>
    <n v="0.40074137090909095"/>
    <n v="0.11904761904761904"/>
    <n v="0"/>
    <n v="56065.833333333336"/>
    <n v="0.31399604631460037"/>
  </r>
  <r>
    <n v="1417"/>
    <s v="6181e925-d5d8-46a2-af7c-2eb1e0880257"/>
    <x v="0"/>
    <x v="1"/>
    <x v="1"/>
    <s v="в аренде"/>
    <s v="иное"/>
    <n v="43758"/>
    <n v="701"/>
    <n v="1228464"/>
    <n v="7503.86"/>
    <n v="23.8"/>
    <n v="35.265240640000002"/>
    <n v="8"/>
    <n v="57874"/>
    <n v="183590"/>
    <n v="1"/>
    <n v="-1.5134820077885951"/>
    <n v="0.93342210386151803"/>
    <n v="0.40074137090909095"/>
    <n v="0.16666666666666666"/>
    <n v="0.14285714285714285"/>
    <n v="102372"/>
    <n v="7.3299925760950263E-2"/>
  </r>
  <r>
    <n v="731"/>
    <s v="064d7dae-46be-46c8-b635-459f33cc3b3a"/>
    <x v="1"/>
    <x v="1"/>
    <x v="6"/>
    <s v="в аренде"/>
    <s v="иное"/>
    <n v="178948"/>
    <n v="740"/>
    <n v="1352344"/>
    <n v="25581.98"/>
    <n v="17.899999999999999"/>
    <n v="14"/>
    <n v="10"/>
    <n v="79952"/>
    <n v="183304"/>
    <n v="0"/>
    <n v="-0.74380736252317725"/>
    <n v="0.98535286284953394"/>
    <n v="0.15909090909090909"/>
    <n v="0.21428571428571427"/>
    <n v="0"/>
    <n v="112695.33333333333"/>
    <n v="0.22700123637181072"/>
  </r>
  <r>
    <n v="1336"/>
    <s v="d0ff9097-bed0-480b-80d1-39777a50792c"/>
    <x v="0"/>
    <x v="1"/>
    <x v="7"/>
    <s v="в аренде"/>
    <s v="консолидация кредитов"/>
    <n v="150216"/>
    <n v="740"/>
    <n v="1760597"/>
    <n v="9551.2999999999993"/>
    <n v="20.9"/>
    <n v="16"/>
    <n v="9"/>
    <n v="13129"/>
    <n v="183040"/>
    <n v="0"/>
    <n v="-0.90738670942580313"/>
    <n v="0.98535286284953394"/>
    <n v="0.18181818181818182"/>
    <n v="0.19047619047619047"/>
    <n v="0"/>
    <n v="146716.41666666666"/>
    <n v="6.5100417642424704E-2"/>
  </r>
  <r>
    <n v="1510"/>
    <s v="e104b113-a9e7-459f-b196-cff5c6de9f12"/>
    <x v="0"/>
    <x v="1"/>
    <x v="7"/>
    <s v="в аренде"/>
    <s v="консолидация кредитов"/>
    <n v="206074"/>
    <n v="682"/>
    <n v="578930"/>
    <n v="11385.56"/>
    <n v="9.8000000000000007"/>
    <n v="65"/>
    <n v="6"/>
    <n v="85424"/>
    <n v="182842"/>
    <n v="0"/>
    <n v="-0.58937142475063697"/>
    <n v="0.90812250332889477"/>
    <n v="0.73863636363636365"/>
    <n v="0.11904761904761904"/>
    <n v="0"/>
    <n v="48244.166666666664"/>
    <n v="0.23599868723334427"/>
  </r>
  <r>
    <n v="1864"/>
    <s v="9afc8fec-2360-42e4-93b9-c3746f342218"/>
    <x v="0"/>
    <x v="1"/>
    <x v="1"/>
    <s v="в аренде"/>
    <s v="консолидация кредитов"/>
    <n v="66770"/>
    <n v="733"/>
    <n v="358701"/>
    <n v="4573.49"/>
    <n v="19.399999999999999"/>
    <n v="35.265240640000002"/>
    <n v="8"/>
    <n v="121410"/>
    <n v="182336"/>
    <n v="0"/>
    <n v="-1.3824682276506575"/>
    <n v="0.97603195739014648"/>
    <n v="0.40074137090909095"/>
    <n v="0.16666666666666666"/>
    <n v="0"/>
    <n v="29891.75"/>
    <n v="0.15300174797393928"/>
  </r>
  <r>
    <n v="225"/>
    <s v="248d929d-28d2-437b-a3ab-912346b03513"/>
    <x v="0"/>
    <x v="1"/>
    <x v="0"/>
    <s v="в ипотеке"/>
    <s v="консолидация кредитов"/>
    <n v="86724"/>
    <n v="716"/>
    <n v="580469"/>
    <n v="7352.62"/>
    <n v="4.9000000000000004"/>
    <n v="35.265240640000002"/>
    <n v="6"/>
    <n v="109687"/>
    <n v="182226"/>
    <n v="0"/>
    <n v="-1.2688645005138415"/>
    <n v="0.95339547270306257"/>
    <n v="0.40074137090909095"/>
    <n v="0.11904761904761904"/>
    <n v="0"/>
    <n v="48372.416666666664"/>
    <n v="0.15200026185722235"/>
  </r>
  <r>
    <n v="793"/>
    <s v="01057261-5054-4448-b725-90ba98b82152"/>
    <x v="1"/>
    <x v="1"/>
    <x v="8"/>
    <s v="в аренде"/>
    <s v="консолидация кредитов"/>
    <n v="190784"/>
    <n v="704"/>
    <n v="711455"/>
    <n v="5015.8100000000004"/>
    <n v="16.100000000000001"/>
    <n v="35.265240640000002"/>
    <n v="6"/>
    <n v="145825"/>
    <n v="182138"/>
    <n v="0"/>
    <n v="-0.67642168975624573"/>
    <n v="0.93741677762982689"/>
    <n v="0.40074137090909095"/>
    <n v="0.11904761904761904"/>
    <n v="0"/>
    <n v="59287.916666666664"/>
    <n v="8.4600881292562435E-2"/>
  </r>
  <r>
    <n v="664"/>
    <s v="be8343f8-4c74-4450-85ee-ffd3dab35b8a"/>
    <x v="1"/>
    <x v="0"/>
    <x v="7"/>
    <s v="в собственности"/>
    <s v="консолидация кредитов"/>
    <n v="429572"/>
    <n v="700"/>
    <n v="1597577"/>
    <n v="23430.99"/>
    <n v="17.5"/>
    <n v="35.265240640000002"/>
    <n v="15"/>
    <n v="129713"/>
    <n v="181830"/>
    <n v="0"/>
    <n v="0.68306547048962007"/>
    <n v="0.93209054593874829"/>
    <n v="0.40074137090909095"/>
    <n v="0.33333333333333331"/>
    <n v="0"/>
    <n v="133131.41666666666"/>
    <n v="0.17599895341507799"/>
  </r>
  <r>
    <n v="1216"/>
    <s v="3b423e5c-b7e1-42f9-9157-487237d1c31b"/>
    <x v="0"/>
    <x v="1"/>
    <x v="2"/>
    <s v="в ипотеке"/>
    <s v="консолидация кредитов"/>
    <n v="71698"/>
    <n v="718"/>
    <n v="676324"/>
    <n v="3409.74"/>
    <n v="16.2"/>
    <n v="54"/>
    <n v="6"/>
    <n v="71744"/>
    <n v="180994"/>
    <n v="1"/>
    <n v="-1.3544117393610799"/>
    <n v="0.95605858854860182"/>
    <n v="0.61363636363636365"/>
    <n v="0.11904761904761904"/>
    <n v="0.14285714285714285"/>
    <n v="56360.333333333336"/>
    <n v="6.0498932464321829E-2"/>
  </r>
  <r>
    <n v="607"/>
    <s v="2f084f8f-afbd-44d2-939d-c914fbe9b62a"/>
    <x v="1"/>
    <x v="1"/>
    <x v="3"/>
    <s v="в аренде"/>
    <s v="консолидация кредитов"/>
    <n v="134992"/>
    <n v="728"/>
    <n v="437209"/>
    <n v="9691.33"/>
    <n v="7.7"/>
    <n v="35.265240640000002"/>
    <n v="5"/>
    <n v="102315"/>
    <n v="180048"/>
    <n v="0"/>
    <n v="-0.99406121789181923"/>
    <n v="0.96937416777629826"/>
    <n v="0.40074137090909095"/>
    <n v="9.5238095238095233E-2"/>
    <n v="0"/>
    <n v="36434.083333333336"/>
    <n v="0.26599626265699011"/>
  </r>
  <r>
    <n v="1583"/>
    <s v="33748f75-2183-410f-80f1-6137f15dc6cf"/>
    <x v="0"/>
    <x v="1"/>
    <x v="5"/>
    <s v="в аренде"/>
    <s v="иное"/>
    <n v="44924"/>
    <n v="647"/>
    <n v="582027"/>
    <n v="1668.39"/>
    <n v="6.4"/>
    <n v="35.265240640000002"/>
    <n v="5"/>
    <n v="52839"/>
    <n v="179982"/>
    <n v="0"/>
    <n v="-1.5068436422557934"/>
    <n v="0.86151797603195734"/>
    <n v="0.40074137090909095"/>
    <n v="9.5238095238095233E-2"/>
    <n v="0"/>
    <n v="48502.25"/>
    <n v="3.4398198021741259E-2"/>
  </r>
  <r>
    <n v="1876"/>
    <s v="7e83d1cc-ea59-4db8-9b3a-01ed5a1ec4dc"/>
    <x v="0"/>
    <x v="1"/>
    <x v="1"/>
    <s v="в аренде"/>
    <s v="консолидация кредитов"/>
    <n v="94358"/>
    <n v="681"/>
    <n v="379050"/>
    <n v="2577.54"/>
    <n v="7"/>
    <n v="51"/>
    <n v="7"/>
    <n v="47861"/>
    <n v="179916"/>
    <n v="0"/>
    <n v="-1.2254019941009693"/>
    <n v="0.90679094540612515"/>
    <n v="0.57954545454545459"/>
    <n v="0.14285714285714285"/>
    <n v="0"/>
    <n v="31587.5"/>
    <n v="8.1599999999999992E-2"/>
  </r>
  <r>
    <n v="1083"/>
    <s v="a58f5106-c2da-4877-8c87-ff3ddf97fce8"/>
    <x v="0"/>
    <x v="1"/>
    <x v="3"/>
    <s v="в собственности"/>
    <s v="консолидация кредитов"/>
    <n v="140910"/>
    <n v="0"/>
    <n v="1168044"/>
    <n v="6180.13"/>
    <n v="14.8"/>
    <n v="35.265240640000002"/>
    <n v="3"/>
    <n v="148067"/>
    <n v="179740"/>
    <n v="0"/>
    <n v="-0.96036838150835346"/>
    <n v="0"/>
    <n v="0.40074137090909095"/>
    <n v="4.7619047619047616E-2"/>
    <n v="0"/>
    <n v="97337"/>
    <n v="6.3492094475893032E-2"/>
  </r>
  <r>
    <n v="888"/>
    <s v="f41b3508-a8af-4cd4-8b6f-8ed437fb68b4"/>
    <x v="1"/>
    <x v="1"/>
    <x v="1"/>
    <s v="в ипотеке"/>
    <s v="консолидация кредитов"/>
    <n v="138160"/>
    <n v="728"/>
    <n v="691828"/>
    <n v="13548.14"/>
    <n v="20.6"/>
    <n v="68"/>
    <n v="8"/>
    <n v="72200"/>
    <n v="179014"/>
    <n v="0"/>
    <n v="-0.97602490399137654"/>
    <n v="0.96937416777629826"/>
    <n v="0.77272727272727271"/>
    <n v="0.16666666666666666"/>
    <n v="0"/>
    <n v="57652.333333333336"/>
    <n v="0.23499725365264196"/>
  </r>
  <r>
    <n v="1165"/>
    <s v="35aea42b-4456-40f8-9e4a-7b93b4947bf2"/>
    <x v="1"/>
    <x v="1"/>
    <x v="8"/>
    <s v="в аренде"/>
    <s v="иное"/>
    <n v="110396"/>
    <n v="0"/>
    <n v="1168044"/>
    <n v="19505.02"/>
    <n v="17.8"/>
    <n v="26"/>
    <n v="15"/>
    <n v="30305"/>
    <n v="178970"/>
    <n v="0"/>
    <n v="-1.1340931549799782"/>
    <n v="0"/>
    <n v="0.29545454545454547"/>
    <n v="0.33333333333333331"/>
    <n v="0"/>
    <n v="97337"/>
    <n v="0.20038649228967403"/>
  </r>
  <r>
    <n v="370"/>
    <s v="315c2ccc-48c7-4f48-bf39-ab34f49a8c31"/>
    <x v="0"/>
    <x v="1"/>
    <x v="1"/>
    <s v="в аренде"/>
    <s v="путешествие"/>
    <n v="33154"/>
    <n v="713"/>
    <n v="572793"/>
    <n v="13412.86"/>
    <n v="11.8"/>
    <n v="35.265240640000002"/>
    <n v="10"/>
    <n v="49153"/>
    <n v="178948"/>
    <n v="2"/>
    <n v="-1.5738535584831324"/>
    <n v="0.94940079893475371"/>
    <n v="0.40074137090909095"/>
    <n v="0.21428571428571427"/>
    <n v="0.2857142857142857"/>
    <n v="47732.75"/>
    <n v="0.2809991043884964"/>
  </r>
  <r>
    <n v="1000"/>
    <s v="9377bdfc-c01a-4b7f-9dcd-6e6155cce7e8"/>
    <x v="0"/>
    <x v="1"/>
    <x v="1"/>
    <s v="в ипотеке"/>
    <s v="ремонт жилья"/>
    <n v="334092"/>
    <n v="737"/>
    <n v="1442670"/>
    <n v="16350.26"/>
    <n v="26.5"/>
    <n v="21"/>
    <n v="10"/>
    <n v="95950"/>
    <n v="178310"/>
    <n v="0"/>
    <n v="0.13947100987905647"/>
    <n v="0.98135818908122507"/>
    <n v="0.23863636363636365"/>
    <n v="0.21428571428571427"/>
    <n v="0"/>
    <n v="120222.5"/>
    <n v="0.13600000000000001"/>
  </r>
  <r>
    <n v="1464"/>
    <s v="65220108-67b8-4631-8497-059168fcc464"/>
    <x v="0"/>
    <x v="1"/>
    <x v="1"/>
    <s v="в ипотеке"/>
    <s v="консолидация кредитов"/>
    <n v="167002"/>
    <n v="0"/>
    <n v="1168044"/>
    <n v="18040.5"/>
    <n v="13.2"/>
    <n v="11"/>
    <n v="6"/>
    <n v="79097"/>
    <n v="178178"/>
    <n v="0"/>
    <n v="-0.81181929618942983"/>
    <n v="0"/>
    <n v="0.125"/>
    <n v="0.11904761904761904"/>
    <n v="0"/>
    <n v="97337"/>
    <n v="0.18534062073004098"/>
  </r>
  <r>
    <n v="1016"/>
    <s v="7bed6288-37f6-473c-8a6f-6b76491aa4f3"/>
    <x v="0"/>
    <x v="1"/>
    <x v="1"/>
    <s v="в аренде"/>
    <s v="консолидация кредитов"/>
    <n v="132968"/>
    <n v="728"/>
    <n v="880460"/>
    <n v="9465.0400000000009"/>
    <n v="21.9"/>
    <n v="35.265240640000002"/>
    <n v="9"/>
    <n v="107578"/>
    <n v="177936"/>
    <n v="1"/>
    <n v="-1.0055844184393243"/>
    <n v="0.96937416777629826"/>
    <n v="0.40074137090909095"/>
    <n v="0.19047619047619047"/>
    <n v="0.14285714285714285"/>
    <n v="73371.666666666672"/>
    <n v="0.12900129477772981"/>
  </r>
  <r>
    <n v="1862"/>
    <s v="703264c2-e077-4081-934a-b1c320c2092e"/>
    <x v="0"/>
    <x v="1"/>
    <x v="1"/>
    <s v="в ипотеке"/>
    <s v="консолидация кредитов"/>
    <n v="181192"/>
    <n v="0"/>
    <n v="1168044"/>
    <n v="14566.73"/>
    <n v="20.2"/>
    <n v="38"/>
    <n v="8"/>
    <n v="138700"/>
    <n v="176682"/>
    <n v="0"/>
    <n v="-0.73103164017703037"/>
    <n v="0"/>
    <n v="0.43181818181818182"/>
    <n v="0.16666666666666666"/>
    <n v="0"/>
    <n v="97337"/>
    <n v="0.14965254733554556"/>
  </r>
  <r>
    <n v="716"/>
    <s v="a77fcfef-91ab-400b-89ec-4b18e66301be"/>
    <x v="0"/>
    <x v="1"/>
    <x v="3"/>
    <s v="в аренде"/>
    <s v="консолидация кредитов"/>
    <n v="223168"/>
    <n v="707"/>
    <n v="819128"/>
    <n v="17338.07"/>
    <n v="20.5"/>
    <n v="35.265240640000002"/>
    <n v="21"/>
    <n v="147972"/>
    <n v="176264"/>
    <n v="0"/>
    <n v="-0.49205048099616511"/>
    <n v="0.94141145139813587"/>
    <n v="0.40074137090909095"/>
    <n v="0.47619047619047616"/>
    <n v="0"/>
    <n v="68260.666666666672"/>
    <n v="0.25399795880497306"/>
  </r>
  <r>
    <n v="1186"/>
    <s v="bf242e3e-66ac-43ae-bfc0-73c9c556b9d0"/>
    <x v="0"/>
    <x v="1"/>
    <x v="6"/>
    <s v="в аренде"/>
    <s v="иное"/>
    <n v="257400"/>
    <n v="720"/>
    <n v="703950"/>
    <n v="3132.53"/>
    <n v="11.4"/>
    <n v="35.265240640000002"/>
    <n v="5"/>
    <n v="93233"/>
    <n v="175824"/>
    <n v="0"/>
    <n v="-0.29715808912749297"/>
    <n v="0.95872170439414117"/>
    <n v="0.40074137090909095"/>
    <n v="9.5238095238095233E-2"/>
    <n v="0"/>
    <n v="58662.5"/>
    <n v="5.3399190283400816E-2"/>
  </r>
  <r>
    <n v="1819"/>
    <s v="5a52b571-4ed3-45b4-8ab1-b35a8576d8a2"/>
    <x v="0"/>
    <x v="1"/>
    <x v="3"/>
    <s v="в ипотеке"/>
    <s v="ремонт жилья"/>
    <n v="111826"/>
    <n v="744"/>
    <n v="521512"/>
    <n v="12472.93"/>
    <n v="4.5"/>
    <n v="35.265240640000002"/>
    <n v="7"/>
    <n v="78394"/>
    <n v="174592"/>
    <n v="0"/>
    <n v="-1.1259517632888063"/>
    <n v="0.99067909454061254"/>
    <n v="0.40074137090909095"/>
    <n v="0.14285714285714285"/>
    <n v="0"/>
    <n v="43459.333333333336"/>
    <n v="0.28700233168172545"/>
  </r>
  <r>
    <n v="1592"/>
    <s v="58569d71-b1d2-4226-b524-8fd1bacb5453"/>
    <x v="0"/>
    <x v="0"/>
    <x v="9"/>
    <s v="в ипотеке"/>
    <s v="консолидация кредитов"/>
    <n v="529496"/>
    <n v="721"/>
    <n v="1043024"/>
    <n v="13646.37"/>
    <n v="17.899999999999999"/>
    <n v="66"/>
    <n v="7"/>
    <n v="141037"/>
    <n v="174460"/>
    <n v="1"/>
    <n v="1.251960871432749"/>
    <n v="0.96005326231691079"/>
    <n v="0.75"/>
    <n v="0.14285714285714285"/>
    <n v="0.14285714285714285"/>
    <n v="86918.666666666672"/>
    <n v="0.15700160303118624"/>
  </r>
  <r>
    <n v="271"/>
    <s v="8cd8a9f1-ee07-4ba2-a0f8-87aa31435c90"/>
    <x v="0"/>
    <x v="1"/>
    <x v="1"/>
    <s v="в ипотеке"/>
    <s v="консолидация кредитов"/>
    <n v="216194"/>
    <n v="720"/>
    <n v="1077528"/>
    <n v="8081.46"/>
    <n v="13.7"/>
    <n v="14"/>
    <n v="5"/>
    <n v="96463"/>
    <n v="174240"/>
    <n v="1"/>
    <n v="-0.53175542201311177"/>
    <n v="0.95872170439414117"/>
    <n v="0.15909090909090909"/>
    <n v="9.5238095238095233E-2"/>
    <n v="0.14285714285714285"/>
    <n v="89794"/>
    <n v="0.09"/>
  </r>
  <r>
    <n v="843"/>
    <s v="8e6658e5-4eec-4397-ba60-dd279eb6f448"/>
    <x v="1"/>
    <x v="1"/>
    <x v="7"/>
    <s v="в аренде"/>
    <s v="консолидация кредитов"/>
    <n v="177144"/>
    <n v="675"/>
    <n v="705394"/>
    <n v="19221.919999999998"/>
    <n v="6.4"/>
    <n v="17"/>
    <n v="8"/>
    <n v="72523"/>
    <n v="174218"/>
    <n v="0"/>
    <n v="-0.75407804127204048"/>
    <n v="0.89880159786950731"/>
    <n v="0.19318181818181818"/>
    <n v="0.16666666666666666"/>
    <n v="0"/>
    <n v="58782.833333333336"/>
    <n v="0.32699886871734091"/>
  </r>
  <r>
    <n v="455"/>
    <s v="279c0b13-4338-47e8-8387-5e2abd791216"/>
    <x v="0"/>
    <x v="0"/>
    <x v="5"/>
    <s v="в аренде"/>
    <s v="иное"/>
    <n v="309594.52439999999"/>
    <n v="700"/>
    <n v="410020"/>
    <n v="1144.56"/>
    <n v="13.9"/>
    <n v="35.265240640000002"/>
    <n v="1"/>
    <n v="94202"/>
    <n v="173976"/>
    <n v="0"/>
    <n v="-1.2411115481956205E-10"/>
    <n v="0.93209054593874829"/>
    <n v="0.40074137090909095"/>
    <n v="0"/>
    <n v="0"/>
    <n v="34168.333333333336"/>
    <n v="3.3497683039851713E-2"/>
  </r>
  <r>
    <n v="1997"/>
    <s v="7eeae236-23ee-4a6d-ad6b-d21f91121529"/>
    <x v="0"/>
    <x v="1"/>
    <x v="8"/>
    <s v="в аренде"/>
    <s v="консолидация кредитов"/>
    <n v="321750"/>
    <n v="0"/>
    <n v="1168044"/>
    <n v="3002.19"/>
    <n v="19"/>
    <n v="35.265240640000002"/>
    <n v="4"/>
    <n v="66063"/>
    <n v="173844"/>
    <n v="1"/>
    <n v="6.9204536975248601E-2"/>
    <n v="0"/>
    <n v="0.40074137090909095"/>
    <n v="7.1428571428571425E-2"/>
    <n v="0.14285714285714285"/>
    <n v="97337"/>
    <n v="3.0843255904743315E-2"/>
  </r>
  <r>
    <n v="1061"/>
    <s v="078f7f4d-bdb9-4c11-944e-657bf9b5a333"/>
    <x v="0"/>
    <x v="1"/>
    <x v="8"/>
    <s v="в аренде"/>
    <s v="консолидация кредитов"/>
    <n v="133496"/>
    <n v="709"/>
    <n v="480415"/>
    <n v="11209.62"/>
    <n v="17.5"/>
    <n v="40"/>
    <n v="12"/>
    <n v="65018"/>
    <n v="173448"/>
    <n v="0"/>
    <n v="-1.0025783661225838"/>
    <n v="0.94407456724367511"/>
    <n v="0.45454545454545453"/>
    <n v="0.26190476190476192"/>
    <n v="0"/>
    <n v="40034.583333333336"/>
    <n v="0.27999841803440778"/>
  </r>
  <r>
    <n v="725"/>
    <s v="b3b7b6af-f415-41bc-879c-45b4d8566c36"/>
    <x v="0"/>
    <x v="1"/>
    <x v="7"/>
    <s v="в аренде"/>
    <s v="консолидация кредитов"/>
    <n v="66638"/>
    <n v="0"/>
    <n v="1168044"/>
    <n v="11203.54"/>
    <n v="8.9"/>
    <n v="35.265240640000002"/>
    <n v="10"/>
    <n v="126027"/>
    <n v="173316"/>
    <n v="0"/>
    <n v="-1.3832197407298426"/>
    <n v="0"/>
    <n v="0.40074137090909095"/>
    <n v="0.21428571428571427"/>
    <n v="0"/>
    <n v="97337"/>
    <n v="0.11510052703494048"/>
  </r>
  <r>
    <n v="1221"/>
    <s v="c10cd4e0-1805-439b-b062-25a8df63396a"/>
    <x v="0"/>
    <x v="0"/>
    <x v="1"/>
    <s v="в ипотеке"/>
    <s v="консолидация кредитов"/>
    <n v="731852"/>
    <n v="677"/>
    <n v="1438680"/>
    <n v="25057.01"/>
    <n v="22.4"/>
    <n v="36"/>
    <n v="11"/>
    <n v="106324"/>
    <n v="172172"/>
    <n v="2"/>
    <n v="2.4040304218235242"/>
    <n v="0.90146471371504655"/>
    <n v="0.40909090909090912"/>
    <n v="0.23809523809523808"/>
    <n v="0.2857142857142857"/>
    <n v="119890"/>
    <n v="0.20899999999999999"/>
  </r>
  <r>
    <n v="355"/>
    <s v="ca3da155-a63a-4d39-b8b4-898b0e6c28f6"/>
    <x v="0"/>
    <x v="1"/>
    <x v="5"/>
    <s v="в аренде"/>
    <s v="консолидация кредитов"/>
    <n v="64526"/>
    <n v="747"/>
    <n v="185782"/>
    <n v="4799.3999999999996"/>
    <n v="10.1"/>
    <n v="35.265240640000002"/>
    <n v="8"/>
    <n v="72257"/>
    <n v="172128"/>
    <n v="0"/>
    <n v="-1.3952439499968043"/>
    <n v="0.9946737683089214"/>
    <n v="0.40074137090909095"/>
    <n v="0.16666666666666666"/>
    <n v="0"/>
    <n v="15481.833333333334"/>
    <n v="0.31000204540805887"/>
  </r>
  <r>
    <n v="1866"/>
    <s v="09fc9d20-236f-40e6-b388-c714337c319e"/>
    <x v="0"/>
    <x v="1"/>
    <x v="9"/>
    <s v="в ипотеке"/>
    <s v="консолидация кредитов"/>
    <n v="288508"/>
    <n v="661"/>
    <n v="808583"/>
    <n v="3591.38"/>
    <n v="11.4"/>
    <n v="1"/>
    <n v="4"/>
    <n v="102714"/>
    <n v="172106"/>
    <n v="0"/>
    <n v="-0.12005150679953518"/>
    <n v="0.88015978695073238"/>
    <n v="1.1363636363636364E-2"/>
    <n v="7.1428571428571425E-2"/>
    <n v="0"/>
    <n v="67381.916666666672"/>
    <n v="5.3298869751157267E-2"/>
  </r>
  <r>
    <n v="235"/>
    <s v="c8d35d40-d82a-4eed-9768-c09e61f8fe68"/>
    <x v="1"/>
    <x v="0"/>
    <x v="2"/>
    <s v="в аренде"/>
    <s v="консолидация кредитов"/>
    <n v="177628"/>
    <n v="709"/>
    <n v="843771"/>
    <n v="5027.59"/>
    <n v="10.3"/>
    <n v="35.265240640000002"/>
    <n v="8"/>
    <n v="94221"/>
    <n v="172062"/>
    <n v="0"/>
    <n v="-0.75132249331502843"/>
    <n v="0.94407456724367511"/>
    <n v="0.40074137090909095"/>
    <n v="0.16666666666666666"/>
    <n v="0"/>
    <n v="70314.25"/>
    <n v="7.150172262379248E-2"/>
  </r>
  <r>
    <n v="1698"/>
    <s v="78abf564-eebc-4086-bc72-2fbd79dd9e36"/>
    <x v="1"/>
    <x v="1"/>
    <x v="5"/>
    <s v="в аренде"/>
    <s v="консолидация кредитов"/>
    <n v="190806"/>
    <n v="0"/>
    <n v="1168044"/>
    <n v="10936.21"/>
    <n v="9.9"/>
    <n v="35.265240640000002"/>
    <n v="19"/>
    <n v="100035"/>
    <n v="171336"/>
    <n v="0"/>
    <n v="-0.67629643757638147"/>
    <n v="0"/>
    <n v="0.40074137090909095"/>
    <n v="0.42857142857142855"/>
    <n v="0"/>
    <n v="97337"/>
    <n v="0.11235408940074175"/>
  </r>
  <r>
    <n v="1236"/>
    <s v="957f81ed-be3c-4d28-8786-8de65160c78d"/>
    <x v="0"/>
    <x v="0"/>
    <x v="0"/>
    <s v="в ипотеке"/>
    <s v="иное"/>
    <n v="443960"/>
    <n v="638"/>
    <n v="3163215"/>
    <n v="67218.39"/>
    <n v="15.5"/>
    <n v="8"/>
    <n v="17"/>
    <n v="120726"/>
    <n v="170874"/>
    <n v="0"/>
    <n v="0.76498039612079716"/>
    <n v="0.84953395472703064"/>
    <n v="9.0909090909090912E-2"/>
    <n v="0.38095238095238093"/>
    <n v="0"/>
    <n v="263601.25"/>
    <n v="0.25500027029462113"/>
  </r>
  <r>
    <n v="838"/>
    <s v="41df3f35-84b1-40f8-908c-35c591d15f2c"/>
    <x v="0"/>
    <x v="1"/>
    <x v="8"/>
    <s v="в ипотеке"/>
    <s v="консолидация кредитов"/>
    <n v="309594.52439999999"/>
    <n v="723"/>
    <n v="905521"/>
    <n v="6489.64"/>
    <n v="24.5"/>
    <n v="35.265240640000002"/>
    <n v="5"/>
    <n v="134026"/>
    <n v="170346"/>
    <n v="1"/>
    <n v="-1.2411115481956205E-10"/>
    <n v="0.96271637816245004"/>
    <n v="0.40074137090909095"/>
    <n v="9.5238095238095233E-2"/>
    <n v="0.14285714285714285"/>
    <n v="75460.083333333328"/>
    <n v="8.6000965190205433E-2"/>
  </r>
  <r>
    <n v="38"/>
    <s v="d1d8497b-90bf-48ea-a8b1-40c909ab1f97"/>
    <x v="0"/>
    <x v="1"/>
    <x v="10"/>
    <s v="в ипотеке"/>
    <s v="консолидация кредитов"/>
    <n v="161172"/>
    <n v="720"/>
    <n v="796499"/>
    <n v="3404.99"/>
    <n v="22.6"/>
    <n v="35.265240640000002"/>
    <n v="6"/>
    <n v="114095"/>
    <n v="170038"/>
    <n v="1"/>
    <n v="-0.84501112385343891"/>
    <n v="0.95872170439414117"/>
    <n v="0.40074137090909095"/>
    <n v="0.11904761904761904"/>
    <n v="0.14285714285714285"/>
    <n v="66374.916666666672"/>
    <n v="5.1299348775076921E-2"/>
  </r>
  <r>
    <n v="1676"/>
    <s v="0594396c-a1e1-4efb-9baf-6a80716d7c3d"/>
    <x v="0"/>
    <x v="0"/>
    <x v="0"/>
    <s v="в аренде"/>
    <s v="консолидация кредитов"/>
    <n v="174108"/>
    <n v="643"/>
    <n v="1221662"/>
    <n v="10567.42"/>
    <n v="8.9"/>
    <n v="35.265240640000002"/>
    <n v="5"/>
    <n v="122265"/>
    <n v="169752"/>
    <n v="0"/>
    <n v="-0.77136284209329808"/>
    <n v="0.85619174434087886"/>
    <n v="0.40074137090909095"/>
    <n v="9.5238095238095233E-2"/>
    <n v="0"/>
    <n v="101805.16666666667"/>
    <n v="0.10380042925129863"/>
  </r>
  <r>
    <n v="302"/>
    <s v="073e047d-fe1a-4d74-87e8-27fc569a9052"/>
    <x v="0"/>
    <x v="1"/>
    <x v="5"/>
    <s v="в аренде"/>
    <s v="консолидация кредитов"/>
    <n v="391468"/>
    <n v="742"/>
    <n v="629850"/>
    <n v="10025.16"/>
    <n v="17.8"/>
    <n v="14"/>
    <n v="8"/>
    <n v="57570"/>
    <n v="169620"/>
    <n v="0"/>
    <n v="0.46612869496485138"/>
    <n v="0.98801597869507318"/>
    <n v="0.15909090909090909"/>
    <n v="0.16666666666666666"/>
    <n v="0"/>
    <n v="52487.5"/>
    <n v="0.19100090497737557"/>
  </r>
  <r>
    <n v="1411"/>
    <s v="8d4039e2-37db-400c-9fd8-b63fbf875555"/>
    <x v="1"/>
    <x v="1"/>
    <x v="9"/>
    <s v="в ипотеке"/>
    <s v="ремонт жилья"/>
    <n v="234058"/>
    <n v="707"/>
    <n v="2467530"/>
    <n v="14126.69"/>
    <n v="17.5"/>
    <n v="36"/>
    <n v="9"/>
    <n v="86583"/>
    <n v="169356"/>
    <n v="1"/>
    <n v="-0.43005065196339348"/>
    <n v="0.94141145139813587"/>
    <n v="0.40909090909090912"/>
    <n v="0.19047619047619047"/>
    <n v="0.14285714285714285"/>
    <n v="205627.5"/>
    <n v="6.8700392700392701E-2"/>
  </r>
  <r>
    <n v="906"/>
    <s v="3b9812d3-595f-48ee-baf3-726f3dc117c5"/>
    <x v="1"/>
    <x v="1"/>
    <x v="6"/>
    <s v="в аренде"/>
    <s v="консолидация кредитов"/>
    <n v="495066"/>
    <n v="712"/>
    <n v="1766012"/>
    <n v="23693.95"/>
    <n v="15.6"/>
    <n v="45"/>
    <n v="11"/>
    <n v="14991"/>
    <n v="168432"/>
    <n v="0"/>
    <n v="1.0559412099452994"/>
    <n v="0.94806924101198398"/>
    <n v="0.51136363636363635"/>
    <n v="0.23809523809523808"/>
    <n v="0"/>
    <n v="147167.66666666666"/>
    <n v="0.16099969875629386"/>
  </r>
  <r>
    <n v="1616"/>
    <s v="e1a08473-db17-4a07-b888-b4425368aedb"/>
    <x v="1"/>
    <x v="1"/>
    <x v="7"/>
    <s v="в собственности"/>
    <s v="иное"/>
    <n v="134464"/>
    <n v="0"/>
    <n v="1168044"/>
    <n v="26965.75"/>
    <n v="8.3000000000000007"/>
    <n v="30"/>
    <n v="10"/>
    <n v="86298"/>
    <n v="167926"/>
    <n v="0"/>
    <n v="-0.99706727020855968"/>
    <n v="0"/>
    <n v="0.34090909090909088"/>
    <n v="0.21428571428571427"/>
    <n v="0"/>
    <n v="97337"/>
    <n v="0.27703494046457156"/>
  </r>
  <r>
    <n v="144"/>
    <s v="5e02406a-3cd6-49f7-bdc7-0f90ec0bb030"/>
    <x v="0"/>
    <x v="0"/>
    <x v="5"/>
    <s v="в аренде"/>
    <s v="консолидация кредитов"/>
    <n v="348832"/>
    <n v="704"/>
    <n v="497306"/>
    <n v="3257.36"/>
    <n v="13"/>
    <n v="35.265240640000002"/>
    <n v="4"/>
    <n v="90022"/>
    <n v="167860"/>
    <n v="0"/>
    <n v="0.22338997038806055"/>
    <n v="0.93741677762982689"/>
    <n v="0.40074137090909095"/>
    <n v="7.1428571428571425E-2"/>
    <n v="0"/>
    <n v="41442.166666666664"/>
    <n v="7.8600137541071299E-2"/>
  </r>
  <r>
    <n v="1122"/>
    <s v="83301fda-d1cf-49f4-a92a-5ff7385ec05e"/>
    <x v="0"/>
    <x v="1"/>
    <x v="7"/>
    <s v="в аренде"/>
    <s v="консолидация кредитов"/>
    <n v="116138"/>
    <n v="721"/>
    <n v="928720"/>
    <n v="5758.14"/>
    <n v="16"/>
    <n v="15"/>
    <n v="9"/>
    <n v="88426"/>
    <n v="167860"/>
    <n v="1"/>
    <n v="-1.1014023360354259"/>
    <n v="0.96005326231691079"/>
    <n v="0.17045454545454544"/>
    <n v="0.19047619047619047"/>
    <n v="0.14285714285714285"/>
    <n v="77393.333333333328"/>
    <n v="7.4400981996726692E-2"/>
  </r>
  <r>
    <n v="181"/>
    <s v="64dcd3aa-3c82-4c70-929a-a83d249d894a"/>
    <x v="0"/>
    <x v="0"/>
    <x v="4"/>
    <s v="в ипотеке"/>
    <s v="консолидация кредитов"/>
    <n v="234806"/>
    <n v="689"/>
    <n v="866799"/>
    <n v="3676.69"/>
    <n v="14.1"/>
    <n v="7"/>
    <n v="4"/>
    <n v="86051"/>
    <n v="167750"/>
    <n v="2"/>
    <n v="-0.42579207784801115"/>
    <n v="0.91744340878828234"/>
    <n v="7.9545454545454544E-2"/>
    <n v="7.1428571428571425E-2"/>
    <n v="0.2857142857142857"/>
    <n v="72233.25"/>
    <n v="5.0900243309002433E-2"/>
  </r>
  <r>
    <n v="968"/>
    <s v="64dcd3aa-3c82-4c70-929a-a83d249d894a"/>
    <x v="0"/>
    <x v="0"/>
    <x v="4"/>
    <s v="в ипотеке"/>
    <s v="консолидация кредитов"/>
    <n v="309594.52439999999"/>
    <n v="689"/>
    <n v="866799"/>
    <n v="3676.69"/>
    <n v="14.1"/>
    <n v="7"/>
    <n v="4"/>
    <n v="86051"/>
    <n v="167750"/>
    <n v="2"/>
    <n v="-1.2411115481956205E-10"/>
    <n v="0.91744340878828234"/>
    <n v="7.9545454545454544E-2"/>
    <n v="7.1428571428571425E-2"/>
    <n v="0.2857142857142857"/>
    <n v="72233.25"/>
    <n v="5.0900243309002433E-2"/>
  </r>
  <r>
    <n v="1737"/>
    <s v="4a944c24-87b1-4079-9f7a-e28f03eb42ce"/>
    <x v="0"/>
    <x v="1"/>
    <x v="1"/>
    <s v="в ипотеке"/>
    <s v="иное"/>
    <n v="132308"/>
    <n v="716"/>
    <n v="721601"/>
    <n v="5526.34"/>
    <n v="25.4"/>
    <n v="31"/>
    <n v="9"/>
    <n v="110466"/>
    <n v="167640"/>
    <n v="0"/>
    <n v="-1.0093419838352498"/>
    <n v="0.95339547270306257"/>
    <n v="0.35227272727272729"/>
    <n v="0.19047619047619047"/>
    <n v="0"/>
    <n v="60133.416666666664"/>
    <n v="9.190131388398852E-2"/>
  </r>
  <r>
    <n v="1281"/>
    <s v="f0a14b11-fba2-4ebc-a49a-09a27fb0cc40"/>
    <x v="0"/>
    <x v="1"/>
    <x v="1"/>
    <s v="в аренде"/>
    <s v="консолидация кредитов"/>
    <n v="66484"/>
    <n v="0"/>
    <n v="1168044"/>
    <n v="2795.28"/>
    <n v="29.1"/>
    <n v="37"/>
    <n v="11"/>
    <n v="81529"/>
    <n v="166188"/>
    <n v="1"/>
    <n v="-1.3840965059888919"/>
    <n v="0"/>
    <n v="0.42045454545454547"/>
    <n v="0.23809523809523808"/>
    <n v="0.14285714285714285"/>
    <n v="97337"/>
    <n v="2.8717548311536212E-2"/>
  </r>
  <r>
    <n v="1225"/>
    <s v="15f9a4a2-d071-49f9-bef7-0a7b41e28d24"/>
    <x v="0"/>
    <x v="1"/>
    <x v="6"/>
    <s v="в ипотеке"/>
    <s v="консолидация кредитов"/>
    <n v="309594.52439999999"/>
    <n v="744"/>
    <n v="1107396"/>
    <n v="7714.95"/>
    <n v="10.4"/>
    <n v="26"/>
    <n v="6"/>
    <n v="101878"/>
    <n v="165924"/>
    <n v="1"/>
    <n v="-1.2411115481956205E-10"/>
    <n v="0.99067909454061254"/>
    <n v="0.29545454545454547"/>
    <n v="0.11904761904761904"/>
    <n v="0.14285714285714285"/>
    <n v="92283"/>
    <n v="8.3600988264360715E-2"/>
  </r>
  <r>
    <n v="1313"/>
    <s v="044ed96e-752a-41b9-a21b-18f9b18c1c34"/>
    <x v="1"/>
    <x v="1"/>
    <x v="1"/>
    <s v="в аренде"/>
    <s v="консолидация кредитов"/>
    <n v="171952"/>
    <n v="729"/>
    <n v="742520"/>
    <n v="13612.74"/>
    <n v="12"/>
    <n v="72"/>
    <n v="8"/>
    <n v="93974"/>
    <n v="165616"/>
    <n v="1"/>
    <n v="-0.78363755571998817"/>
    <n v="0.97070572569906788"/>
    <n v="0.81818181818181823"/>
    <n v="0.16666666666666666"/>
    <n v="0.14285714285714285"/>
    <n v="61876.666666666664"/>
    <n v="0.21999795291709315"/>
  </r>
  <r>
    <n v="632"/>
    <s v="71708fcd-2fd3-4452-b9c1-11dd2a764751"/>
    <x v="1"/>
    <x v="1"/>
    <x v="7"/>
    <s v="в ипотеке"/>
    <s v="ремонт жилья"/>
    <n v="220286"/>
    <n v="734"/>
    <n v="1731242"/>
    <n v="29575.4"/>
    <n v="18.5"/>
    <n v="35.265240640000002"/>
    <n v="5"/>
    <n v="105564"/>
    <n v="165198"/>
    <n v="0"/>
    <n v="-0.50845851655837337"/>
    <n v="0.9773635153129161"/>
    <n v="0.40074137090909095"/>
    <n v="9.5238095238095233E-2"/>
    <n v="0"/>
    <n v="144270.16666666666"/>
    <n v="0.20500010974779959"/>
  </r>
  <r>
    <n v="1754"/>
    <s v="31d940d1-a325-4bf8-9eed-c71d7f9d4eaa"/>
    <x v="0"/>
    <x v="1"/>
    <x v="0"/>
    <s v="в аренде"/>
    <s v="консолидация кредитов"/>
    <n v="222860"/>
    <n v="0"/>
    <n v="1168044"/>
    <n v="9702.5400000000009"/>
    <n v="22"/>
    <n v="72"/>
    <n v="8"/>
    <n v="103740"/>
    <n v="165000"/>
    <n v="0"/>
    <n v="-0.49380401151426373"/>
    <n v="0"/>
    <n v="0.81818181818181823"/>
    <n v="0.16666666666666666"/>
    <n v="0"/>
    <n v="97337"/>
    <n v="9.9679875073199309E-2"/>
  </r>
  <r>
    <n v="1609"/>
    <s v="d37955be-29fb-42e9-b9fc-2795dfd2a381"/>
    <x v="0"/>
    <x v="1"/>
    <x v="3"/>
    <s v="в аренде"/>
    <s v="консолидация кредитов"/>
    <n v="200706"/>
    <n v="701"/>
    <n v="655899"/>
    <n v="12352.66"/>
    <n v="8.1999999999999993"/>
    <n v="35.265240640000002"/>
    <n v="9"/>
    <n v="50996"/>
    <n v="164934"/>
    <n v="0"/>
    <n v="-0.61993295663749814"/>
    <n v="0.93342210386151803"/>
    <n v="0.40074137090909095"/>
    <n v="0.19047619047619047"/>
    <n v="0"/>
    <n v="54658.25"/>
    <n v="0.22599808812027461"/>
  </r>
  <r>
    <n v="1839"/>
    <s v="c1c626d1-2999-44b7-a488-fb242f8d28bd"/>
    <x v="0"/>
    <x v="1"/>
    <x v="8"/>
    <s v="в собственности"/>
    <s v="консолидация кредитов"/>
    <n v="131846"/>
    <n v="730"/>
    <n v="1518176"/>
    <n v="14675.6"/>
    <n v="15.6"/>
    <n v="7"/>
    <n v="16"/>
    <n v="118617"/>
    <n v="164890"/>
    <n v="0"/>
    <n v="-1.0119722796123978"/>
    <n v="0.9720372836218375"/>
    <n v="7.9545454545454544E-2"/>
    <n v="0.35714285714285715"/>
    <n v="0"/>
    <n v="126514.66666666667"/>
    <n v="0.11599919903884662"/>
  </r>
  <r>
    <n v="44"/>
    <s v="628b0914-b1d7-4028-b590-b50f5da53d06"/>
    <x v="1"/>
    <x v="1"/>
    <x v="1"/>
    <s v="в аренде"/>
    <s v="консолидация кредитов"/>
    <n v="288948"/>
    <n v="712"/>
    <n v="537472"/>
    <n v="5777.9"/>
    <n v="14.8"/>
    <n v="35.265240640000002"/>
    <n v="4"/>
    <n v="132468"/>
    <n v="164406"/>
    <n v="0"/>
    <n v="-0.11754646320225147"/>
    <n v="0.94806924101198398"/>
    <n v="0.40074137090909095"/>
    <n v="7.1428571428571425E-2"/>
    <n v="0"/>
    <n v="44789.333333333336"/>
    <n v="0.12900169683257917"/>
  </r>
  <r>
    <n v="570"/>
    <s v="7fcad6e2-0549-426b-be7c-ffe7f31bdbc1"/>
    <x v="0"/>
    <x v="1"/>
    <x v="1"/>
    <s v="в ипотеке"/>
    <s v="приобретение жилья"/>
    <n v="172040"/>
    <n v="748"/>
    <n v="670985"/>
    <n v="10847.48"/>
    <n v="14.7"/>
    <n v="35.265240640000002"/>
    <n v="6"/>
    <n v="12901"/>
    <n v="164186"/>
    <n v="0"/>
    <n v="-0.78313654700053148"/>
    <n v="0.99600532623169102"/>
    <n v="0.40074137090909095"/>
    <n v="0.11904761904761904"/>
    <n v="0"/>
    <n v="55915.416666666664"/>
    <n v="0.19399801783944501"/>
  </r>
  <r>
    <n v="581"/>
    <s v="d2ce0e2b-43ae-42af-8967-2351a4d06af2"/>
    <x v="1"/>
    <x v="1"/>
    <x v="1"/>
    <s v="в аренде"/>
    <s v="консолидация кредитов"/>
    <n v="280588"/>
    <n v="0"/>
    <n v="1168044"/>
    <n v="17005.189999999999"/>
    <n v="15"/>
    <n v="35.265240640000002"/>
    <n v="11"/>
    <n v="111226"/>
    <n v="163856"/>
    <n v="0"/>
    <n v="-0.16514229155064183"/>
    <n v="0"/>
    <n v="0.40074137090909095"/>
    <n v="0.23809523809523808"/>
    <n v="0"/>
    <n v="97337"/>
    <n v="0.17470427483896153"/>
  </r>
  <r>
    <n v="47"/>
    <s v="5d71bb9d-ce8b-499d-91bf-3df92426430d"/>
    <x v="0"/>
    <x v="1"/>
    <x v="1"/>
    <s v="в собственности"/>
    <s v="консолидация кредитов"/>
    <n v="129712"/>
    <n v="723"/>
    <n v="1465698"/>
    <n v="18199.150000000001"/>
    <n v="19.399999999999999"/>
    <n v="6"/>
    <n v="34"/>
    <n v="45106"/>
    <n v="163218"/>
    <n v="1"/>
    <n v="-1.0241217410592236"/>
    <n v="0.96271637816245004"/>
    <n v="6.8181818181818177E-2"/>
    <n v="0.7857142857142857"/>
    <n v="0.14285714285714285"/>
    <n v="122141.5"/>
    <n v="0.1490005444504939"/>
  </r>
  <r>
    <n v="969"/>
    <s v="77c6b54a-a0a3-4dda-8ac2-2af5988846f5"/>
    <x v="0"/>
    <x v="1"/>
    <x v="9"/>
    <s v="в аренде"/>
    <s v="консолидация кредитов"/>
    <n v="214566"/>
    <n v="694"/>
    <n v="965105"/>
    <n v="8525.11"/>
    <n v="14.8"/>
    <n v="35.265240640000002"/>
    <n v="5"/>
    <n v="127452"/>
    <n v="163064"/>
    <n v="1"/>
    <n v="-0.54102408332306151"/>
    <n v="0.92410119840213045"/>
    <n v="0.40074137090909095"/>
    <n v="9.5238095238095233E-2"/>
    <n v="0.14285714285714285"/>
    <n v="80425.416666666672"/>
    <n v="0.10600019686977065"/>
  </r>
  <r>
    <n v="694"/>
    <s v="a82ed54f-4dcb-4dea-aeaa-1676af5f6d88"/>
    <x v="1"/>
    <x v="1"/>
    <x v="1"/>
    <s v="в ипотеке"/>
    <s v="Медицинские счета"/>
    <n v="77286"/>
    <n v="697"/>
    <n v="1964429"/>
    <n v="13489.24"/>
    <n v="16.7"/>
    <n v="35.265240640000002"/>
    <n v="7"/>
    <n v="128687"/>
    <n v="161260"/>
    <n v="0"/>
    <n v="-1.322597685675577"/>
    <n v="0.92809587217043943"/>
    <n v="0.40074137090909095"/>
    <n v="0.14285714285714285"/>
    <n v="0"/>
    <n v="163702.41666666666"/>
    <n v="8.2400982677409057E-2"/>
  </r>
  <r>
    <n v="602"/>
    <s v="d1d30005-1f5e-4aed-aa30-e56fd3d50f88"/>
    <x v="0"/>
    <x v="1"/>
    <x v="7"/>
    <s v="в собственности"/>
    <s v="путешествие"/>
    <n v="77000"/>
    <n v="711"/>
    <n v="674044"/>
    <n v="9942.32"/>
    <n v="20.2"/>
    <n v="35.265240640000002"/>
    <n v="5"/>
    <n v="70794"/>
    <n v="160710"/>
    <n v="1"/>
    <n v="-1.3242259640138114"/>
    <n v="0.94673768308921435"/>
    <n v="0.40074137090909095"/>
    <n v="9.5238095238095233E-2"/>
    <n v="0.14285714285714285"/>
    <n v="56170.333333333336"/>
    <n v="0.17700304431164729"/>
  </r>
  <r>
    <n v="458"/>
    <s v="e7bbc5c3-bd7a-4803-a170-7eaa2d8de78a"/>
    <x v="1"/>
    <x v="1"/>
    <x v="7"/>
    <s v="в аренде"/>
    <s v="консолидация кредитов"/>
    <n v="131934"/>
    <n v="717"/>
    <n v="531734"/>
    <n v="16395.099999999999"/>
    <n v="8.4"/>
    <n v="35.265240640000002"/>
    <n v="9"/>
    <n v="120612"/>
    <n v="160512"/>
    <n v="0"/>
    <n v="-1.011471270892941"/>
    <n v="0.9547270306258322"/>
    <n v="0.40074137090909095"/>
    <n v="0.19047619047619047"/>
    <n v="0"/>
    <n v="44311.166666666664"/>
    <n v="0.36999928535696419"/>
  </r>
  <r>
    <n v="1571"/>
    <s v="b8a66042-638c-4b8e-88f1-6b9c7d094bb4"/>
    <x v="0"/>
    <x v="1"/>
    <x v="9"/>
    <s v="в собственности"/>
    <s v="консолидация кредитов"/>
    <n v="68244"/>
    <n v="740"/>
    <n v="1871310"/>
    <n v="2744.74"/>
    <n v="20.7"/>
    <n v="14"/>
    <n v="6"/>
    <n v="64125"/>
    <n v="160380"/>
    <n v="1"/>
    <n v="-1.3740763315997571"/>
    <n v="0.98535286284953394"/>
    <n v="0.15909090909090909"/>
    <n v="0.11904761904761904"/>
    <n v="0.14285714285714285"/>
    <n v="155942.5"/>
    <n v="1.7600974718245507E-2"/>
  </r>
  <r>
    <n v="753"/>
    <s v="15e0d842-f101-40a2-830a-ac58c51457a1"/>
    <x v="0"/>
    <x v="1"/>
    <x v="7"/>
    <s v="в собственности"/>
    <s v="консолидация кредитов"/>
    <n v="162074"/>
    <n v="712"/>
    <n v="583224"/>
    <n v="4665.83"/>
    <n v="23.1"/>
    <n v="35.265240640000002"/>
    <n v="6"/>
    <n v="128231"/>
    <n v="159830"/>
    <n v="0"/>
    <n v="-0.83987578447900735"/>
    <n v="0.94806924101198398"/>
    <n v="0.40074137090909095"/>
    <n v="0.11904761904761904"/>
    <n v="0"/>
    <n v="48602"/>
    <n v="9.6000781860828777E-2"/>
  </r>
  <r>
    <n v="1268"/>
    <s v="07693021-ce94-437a-a82f-2b8483a769ce"/>
    <x v="0"/>
    <x v="1"/>
    <x v="6"/>
    <s v="в ипотеке"/>
    <s v="консолидация кредитов"/>
    <n v="152746"/>
    <n v="699"/>
    <n v="1225006"/>
    <n v="10718.66"/>
    <n v="13.8"/>
    <n v="35.265240640000002"/>
    <n v="12"/>
    <n v="103968"/>
    <n v="159258"/>
    <n v="1"/>
    <n v="-0.89298270874142183"/>
    <n v="0.93075898801597867"/>
    <n v="0.40074137090909095"/>
    <n v="0.26190476190476192"/>
    <n v="0.14285714285714285"/>
    <n v="102083.83333333333"/>
    <n v="0.10499860408846977"/>
  </r>
  <r>
    <n v="466"/>
    <s v="fd04a9be-10df-4847-92f5-c647e16d40a5"/>
    <x v="0"/>
    <x v="1"/>
    <x v="1"/>
    <s v="в ипотеке"/>
    <s v="консолидация кредитов"/>
    <n v="298166"/>
    <n v="717"/>
    <n v="2247396"/>
    <n v="35583.769999999997"/>
    <n v="19.5"/>
    <n v="35.265240640000002"/>
    <n v="22"/>
    <n v="50825"/>
    <n v="159060"/>
    <n v="1"/>
    <n v="-6.506579983915789E-2"/>
    <n v="0.9547270306258322"/>
    <n v="0.40074137090909095"/>
    <n v="0.5"/>
    <n v="0.14285714285714285"/>
    <n v="187283"/>
    <n v="0.18999999999999997"/>
  </r>
  <r>
    <n v="1545"/>
    <s v="e4f235d2-1867-4741-813e-9896f760ceb6"/>
    <x v="0"/>
    <x v="1"/>
    <x v="7"/>
    <s v="в аренде"/>
    <s v="консолидация кредитов"/>
    <n v="86218"/>
    <n v="720"/>
    <n v="468255"/>
    <n v="12721.07"/>
    <n v="13.9"/>
    <n v="35.265240640000002"/>
    <n v="6"/>
    <n v="27322"/>
    <n v="158202"/>
    <n v="1"/>
    <n v="-1.2717453006507178"/>
    <n v="0.95872170439414117"/>
    <n v="0.40074137090909095"/>
    <n v="0.11904761904761904"/>
    <n v="0.14285714285714285"/>
    <n v="39021.25"/>
    <n v="0.32600365185636032"/>
  </r>
  <r>
    <n v="1640"/>
    <s v="a0f51fd3-d44e-478a-93e5-8eb103aae837"/>
    <x v="0"/>
    <x v="1"/>
    <x v="0"/>
    <s v="в ипотеке"/>
    <s v="консолидация кредитов"/>
    <n v="109890"/>
    <n v="718"/>
    <n v="778145"/>
    <n v="6056.63"/>
    <n v="15.1"/>
    <n v="8"/>
    <n v="8"/>
    <n v="75962"/>
    <n v="158180"/>
    <n v="0"/>
    <n v="-1.1369739551168545"/>
    <n v="0.95605858854860182"/>
    <n v="9.0909090909090912E-2"/>
    <n v="0.16666666666666666"/>
    <n v="0"/>
    <n v="64845.416666666664"/>
    <n v="9.3401049932853142E-2"/>
  </r>
  <r>
    <n v="1530"/>
    <s v="379c1838-fe78-4132-a7fc-df948703a0ac"/>
    <x v="1"/>
    <x v="1"/>
    <x v="7"/>
    <s v="в аренде"/>
    <s v="консолидация кредитов"/>
    <n v="117876"/>
    <n v="0"/>
    <n v="1168044"/>
    <n v="11014.3"/>
    <n v="5"/>
    <n v="37"/>
    <n v="5"/>
    <n v="63935"/>
    <n v="157872"/>
    <n v="0"/>
    <n v="-1.0915074138261553"/>
    <n v="0"/>
    <n v="0.42045454545454547"/>
    <n v="9.5238095238095233E-2"/>
    <n v="0"/>
    <n v="97337"/>
    <n v="0.11315635369900448"/>
  </r>
  <r>
    <n v="1970"/>
    <s v="786dbaee-3c3f-4210-b4fe-e9cdeabc8894"/>
    <x v="0"/>
    <x v="1"/>
    <x v="1"/>
    <s v="в аренде"/>
    <s v="консолидация кредитов"/>
    <n v="206756"/>
    <n v="726"/>
    <n v="529872"/>
    <n v="12981.75"/>
    <n v="15.2"/>
    <n v="35.265240640000002"/>
    <n v="6"/>
    <n v="120859"/>
    <n v="157586"/>
    <n v="0"/>
    <n v="-0.5854886071748473"/>
    <n v="0.96671105193075901"/>
    <n v="0.40074137090909095"/>
    <n v="0.11904761904761904"/>
    <n v="0"/>
    <n v="44156"/>
    <n v="0.29399741824440617"/>
  </r>
  <r>
    <n v="262"/>
    <s v="f7f8e132-37ed-4cc7-a5f9-5d5dea766cdb"/>
    <x v="0"/>
    <x v="0"/>
    <x v="1"/>
    <s v="в ипотеке"/>
    <s v="консолидация кредитов"/>
    <n v="448272"/>
    <n v="716"/>
    <n v="1045285"/>
    <n v="16289.08"/>
    <n v="23"/>
    <n v="24"/>
    <n v="7"/>
    <n v="115558"/>
    <n v="157432"/>
    <n v="0"/>
    <n v="0.78952982337417743"/>
    <n v="0.95339547270306257"/>
    <n v="0.27272727272727271"/>
    <n v="0.14285714285714285"/>
    <n v="0"/>
    <n v="87107.083333333328"/>
    <n v="0.18700063619012997"/>
  </r>
  <r>
    <n v="822"/>
    <s v="7f97ade2-4720-42c6-ab28-9ebcea043cf2"/>
    <x v="0"/>
    <x v="1"/>
    <x v="7"/>
    <s v="в аренде"/>
    <s v="свадьба"/>
    <n v="130944"/>
    <n v="720"/>
    <n v="584288"/>
    <n v="9835.5400000000009"/>
    <n v="10.4"/>
    <n v="35.265240640000002"/>
    <n v="4"/>
    <n v="43605"/>
    <n v="157322"/>
    <n v="0"/>
    <n v="-1.0171076189868293"/>
    <n v="0.95872170439414117"/>
    <n v="0.40074137090909095"/>
    <n v="7.1428571428571425E-2"/>
    <n v="0"/>
    <n v="48690.666666666664"/>
    <n v="0.2020005202913632"/>
  </r>
  <r>
    <n v="719"/>
    <s v="d2e7d8bf-d1ad-40b3-9d17-45e0aa8fcb9b"/>
    <x v="1"/>
    <x v="1"/>
    <x v="5"/>
    <s v="в аренде"/>
    <s v="бизнес"/>
    <n v="174306"/>
    <n v="0"/>
    <n v="1168044"/>
    <n v="7113.03"/>
    <n v="19.399999999999999"/>
    <n v="24"/>
    <n v="10"/>
    <n v="103208"/>
    <n v="156838"/>
    <n v="0"/>
    <n v="-0.77023557247452035"/>
    <n v="0"/>
    <n v="0.27272727272727271"/>
    <n v="0.21428571428571427"/>
    <n v="0"/>
    <n v="97337"/>
    <n v="7.3076322467304305E-2"/>
  </r>
  <r>
    <n v="872"/>
    <s v="4f09dde1-a987-433a-99de-91f3c2d445e6"/>
    <x v="0"/>
    <x v="1"/>
    <x v="8"/>
    <s v="в аренде"/>
    <s v="иное"/>
    <n v="189002"/>
    <n v="703"/>
    <n v="2431962"/>
    <n v="24725.08"/>
    <n v="14.8"/>
    <n v="19"/>
    <n v="10"/>
    <n v="108471"/>
    <n v="156002"/>
    <n v="0"/>
    <n v="-0.6865671163252447"/>
    <n v="0.93608521970705727"/>
    <n v="0.21590909090909091"/>
    <n v="0.21428571428571427"/>
    <n v="0"/>
    <n v="202663.5"/>
    <n v="0.12200065626025408"/>
  </r>
  <r>
    <n v="1695"/>
    <s v="64cba960-e172-4db3-bc0e-a4fa5fc127bf"/>
    <x v="0"/>
    <x v="1"/>
    <x v="2"/>
    <s v="в ипотеке"/>
    <s v="ремонт жилья"/>
    <n v="44088"/>
    <n v="735"/>
    <n v="868224"/>
    <n v="12719.36"/>
    <n v="13.2"/>
    <n v="35.265240640000002"/>
    <n v="5"/>
    <n v="48070"/>
    <n v="154198"/>
    <n v="0"/>
    <n v="-1.5116032250906324"/>
    <n v="0.97869507323568572"/>
    <n v="0.40074137090909095"/>
    <n v="9.5238095238095233E-2"/>
    <n v="0"/>
    <n v="72352"/>
    <n v="0.1757983193277311"/>
  </r>
  <r>
    <n v="1576"/>
    <s v="5875264a-d7cf-4f6b-8be6-9cb4ed78142b"/>
    <x v="1"/>
    <x v="1"/>
    <x v="1"/>
    <s v="в ипотеке"/>
    <s v="ремонт жилья"/>
    <n v="132814"/>
    <n v="717"/>
    <n v="1022523"/>
    <n v="26074.27"/>
    <n v="14.9"/>
    <n v="25"/>
    <n v="12"/>
    <n v="94411"/>
    <n v="153098"/>
    <n v="0"/>
    <n v="-1.0064611836983737"/>
    <n v="0.9547270306258322"/>
    <n v="0.28409090909090912"/>
    <n v="0.26190476190476192"/>
    <n v="0"/>
    <n v="85210.25"/>
    <n v="0.30599921957745696"/>
  </r>
  <r>
    <n v="868"/>
    <s v="40f81e7d-9d14-4bf6-bfc4-a19448221d89"/>
    <x v="0"/>
    <x v="1"/>
    <x v="8"/>
    <s v="в аренде"/>
    <s v="консолидация кредитов"/>
    <n v="43714"/>
    <n v="0"/>
    <n v="1168044"/>
    <n v="3642.87"/>
    <n v="7"/>
    <n v="35.265240640000002"/>
    <n v="8"/>
    <n v="27968"/>
    <n v="152790"/>
    <n v="0"/>
    <n v="-1.5137325121483236"/>
    <n v="0"/>
    <n v="0.40074137090909095"/>
    <n v="0.16666666666666666"/>
    <n v="0"/>
    <n v="97337"/>
    <n v="3.7425336716767517E-2"/>
  </r>
  <r>
    <n v="156"/>
    <s v="886e3ac5-357d-42ab-81cd-aaee8d28c706"/>
    <x v="0"/>
    <x v="1"/>
    <x v="10"/>
    <s v="в аренде"/>
    <s v="консолидация кредитов"/>
    <n v="229086"/>
    <n v="715"/>
    <n v="787626"/>
    <n v="6543.79"/>
    <n v="23.9"/>
    <n v="36"/>
    <n v="7"/>
    <n v="71231"/>
    <n v="152460"/>
    <n v="1"/>
    <n v="-0.45835764461269929"/>
    <n v="0.95206391478029295"/>
    <n v="0.40909090909090912"/>
    <n v="0.14285714285714285"/>
    <n v="0.14285714285714285"/>
    <n v="65635.5"/>
    <n v="9.969894340715009E-2"/>
  </r>
  <r>
    <n v="1858"/>
    <s v="99d451ca-47a0-46f6-bf98-19511d43891d"/>
    <x v="0"/>
    <x v="1"/>
    <x v="1"/>
    <s v="в аренде"/>
    <s v="консолидация кредитов"/>
    <n v="234102"/>
    <n v="728"/>
    <n v="1141710"/>
    <n v="5423.17"/>
    <n v="17"/>
    <n v="35.265240640000002"/>
    <n v="6"/>
    <n v="124146"/>
    <n v="151932"/>
    <n v="0"/>
    <n v="-0.42980014760366508"/>
    <n v="0.96937416777629826"/>
    <n v="0.40074137090909095"/>
    <n v="0.11904761904761904"/>
    <n v="0"/>
    <n v="95142.5"/>
    <n v="5.7000499251123313E-2"/>
  </r>
  <r>
    <n v="354"/>
    <s v="fc22174a-fbb3-4cc5-bbbe-37846690c20a"/>
    <x v="1"/>
    <x v="1"/>
    <x v="7"/>
    <s v="в ипотеке"/>
    <s v="ремонт жилья"/>
    <n v="133936"/>
    <n v="639"/>
    <n v="347035"/>
    <n v="6969.39"/>
    <n v="15.4"/>
    <n v="22"/>
    <n v="10"/>
    <n v="68742"/>
    <n v="151910"/>
    <n v="0"/>
    <n v="-1.0000733225253002"/>
    <n v="0.85086551264980026"/>
    <n v="0.25"/>
    <n v="0.21428571428571427"/>
    <n v="0"/>
    <n v="28919.583333333332"/>
    <n v="0.24099206131946346"/>
  </r>
  <r>
    <n v="784"/>
    <s v="b756e180-7ba2-4721-a9cc-534c5bb642d2"/>
    <x v="0"/>
    <x v="1"/>
    <x v="1"/>
    <s v="в аренде"/>
    <s v="консолидация кредитов"/>
    <n v="309594.52439999999"/>
    <n v="738"/>
    <n v="934800"/>
    <n v="4806.43"/>
    <n v="27.8"/>
    <n v="20"/>
    <n v="13"/>
    <n v="25536"/>
    <n v="151646"/>
    <n v="0"/>
    <n v="-1.2411115481956205E-10"/>
    <n v="0.9826897470039947"/>
    <n v="0.22727272727272727"/>
    <n v="0.2857142857142857"/>
    <n v="0"/>
    <n v="77900"/>
    <n v="6.1700000000000005E-2"/>
  </r>
  <r>
    <n v="1467"/>
    <s v="a3de6da6-d59c-4320-b4b9-d32404bc7a1b"/>
    <x v="1"/>
    <x v="0"/>
    <x v="1"/>
    <s v="в аренде"/>
    <s v="консолидация кредитов"/>
    <n v="291500"/>
    <n v="609"/>
    <n v="840731"/>
    <n v="20317.46"/>
    <n v="15.1"/>
    <n v="35.265240640000002"/>
    <n v="5"/>
    <n v="125191"/>
    <n v="151470"/>
    <n v="0"/>
    <n v="-0.103017210338006"/>
    <n v="0.81091877496671105"/>
    <n v="0.40074137090909095"/>
    <n v="9.5238095238095233E-2"/>
    <n v="0"/>
    <n v="70060.916666666672"/>
    <n v="0.28999706208049897"/>
  </r>
  <r>
    <n v="148"/>
    <s v="01246538-e5a4-46e1-9db5-082889444846"/>
    <x v="0"/>
    <x v="1"/>
    <x v="9"/>
    <s v="в ипотеке"/>
    <s v="консолидация кредитов"/>
    <n v="109538"/>
    <n v="697"/>
    <n v="567606"/>
    <n v="5770.68"/>
    <n v="14.3"/>
    <n v="62"/>
    <n v="10"/>
    <n v="86716"/>
    <n v="151206"/>
    <n v="0"/>
    <n v="-1.1389779899946815"/>
    <n v="0.92809587217043943"/>
    <n v="0.70454545454545459"/>
    <n v="0.21428571428571427"/>
    <n v="0"/>
    <n v="47300.5"/>
    <n v="0.12200040168708577"/>
  </r>
  <r>
    <n v="65"/>
    <s v="8e49b9f9-b15f-4d76-a1f8-2bc90dfdb07f"/>
    <x v="0"/>
    <x v="1"/>
    <x v="1"/>
    <s v="в ипотеке"/>
    <s v="консолидация кредитов"/>
    <n v="171248"/>
    <n v="747"/>
    <n v="3035725"/>
    <n v="42500.15"/>
    <n v="31.5"/>
    <n v="17"/>
    <n v="11"/>
    <n v="25460"/>
    <n v="151140"/>
    <n v="0"/>
    <n v="-0.7876456254756421"/>
    <n v="0.9946737683089214"/>
    <n v="0.19318181818181818"/>
    <n v="0.23809523809523808"/>
    <n v="0"/>
    <n v="252977.08333333334"/>
    <n v="0.16800000000000001"/>
  </r>
  <r>
    <n v="1511"/>
    <s v="1c80d5ad-8367-4894-ab6f-cdda4c5504af"/>
    <x v="0"/>
    <x v="0"/>
    <x v="7"/>
    <s v="в аренде"/>
    <s v="консолидация кредитов"/>
    <n v="248952"/>
    <n v="713"/>
    <n v="1156150"/>
    <n v="31023.58"/>
    <n v="15.4"/>
    <n v="67"/>
    <n v="19"/>
    <n v="80408"/>
    <n v="151140"/>
    <n v="3"/>
    <n v="-0.34525492619534009"/>
    <n v="0.94940079893475371"/>
    <n v="0.76136363636363635"/>
    <n v="0.42857142857142855"/>
    <n v="0.42857142857142855"/>
    <n v="96345.833333333328"/>
    <n v="0.32200230073952346"/>
  </r>
  <r>
    <n v="416"/>
    <s v="8e3e3601-6f19-4818-8915-4c3e3f58c2fd"/>
    <x v="0"/>
    <x v="1"/>
    <x v="1"/>
    <s v="в аренде"/>
    <s v="консолидация кредитов"/>
    <n v="450648"/>
    <n v="737"/>
    <n v="1634627"/>
    <n v="10570.65"/>
    <n v="32.5"/>
    <n v="20"/>
    <n v="6"/>
    <n v="93252"/>
    <n v="151008"/>
    <n v="1"/>
    <n v="0.8030570587995095"/>
    <n v="0.98135818908122507"/>
    <n v="0.22727272727272727"/>
    <n v="0.11904761904761904"/>
    <n v="0.14285714285714285"/>
    <n v="136218.91666666666"/>
    <n v="7.7600455639115232E-2"/>
  </r>
  <r>
    <n v="129"/>
    <s v="8ded7e5a-b0e0-4d18-a3cf-5ad8cd5fea52"/>
    <x v="0"/>
    <x v="1"/>
    <x v="5"/>
    <s v="в аренде"/>
    <s v="консолидация кредитов"/>
    <n v="309594.52439999999"/>
    <n v="742"/>
    <n v="1359792"/>
    <n v="17224.07"/>
    <n v="10.7"/>
    <n v="35.265240640000002"/>
    <n v="8"/>
    <n v="57000"/>
    <n v="150678"/>
    <n v="0"/>
    <n v="-1.2411115481956205E-10"/>
    <n v="0.98801597869507318"/>
    <n v="0.40074137090909095"/>
    <n v="0.16666666666666666"/>
    <n v="0"/>
    <n v="113316"/>
    <n v="0.15200033534540577"/>
  </r>
  <r>
    <n v="1925"/>
    <s v="f36523d1-3060-47e1-be7c-33ff7abca005"/>
    <x v="0"/>
    <x v="1"/>
    <x v="7"/>
    <s v="в аренде"/>
    <s v="консолидация кредитов"/>
    <n v="219846"/>
    <n v="711"/>
    <n v="572451"/>
    <n v="13118.74"/>
    <n v="12.8"/>
    <n v="10"/>
    <n v="10"/>
    <n v="113525"/>
    <n v="150216"/>
    <n v="0"/>
    <n v="-0.51096356015565703"/>
    <n v="0.94673768308921435"/>
    <n v="0.11363636363636363"/>
    <n v="0.21428571428571427"/>
    <n v="0"/>
    <n v="47704.25"/>
    <n v="0.27500149357761622"/>
  </r>
  <r>
    <n v="999"/>
    <s v="dae190eb-1c33-4458-b34d-c14d915ab118"/>
    <x v="0"/>
    <x v="1"/>
    <x v="1"/>
    <s v="в аренде"/>
    <s v="консолидация кредитов"/>
    <n v="309594.52439999999"/>
    <n v="733"/>
    <n v="1383599"/>
    <n v="22944.59"/>
    <n v="17"/>
    <n v="17"/>
    <n v="9"/>
    <n v="108661"/>
    <n v="149072"/>
    <n v="0"/>
    <n v="-1.2411115481956205E-10"/>
    <n v="0.97603195739014648"/>
    <n v="0.19318181818181818"/>
    <n v="0.19047619047619047"/>
    <n v="0"/>
    <n v="115299.91666666667"/>
    <n v="0.19899918979415279"/>
  </r>
  <r>
    <n v="1334"/>
    <s v="e8877a7e-0591-420b-9a81-8b82659ab882"/>
    <x v="0"/>
    <x v="1"/>
    <x v="3"/>
    <s v="в ипотеке"/>
    <s v="консолидация кредитов"/>
    <n v="309594.52439999999"/>
    <n v="709"/>
    <n v="1858010"/>
    <n v="3623.11"/>
    <n v="26.8"/>
    <n v="35.265240640000002"/>
    <n v="5"/>
    <n v="79686"/>
    <n v="148346"/>
    <n v="1"/>
    <n v="-1.2411115481956205E-10"/>
    <n v="0.94407456724367511"/>
    <n v="0.40074137090909095"/>
    <n v="9.5238095238095233E-2"/>
    <n v="0.14285714285714285"/>
    <n v="154834.16666666666"/>
    <n v="2.3399938644033134E-2"/>
  </r>
  <r>
    <n v="1976"/>
    <s v="98ae6bad-e4a5-4844-b8ea-291cf132ea45"/>
    <x v="0"/>
    <x v="1"/>
    <x v="1"/>
    <s v="в собственности"/>
    <s v="консолидация кредитов"/>
    <n v="66132"/>
    <n v="718"/>
    <n v="761520"/>
    <n v="7107.52"/>
    <n v="21.5"/>
    <n v="27"/>
    <n v="6"/>
    <n v="52934"/>
    <n v="147664"/>
    <n v="0"/>
    <n v="-1.3861005408667189"/>
    <n v="0.95605858854860182"/>
    <n v="0.30681818181818182"/>
    <n v="0.11904761904761904"/>
    <n v="0"/>
    <n v="63460"/>
    <n v="0.112"/>
  </r>
  <r>
    <n v="922"/>
    <s v="6298e152-84e5-4dd3-a4cd-41cd40ef58c1"/>
    <x v="0"/>
    <x v="1"/>
    <x v="1"/>
    <s v="в ипотеке"/>
    <s v="консолидация кредитов"/>
    <n v="70136"/>
    <n v="705"/>
    <n v="946295"/>
    <n v="23814.98"/>
    <n v="23.1"/>
    <n v="18"/>
    <n v="9"/>
    <n v="77425"/>
    <n v="146740"/>
    <n v="0"/>
    <n v="-1.3633046441314371"/>
    <n v="0.93874833555259651"/>
    <n v="0.20454545454545456"/>
    <n v="0.19047619047619047"/>
    <n v="0"/>
    <n v="78857.916666666672"/>
    <n v="0.3019985945186226"/>
  </r>
  <r>
    <n v="1484"/>
    <s v="5da32a38-7c53-4ab3-931f-1754150c1f06"/>
    <x v="0"/>
    <x v="1"/>
    <x v="4"/>
    <s v="в аренде"/>
    <s v="иное"/>
    <n v="309594.52439999999"/>
    <n v="706"/>
    <n v="562685"/>
    <n v="1359.83"/>
    <n v="11.1"/>
    <n v="41"/>
    <n v="4"/>
    <n v="47823"/>
    <n v="146124"/>
    <n v="0"/>
    <n v="-1.2411115481956205E-10"/>
    <n v="0.94007989347536614"/>
    <n v="0.46590909090909088"/>
    <n v="7.1428571428571425E-2"/>
    <n v="0"/>
    <n v="46890.416666666664"/>
    <n v="2.9000168833361473E-2"/>
  </r>
  <r>
    <n v="157"/>
    <s v="f922a1c3-98e7-4870-ade3-dd9a9b2fa5ee"/>
    <x v="1"/>
    <x v="0"/>
    <x v="3"/>
    <s v="в собственности"/>
    <s v="консолидация кредитов"/>
    <n v="393558"/>
    <n v="678"/>
    <n v="2317392"/>
    <n v="22015.3"/>
    <n v="14.7"/>
    <n v="27"/>
    <n v="8"/>
    <n v="124184"/>
    <n v="145552"/>
    <n v="0"/>
    <n v="0.47802765205194897"/>
    <n v="0.90279627163781628"/>
    <n v="0.30681818181818182"/>
    <n v="0.16666666666666666"/>
    <n v="0"/>
    <n v="193116"/>
    <n v="0.11400039354584809"/>
  </r>
  <r>
    <n v="1402"/>
    <s v="0cbfb2a5-ff94-4dbb-bcf9-6bc0bd5c9e95"/>
    <x v="0"/>
    <x v="0"/>
    <x v="10"/>
    <s v="в ипотеке"/>
    <s v="иное"/>
    <n v="329780"/>
    <n v="679"/>
    <n v="918194"/>
    <n v="7957.77"/>
    <n v="19.100000000000001"/>
    <n v="35.265240640000002"/>
    <n v="3"/>
    <n v="123120"/>
    <n v="145464"/>
    <n v="0"/>
    <n v="0.11492158262567619"/>
    <n v="0.9041278295605859"/>
    <n v="0.40074137090909095"/>
    <n v="4.7619047619047616E-2"/>
    <n v="0"/>
    <n v="76516.166666666672"/>
    <n v="0.10400115879650705"/>
  </r>
  <r>
    <n v="470"/>
    <s v="9ac101a6-a72e-4ecb-ae9c-091200a88209"/>
    <x v="1"/>
    <x v="1"/>
    <x v="1"/>
    <s v="в аренде"/>
    <s v="крупная покупка"/>
    <n v="140888"/>
    <n v="693"/>
    <n v="1166296"/>
    <n v="7396.32"/>
    <n v="16.399999999999999"/>
    <n v="35.265240640000002"/>
    <n v="6"/>
    <n v="1254"/>
    <n v="145244"/>
    <n v="0"/>
    <n v="-0.96049363368821761"/>
    <n v="0.92276964047936083"/>
    <n v="0.40074137090909095"/>
    <n v="0.11904761904761904"/>
    <n v="0"/>
    <n v="97191.333333333328"/>
    <n v="7.6100612537469053E-2"/>
  </r>
  <r>
    <n v="510"/>
    <s v="b2432894-f244-4e24-a344-651609be1420"/>
    <x v="1"/>
    <x v="1"/>
    <x v="6"/>
    <s v="в ипотеке"/>
    <s v="консолидация кредитов"/>
    <n v="321420"/>
    <n v="745"/>
    <n v="1542192"/>
    <n v="12106.23"/>
    <n v="21.4"/>
    <n v="39"/>
    <n v="4"/>
    <n v="121657"/>
    <n v="145068"/>
    <n v="0"/>
    <n v="6.7325754277285835E-2"/>
    <n v="0.99201065246338216"/>
    <n v="0.44318181818181818"/>
    <n v="7.1428571428571425E-2"/>
    <n v="0"/>
    <n v="128516"/>
    <n v="9.4200177409816677E-2"/>
  </r>
  <r>
    <n v="670"/>
    <s v="dc77eba0-0429-44bb-87e0-88ce3d7dc6d3"/>
    <x v="0"/>
    <x v="0"/>
    <x v="8"/>
    <s v="в ипотеке"/>
    <s v="консолидация кредитов"/>
    <n v="351076"/>
    <n v="716"/>
    <n v="758024"/>
    <n v="8780.4699999999993"/>
    <n v="16.5"/>
    <n v="35.265240640000002"/>
    <n v="8"/>
    <n v="97983"/>
    <n v="144892"/>
    <n v="1"/>
    <n v="0.23616569273420743"/>
    <n v="0.95339547270306257"/>
    <n v="0.40074137090909095"/>
    <n v="0.16666666666666666"/>
    <n v="0.14285714285714285"/>
    <n v="63168.666666666664"/>
    <n v="0.13900040104271105"/>
  </r>
  <r>
    <n v="1559"/>
    <s v="60218360-9629-4cba-a91b-111951e7dbba"/>
    <x v="0"/>
    <x v="0"/>
    <x v="7"/>
    <s v="в ипотеке"/>
    <s v="ремонт жилья"/>
    <n v="292952"/>
    <n v="649"/>
    <n v="2062260"/>
    <n v="18388.580000000002"/>
    <n v="9.1"/>
    <n v="43"/>
    <n v="8"/>
    <n v="68780"/>
    <n v="143770"/>
    <n v="0"/>
    <n v="-9.4750566466969777E-2"/>
    <n v="0.8641810918774967"/>
    <n v="0.48863636363636365"/>
    <n v="0.16666666666666666"/>
    <n v="0"/>
    <n v="171855"/>
    <n v="0.10700055279159758"/>
  </r>
  <r>
    <n v="437"/>
    <s v="23fbae3c-895e-43d9-bae9-077999282de3"/>
    <x v="0"/>
    <x v="1"/>
    <x v="1"/>
    <s v="в аренде"/>
    <s v="консолидация кредитов"/>
    <n v="188166"/>
    <n v="747"/>
    <n v="2408554"/>
    <n v="7587.08"/>
    <n v="16.5"/>
    <n v="35.265240640000002"/>
    <n v="7"/>
    <n v="85975"/>
    <n v="143440"/>
    <n v="1"/>
    <n v="-0.69132669916008371"/>
    <n v="0.9946737683089214"/>
    <n v="0.40074137090909095"/>
    <n v="0.14285714285714285"/>
    <n v="0.14285714285714285"/>
    <n v="200712.83333333334"/>
    <n v="3.7800672104507514E-2"/>
  </r>
  <r>
    <n v="1282"/>
    <s v="2bd2c7ac-7a04-472a-940f-e8a64ad63160"/>
    <x v="0"/>
    <x v="1"/>
    <x v="1"/>
    <s v="в аренде"/>
    <s v="бизнес"/>
    <n v="129976"/>
    <n v="719"/>
    <n v="561222"/>
    <n v="10008.44"/>
    <n v="21.1"/>
    <n v="35.265240640000002"/>
    <n v="6"/>
    <n v="117401"/>
    <n v="142934"/>
    <n v="0"/>
    <n v="-1.0226187149008534"/>
    <n v="0.95739014647137155"/>
    <n v="0.40074137090909095"/>
    <n v="0.11904761904761904"/>
    <n v="0"/>
    <n v="46768.5"/>
    <n v="0.21399959374365227"/>
  </r>
  <r>
    <n v="905"/>
    <s v="3d2ea5a2-7d1a-47d3-89c9-4e3dd926aaeb"/>
    <x v="0"/>
    <x v="1"/>
    <x v="10"/>
    <s v="в аренде"/>
    <s v="иное"/>
    <n v="92092"/>
    <n v="723"/>
    <n v="852188"/>
    <n v="10439.17"/>
    <n v="12.4"/>
    <n v="35.265240640000002"/>
    <n v="6"/>
    <n v="124583"/>
    <n v="142560"/>
    <n v="0"/>
    <n v="-1.2383029686269804"/>
    <n v="0.96271637816245004"/>
    <n v="0.40074137090909095"/>
    <n v="0.11904761904761904"/>
    <n v="0"/>
    <n v="71015.666666666672"/>
    <n v="0.14699812717381611"/>
  </r>
  <r>
    <n v="1612"/>
    <s v="80f1cdaf-3225-4f44-8b1c-f88bbcae57c5"/>
    <x v="0"/>
    <x v="1"/>
    <x v="0"/>
    <s v="в ипотеке"/>
    <s v="консолидация кредитов"/>
    <n v="206690"/>
    <n v="655"/>
    <n v="1499176"/>
    <n v="22737.49"/>
    <n v="15.7"/>
    <n v="13"/>
    <n v="10"/>
    <n v="65683"/>
    <n v="140844"/>
    <n v="1"/>
    <n v="-0.58586436371443984"/>
    <n v="0.87217043941411454"/>
    <n v="0.14772727272727273"/>
    <n v="0.21428571428571427"/>
    <n v="0.14285714285714285"/>
    <n v="124931.33333333333"/>
    <n v="0.18199989861097032"/>
  </r>
  <r>
    <n v="475"/>
    <s v="7e2225b8-85aa-45ea-a7e5-e36bbdd6b818"/>
    <x v="1"/>
    <x v="1"/>
    <x v="4"/>
    <s v="в аренде"/>
    <s v="консолидация кредитов"/>
    <n v="220770"/>
    <n v="705"/>
    <n v="571995"/>
    <n v="10915.5"/>
    <n v="21.3"/>
    <n v="35.265240640000002"/>
    <n v="6"/>
    <n v="93043"/>
    <n v="139018"/>
    <n v="0"/>
    <n v="-0.50570296860136132"/>
    <n v="0.93874833555259651"/>
    <n v="0.40074137090909095"/>
    <n v="0.11904761904761904"/>
    <n v="0"/>
    <n v="47666.25"/>
    <n v="0.22899850523168908"/>
  </r>
  <r>
    <n v="1262"/>
    <s v="f751cace-c532-4677-998d-a9d74a8d9806"/>
    <x v="1"/>
    <x v="1"/>
    <x v="5"/>
    <s v="в собственности"/>
    <s v="иное"/>
    <n v="48268"/>
    <n v="720"/>
    <n v="217911"/>
    <n v="4013.18"/>
    <n v="7.4"/>
    <n v="29"/>
    <n v="6"/>
    <n v="71782"/>
    <n v="138292"/>
    <n v="0"/>
    <n v="-1.4878053109164371"/>
    <n v="0.95872170439414117"/>
    <n v="0.32954545454545453"/>
    <n v="0.11904761904761904"/>
    <n v="0"/>
    <n v="18159.25"/>
    <n v="0.22099921527596128"/>
  </r>
  <r>
    <n v="78"/>
    <s v="d377d2ea-5cf8-4ee2-b7ba-f5be4dbb1b11"/>
    <x v="0"/>
    <x v="1"/>
    <x v="4"/>
    <s v="в ипотеке"/>
    <s v="ремонт жилья"/>
    <n v="163966"/>
    <n v="678"/>
    <n v="719910"/>
    <n v="12778.26"/>
    <n v="6.4"/>
    <n v="35.265240640000002"/>
    <n v="9"/>
    <n v="66025"/>
    <n v="138248"/>
    <n v="1"/>
    <n v="-0.82910409701068744"/>
    <n v="0.90279627163781628"/>
    <n v="0.40074137090909095"/>
    <n v="0.19047619047619047"/>
    <n v="0.14285714285714285"/>
    <n v="59992.5"/>
    <n v="0.21299762470308789"/>
  </r>
  <r>
    <n v="1987"/>
    <s v="534279fb-e7bc-48ee-b3e6-4ff4b03a994f"/>
    <x v="1"/>
    <x v="1"/>
    <x v="9"/>
    <s v="в аренде"/>
    <s v="консолидация кредитов"/>
    <n v="132682"/>
    <n v="718"/>
    <n v="630268"/>
    <n v="4432.8900000000003"/>
    <n v="9.8000000000000007"/>
    <n v="53"/>
    <n v="8"/>
    <n v="47557"/>
    <n v="136972"/>
    <n v="0"/>
    <n v="-1.0072126967775588"/>
    <n v="0.95605858854860182"/>
    <n v="0.60227272727272729"/>
    <n v="0.16666666666666666"/>
    <n v="0"/>
    <n v="52522.333333333336"/>
    <n v="8.4400096466899791E-2"/>
  </r>
  <r>
    <n v="1026"/>
    <s v="328c2ba0-7bab-4cc6-839f-5b282bc7d38a"/>
    <x v="0"/>
    <x v="1"/>
    <x v="1"/>
    <s v="в аренде"/>
    <s v="иное"/>
    <n v="248248"/>
    <n v="710"/>
    <n v="618089"/>
    <n v="6953.62"/>
    <n v="12.8"/>
    <n v="77"/>
    <n v="6"/>
    <n v="51585"/>
    <n v="136378"/>
    <n v="0"/>
    <n v="-0.34926299595099403"/>
    <n v="0.94540612516644473"/>
    <n v="0.875"/>
    <n v="0.11904761904761904"/>
    <n v="0"/>
    <n v="51507.416666666664"/>
    <n v="0.13500230549322184"/>
  </r>
  <r>
    <n v="1164"/>
    <s v="5ab88861-ca91-4371-af9f-da338dab4807"/>
    <x v="0"/>
    <x v="1"/>
    <x v="5"/>
    <s v="в аренде"/>
    <s v="иное"/>
    <n v="536602"/>
    <n v="0"/>
    <n v="1168044"/>
    <n v="10057.08"/>
    <n v="5.4"/>
    <n v="35.265240640000002"/>
    <n v="8"/>
    <n v="50388"/>
    <n v="136290"/>
    <n v="0"/>
    <n v="1.2924173255288809"/>
    <n v="0"/>
    <n v="0.40074137090909095"/>
    <n v="0.16666666666666666"/>
    <n v="0"/>
    <n v="97337"/>
    <n v="0.10332227210618777"/>
  </r>
  <r>
    <n v="855"/>
    <s v="53577bb1-e451-4e5e-851c-fdaedb667c66"/>
    <x v="0"/>
    <x v="1"/>
    <x v="6"/>
    <s v="в ипотеке"/>
    <s v="консолидация кредитов"/>
    <n v="218614"/>
    <n v="0"/>
    <n v="1168044"/>
    <n v="11894.57"/>
    <n v="12.7"/>
    <n v="35.265240640000002"/>
    <n v="9"/>
    <n v="64619"/>
    <n v="135564"/>
    <n v="0"/>
    <n v="-0.51797768222805141"/>
    <n v="0"/>
    <n v="0.40074137090909095"/>
    <n v="0.19047619047619047"/>
    <n v="0"/>
    <n v="97337"/>
    <n v="0.12219988288112434"/>
  </r>
  <r>
    <n v="414"/>
    <s v="ba68a268-8b71-4107-950a-8c5f17a76950"/>
    <x v="0"/>
    <x v="0"/>
    <x v="7"/>
    <s v="в аренде"/>
    <s v="малый бизнес"/>
    <n v="222728"/>
    <n v="615"/>
    <n v="905160"/>
    <n v="18706.64"/>
    <n v="16.2"/>
    <n v="49"/>
    <n v="9"/>
    <n v="64676"/>
    <n v="135432"/>
    <n v="0"/>
    <n v="-0.49455552459344881"/>
    <n v="0.81890812250332889"/>
    <n v="0.55681818181818177"/>
    <n v="0.19047619047619047"/>
    <n v="0"/>
    <n v="75430"/>
    <n v="0.248"/>
  </r>
  <r>
    <n v="1135"/>
    <s v="8e2c334e-025d-4f1b-905f-34cb098caf14"/>
    <x v="0"/>
    <x v="1"/>
    <x v="6"/>
    <s v="в аренде"/>
    <s v="консолидация кредитов"/>
    <n v="172348"/>
    <n v="719"/>
    <n v="753692"/>
    <n v="8102.17"/>
    <n v="14.1"/>
    <n v="34"/>
    <n v="5"/>
    <n v="74100"/>
    <n v="135344"/>
    <n v="0"/>
    <n v="-0.7813830164824328"/>
    <n v="0.95739014647137155"/>
    <n v="0.38636363636363635"/>
    <n v="9.5238095238095233E-2"/>
    <n v="0"/>
    <n v="62807.666666666664"/>
    <n v="0.12899969748916004"/>
  </r>
  <r>
    <n v="1305"/>
    <s v="4476c490-e6dc-4044-8939-57ebc97b5ca3"/>
    <x v="0"/>
    <x v="1"/>
    <x v="5"/>
    <s v="в аренде"/>
    <s v="консолидация кредитов"/>
    <n v="78430"/>
    <n v="0"/>
    <n v="1168044"/>
    <n v="2970.46"/>
    <n v="9"/>
    <n v="33"/>
    <n v="10"/>
    <n v="56905"/>
    <n v="134200"/>
    <n v="0"/>
    <n v="-1.3160845723226393"/>
    <n v="0"/>
    <n v="0.375"/>
    <n v="0.21428571428571427"/>
    <n v="0"/>
    <n v="97337"/>
    <n v="3.0517275034159672E-2"/>
  </r>
  <r>
    <n v="243"/>
    <s v="fe12ac96-f1c9-4ee1-8564-7b9c407be684"/>
    <x v="0"/>
    <x v="1"/>
    <x v="0"/>
    <s v="в ипотеке"/>
    <s v="иное"/>
    <n v="128634"/>
    <n v="695"/>
    <n v="463657"/>
    <n v="9891.4"/>
    <n v="8.6999999999999993"/>
    <n v="16"/>
    <n v="9"/>
    <n v="76133"/>
    <n v="134178"/>
    <n v="0"/>
    <n v="-1.0302590978725688"/>
    <n v="0.92543275632490019"/>
    <n v="0.18181818181818182"/>
    <n v="0.19047619047619047"/>
    <n v="0"/>
    <n v="38638.083333333336"/>
    <n v="0.25600131131418263"/>
  </r>
  <r>
    <n v="423"/>
    <s v="9a0ed640-48ab-48c4-9948-5bbb27cd1fe5"/>
    <x v="0"/>
    <x v="1"/>
    <x v="0"/>
    <s v="в ипотеке"/>
    <s v="бизнес"/>
    <n v="87472"/>
    <n v="695"/>
    <n v="679896"/>
    <n v="6872.68"/>
    <n v="10.199999999999999"/>
    <n v="35.265240640000002"/>
    <n v="4"/>
    <n v="19912"/>
    <n v="133210"/>
    <n v="0"/>
    <n v="-1.2646059263984593"/>
    <n v="0.92543275632490019"/>
    <n v="0.40074137090909095"/>
    <n v="7.1428571428571425E-2"/>
    <n v="0"/>
    <n v="56658"/>
    <n v="0.12130114017437961"/>
  </r>
  <r>
    <n v="1463"/>
    <s v="2a070e0e-0d08-4966-b857-0c57eeef4931"/>
    <x v="1"/>
    <x v="1"/>
    <x v="3"/>
    <s v="в аренде"/>
    <s v="консолидация кредитов"/>
    <n v="128678"/>
    <n v="0"/>
    <n v="1168044"/>
    <n v="23172.02"/>
    <n v="17.8"/>
    <n v="9"/>
    <n v="19"/>
    <n v="19076"/>
    <n v="133122"/>
    <n v="1"/>
    <n v="-1.0300085935128405"/>
    <n v="0"/>
    <n v="0.10227272727272728"/>
    <n v="0.42857142857142855"/>
    <n v="0.14285714285714285"/>
    <n v="97337"/>
    <n v="0.238059730626586"/>
  </r>
  <r>
    <n v="499"/>
    <s v="93035ff7-abf6-4594-b4dd-311b27fdc293"/>
    <x v="0"/>
    <x v="1"/>
    <x v="3"/>
    <s v="в ипотеке"/>
    <s v="иное"/>
    <n v="66572"/>
    <n v="747"/>
    <n v="785707"/>
    <n v="13618.82"/>
    <n v="8.3000000000000007"/>
    <n v="35.265240640000002"/>
    <n v="7"/>
    <n v="16302"/>
    <n v="132990"/>
    <n v="0"/>
    <n v="-1.3835954972694351"/>
    <n v="0.9946737683089214"/>
    <n v="0.40074137090909095"/>
    <n v="0.14285714285714285"/>
    <n v="0"/>
    <n v="65475.583333333336"/>
    <n v="0.20799845234928541"/>
  </r>
  <r>
    <n v="366"/>
    <s v="b4e257bc-1da0-4273-9272-0f93d9b26e3a"/>
    <x v="1"/>
    <x v="0"/>
    <x v="4"/>
    <s v="в ипотеке"/>
    <s v="консолидация кредитов"/>
    <n v="772772"/>
    <n v="699"/>
    <n v="3336970"/>
    <n v="41434.06"/>
    <n v="14.6"/>
    <n v="35.265240640000002"/>
    <n v="8"/>
    <n v="91979"/>
    <n v="132484"/>
    <n v="0"/>
    <n v="2.6369994763709088"/>
    <n v="0.93075898801597867"/>
    <n v="0.40074137090909095"/>
    <n v="0.16666666666666666"/>
    <n v="0"/>
    <n v="278080.83333333331"/>
    <n v="0.14900005693788076"/>
  </r>
  <r>
    <n v="1550"/>
    <s v="0c1ed830-7fe1-402b-af4a-ab7e722c2a49"/>
    <x v="0"/>
    <x v="1"/>
    <x v="5"/>
    <s v="в аренде"/>
    <s v="консолидация кредитов"/>
    <n v="132330"/>
    <n v="692"/>
    <n v="761900"/>
    <n v="10730.06"/>
    <n v="7.4"/>
    <n v="35.265240640000002"/>
    <n v="7"/>
    <n v="91295"/>
    <n v="132308"/>
    <n v="0"/>
    <n v="-1.0092167316553857"/>
    <n v="0.92143808255659121"/>
    <n v="0.40074137090909095"/>
    <n v="0.14285714285714285"/>
    <n v="0"/>
    <n v="63491.666666666664"/>
    <n v="0.16899950124688279"/>
  </r>
  <r>
    <n v="1861"/>
    <s v="05f78068-1064-46ed-9463-01a574e96196"/>
    <x v="0"/>
    <x v="0"/>
    <x v="6"/>
    <s v="в аренде"/>
    <s v="консолидация кредитов"/>
    <n v="219648"/>
    <n v="681"/>
    <n v="777822"/>
    <n v="8232.1299999999992"/>
    <n v="14"/>
    <n v="35.265240640000002"/>
    <n v="5"/>
    <n v="43833"/>
    <n v="131846"/>
    <n v="0"/>
    <n v="-0.51209082977443476"/>
    <n v="0.90679094540612515"/>
    <n v="0.40074137090909095"/>
    <n v="9.5238095238095233E-2"/>
    <n v="0"/>
    <n v="64818.5"/>
    <n v="0.12700278469881282"/>
  </r>
  <r>
    <n v="801"/>
    <s v="97514ea0-93a1-4b44-8c87-8852571f16a6"/>
    <x v="1"/>
    <x v="0"/>
    <x v="9"/>
    <s v="в аренде"/>
    <s v="консолидация кредитов"/>
    <n v="247500"/>
    <n v="664"/>
    <n v="1347955"/>
    <n v="2976.73"/>
    <n v="10.6"/>
    <n v="35.265240640000002"/>
    <n v="4"/>
    <n v="98534"/>
    <n v="131604"/>
    <n v="0"/>
    <n v="-0.3535215700663763"/>
    <n v="0.88415446071904125"/>
    <n v="0.40074137090909095"/>
    <n v="7.1428571428571425E-2"/>
    <n v="0"/>
    <n v="112329.58333333333"/>
    <n v="2.6499964761434916E-2"/>
  </r>
  <r>
    <n v="1603"/>
    <s v="2a4a6121-e607-49f7-82ea-6c12297affec"/>
    <x v="0"/>
    <x v="1"/>
    <x v="9"/>
    <s v="в собственности"/>
    <s v="иное"/>
    <n v="43824"/>
    <n v="0"/>
    <n v="1168044"/>
    <n v="12111.36"/>
    <n v="16.600000000000001"/>
    <n v="80"/>
    <n v="4"/>
    <n v="102106"/>
    <n v="131516"/>
    <n v="0"/>
    <n v="-1.5131062512490026"/>
    <n v="0"/>
    <n v="0.90909090909090906"/>
    <n v="7.1428571428571425E-2"/>
    <n v="0"/>
    <n v="97337"/>
    <n v="0.12442709349990241"/>
  </r>
  <r>
    <n v="1770"/>
    <s v="e13b36eb-1f88-4b41-8827-b1133c8bfb38"/>
    <x v="0"/>
    <x v="1"/>
    <x v="1"/>
    <s v="в ипотеке"/>
    <s v="иное"/>
    <n v="151272"/>
    <n v="698"/>
    <n v="1022846"/>
    <n v="4185.13"/>
    <n v="10.3"/>
    <n v="35.265240640000002"/>
    <n v="6"/>
    <n v="101422"/>
    <n v="131384"/>
    <n v="0"/>
    <n v="-0.90137460479232223"/>
    <n v="0.92942743009320905"/>
    <n v="0.40074137090909095"/>
    <n v="0.11904761904761904"/>
    <n v="0"/>
    <n v="85237.166666666672"/>
    <n v="4.9099825389159267E-2"/>
  </r>
  <r>
    <n v="1406"/>
    <s v="2446bd8f-e614-4a93-8c99-55c4824eba13"/>
    <x v="0"/>
    <x v="1"/>
    <x v="8"/>
    <s v="в собственности"/>
    <s v="путешествие"/>
    <n v="167772"/>
    <n v="719"/>
    <n v="835943"/>
    <n v="11981.78"/>
    <n v="26.1"/>
    <n v="35.265240640000002"/>
    <n v="6"/>
    <n v="45239"/>
    <n v="131274"/>
    <n v="1"/>
    <n v="-0.80743546989418336"/>
    <n v="0.95739014647137155"/>
    <n v="0.40074137090909095"/>
    <n v="0.11904761904761904"/>
    <n v="0.14285714285714285"/>
    <n v="69661.916666666672"/>
    <n v="0.17199899993181353"/>
  </r>
  <r>
    <n v="1439"/>
    <s v="5f071653-25b3-4940-82b2-74a44cb5c052"/>
    <x v="1"/>
    <x v="1"/>
    <x v="1"/>
    <s v="в аренде"/>
    <s v="консолидация кредитов"/>
    <n v="185306"/>
    <n v="716"/>
    <n v="1223771"/>
    <n v="17948.349999999999"/>
    <n v="16.100000000000001"/>
    <n v="32"/>
    <n v="19"/>
    <n v="109896"/>
    <n v="130768"/>
    <n v="0"/>
    <n v="-0.70760948254242784"/>
    <n v="0.95339547270306257"/>
    <n v="0.36363636363636365"/>
    <n v="0.42857142857142855"/>
    <n v="0"/>
    <n v="101980.91666666667"/>
    <n v="0.17599714325637719"/>
  </r>
  <r>
    <n v="1321"/>
    <s v="43de4f4e-4813-4b98-ab3b-ebb116e0a569"/>
    <x v="0"/>
    <x v="1"/>
    <x v="10"/>
    <s v="в ипотеке"/>
    <s v="консолидация кредитов"/>
    <n v="67562"/>
    <n v="719"/>
    <n v="1264279"/>
    <n v="19490.77"/>
    <n v="12.5"/>
    <n v="78"/>
    <n v="8"/>
    <n v="112385"/>
    <n v="130636"/>
    <n v="0"/>
    <n v="-1.3779591491755467"/>
    <n v="0.95739014647137155"/>
    <n v="0.88636363636363635"/>
    <n v="0.16666666666666666"/>
    <n v="0"/>
    <n v="105356.58333333333"/>
    <n v="0.18499812145895014"/>
  </r>
  <r>
    <n v="1041"/>
    <s v="710ccb54-2251-4dd0-a366-9c5777018558"/>
    <x v="0"/>
    <x v="1"/>
    <x v="1"/>
    <s v="в ипотеке"/>
    <s v="консолидация кредитов"/>
    <n v="154594"/>
    <n v="722"/>
    <n v="434853"/>
    <n v="2290.2600000000002"/>
    <n v="33.700000000000003"/>
    <n v="23"/>
    <n v="8"/>
    <n v="67792"/>
    <n v="130372"/>
    <n v="2"/>
    <n v="-0.88246152563283031"/>
    <n v="0.96138482023968042"/>
    <n v="0.26136363636363635"/>
    <n v="0.16666666666666666"/>
    <n v="0.2857142857142857"/>
    <n v="36237.75"/>
    <n v="6.3200943767204101E-2"/>
  </r>
  <r>
    <n v="444"/>
    <s v="3e6f9a14-595e-4c93-b16a-6b9e0691a39a"/>
    <x v="0"/>
    <x v="1"/>
    <x v="1"/>
    <s v="в аренде"/>
    <s v="консолидация кредитов"/>
    <n v="134794"/>
    <n v="736"/>
    <n v="927523"/>
    <n v="11439.33"/>
    <n v="16.8"/>
    <n v="49"/>
    <n v="7"/>
    <n v="72371"/>
    <n v="130306"/>
    <n v="1"/>
    <n v="-0.99518848751059696"/>
    <n v="0.98002663115845534"/>
    <n v="0.55681818181818177"/>
    <n v="0.14285714285714285"/>
    <n v="0.14285714285714285"/>
    <n v="77293.583333333328"/>
    <n v="0.14799844316529079"/>
  </r>
  <r>
    <n v="504"/>
    <s v="be7854ab-8631-4c85-ae9d-988847bcc8bb"/>
    <x v="1"/>
    <x v="1"/>
    <x v="4"/>
    <s v="в ипотеке"/>
    <s v="консолидация кредитов"/>
    <n v="219054"/>
    <n v="723"/>
    <n v="1067154"/>
    <n v="24455.66"/>
    <n v="15.4"/>
    <n v="29"/>
    <n v="8"/>
    <n v="100814"/>
    <n v="130284"/>
    <n v="0"/>
    <n v="-0.51547263863076775"/>
    <n v="0.96271637816245004"/>
    <n v="0.32954545454545453"/>
    <n v="0.16666666666666666"/>
    <n v="0"/>
    <n v="88929.5"/>
    <n v="0.27500053413096892"/>
  </r>
  <r>
    <n v="646"/>
    <s v="31d33215-6af6-4b2b-954f-5d626138fa21"/>
    <x v="1"/>
    <x v="1"/>
    <x v="1"/>
    <s v="в ипотеке"/>
    <s v="консолидация кредитов"/>
    <n v="353782"/>
    <n v="646"/>
    <n v="1524313"/>
    <n v="19816.05"/>
    <n v="31.8"/>
    <n v="42"/>
    <n v="7"/>
    <n v="114399"/>
    <n v="129976"/>
    <n v="0"/>
    <n v="0.25157171085750218"/>
    <n v="0.86018641810918772"/>
    <n v="0.47727272727272729"/>
    <n v="0.14285714285714285"/>
    <n v="0"/>
    <n v="127026.08333333333"/>
    <n v="0.15599985042442072"/>
  </r>
  <r>
    <n v="100"/>
    <s v="e298cbfc-074f-4441-9faf-d452aba7487f"/>
    <x v="0"/>
    <x v="1"/>
    <x v="1"/>
    <s v="в аренде"/>
    <s v="консолидация кредитов"/>
    <n v="595672"/>
    <n v="685"/>
    <n v="1305927"/>
    <n v="13603.43"/>
    <n v="25.9"/>
    <n v="35.265240640000002"/>
    <n v="8"/>
    <n v="108148"/>
    <n v="129624"/>
    <n v="0"/>
    <n v="1.6287194284642181"/>
    <n v="0.91211717709720375"/>
    <n v="0.40074137090909095"/>
    <n v="0.16666666666666666"/>
    <n v="0"/>
    <n v="108827.25"/>
    <n v="0.12500021823578195"/>
  </r>
  <r>
    <n v="290"/>
    <s v="1dc24b5e-f322-469b-a154-a15fea750baf"/>
    <x v="0"/>
    <x v="1"/>
    <x v="1"/>
    <s v="в аренде"/>
    <s v="консолидация кредитов"/>
    <n v="277948"/>
    <n v="707"/>
    <n v="1118948"/>
    <n v="29465.58"/>
    <n v="15.7"/>
    <n v="63"/>
    <n v="11"/>
    <n v="66994"/>
    <n v="129294"/>
    <n v="1"/>
    <n v="-0.18017255313434405"/>
    <n v="0.94141145139813587"/>
    <n v="0.71590909090909094"/>
    <n v="0.23809523809523808"/>
    <n v="0.14285714285714285"/>
    <n v="93245.666666666672"/>
    <n v="0.3159994566324798"/>
  </r>
  <r>
    <n v="1719"/>
    <s v="35c0fc78-a2d0-48ca-abf3-50215ae8a6bd"/>
    <x v="0"/>
    <x v="1"/>
    <x v="3"/>
    <s v="в ипотеке"/>
    <s v="консолидация кредитов"/>
    <n v="182776"/>
    <n v="0"/>
    <n v="1168044"/>
    <n v="4698.32"/>
    <n v="16.600000000000001"/>
    <n v="40"/>
    <n v="9"/>
    <n v="62833"/>
    <n v="128964"/>
    <n v="0"/>
    <n v="-0.72201348322680903"/>
    <n v="0"/>
    <n v="0.45454545454545453"/>
    <n v="0.19047619047619047"/>
    <n v="0"/>
    <n v="97337"/>
    <n v="4.8268592621510828E-2"/>
  </r>
  <r>
    <n v="60"/>
    <s v="cdb9037a-a7e4-49e5-ace2-61cb3df0e1e0"/>
    <x v="0"/>
    <x v="1"/>
    <x v="8"/>
    <s v="в аренде"/>
    <s v="путешествие"/>
    <n v="174548"/>
    <n v="721"/>
    <n v="1620681"/>
    <n v="30522.74"/>
    <n v="15"/>
    <n v="27"/>
    <n v="7"/>
    <n v="40489"/>
    <n v="128832"/>
    <n v="0"/>
    <n v="-0.76885779849601432"/>
    <n v="0.96005326231691079"/>
    <n v="0.30681818181818182"/>
    <n v="0.14285714285714285"/>
    <n v="0"/>
    <n v="135056.75"/>
    <n v="0.22599936693278938"/>
  </r>
  <r>
    <n v="1340"/>
    <s v="836644a0-fe8f-4c39-b62a-83472d9bb3b2"/>
    <x v="0"/>
    <x v="1"/>
    <x v="6"/>
    <s v="в аренде"/>
    <s v="приобретение автомобиля"/>
    <n v="118514"/>
    <n v="0"/>
    <n v="1168044"/>
    <n v="2289.12"/>
    <n v="9.5"/>
    <n v="35.265240640000002"/>
    <n v="4"/>
    <n v="47462"/>
    <n v="127226"/>
    <n v="0"/>
    <n v="-1.087875100610094"/>
    <n v="0"/>
    <n v="0.40074137090909095"/>
    <n v="7.1428571428571425E-2"/>
    <n v="0"/>
    <n v="97337"/>
    <n v="2.3517470232285769E-2"/>
  </r>
  <r>
    <n v="21"/>
    <s v="40f729c9-54c7-4768-9fb5-2fa41d074c48"/>
    <x v="1"/>
    <x v="0"/>
    <x v="10"/>
    <s v="в аренде"/>
    <s v="консолидация кредитов"/>
    <n v="317108"/>
    <n v="687"/>
    <n v="1133274"/>
    <n v="9632.81"/>
    <n v="17.399999999999999"/>
    <n v="53"/>
    <n v="4"/>
    <n v="60287"/>
    <n v="126940"/>
    <n v="0"/>
    <n v="4.2776327023905533E-2"/>
    <n v="0.91478029294274299"/>
    <n v="0.60227272727272729"/>
    <n v="7.1428571428571425E-2"/>
    <n v="0"/>
    <n v="94439.5"/>
    <n v="0.10199979881299667"/>
  </r>
  <r>
    <n v="773"/>
    <s v="78b23697-9228-4ef6-a770-478c0171b764"/>
    <x v="0"/>
    <x v="1"/>
    <x v="0"/>
    <s v="в аренде"/>
    <s v="консолидация кредитов"/>
    <n v="131274"/>
    <n v="723"/>
    <n v="543837"/>
    <n v="10378.18"/>
    <n v="14.3"/>
    <n v="35.265240640000002"/>
    <n v="4"/>
    <n v="83942"/>
    <n v="126390"/>
    <n v="0"/>
    <n v="-1.0152288362888666"/>
    <n v="0.96271637816245004"/>
    <n v="0.40074137090909095"/>
    <n v="7.1428571428571425E-2"/>
    <n v="0"/>
    <n v="45319.75"/>
    <n v="0.22899905670265172"/>
  </r>
  <r>
    <n v="1606"/>
    <s v="1f364296-f23f-4f4e-ac15-ca0328004750"/>
    <x v="1"/>
    <x v="1"/>
    <x v="1"/>
    <s v="в аренде"/>
    <s v="консолидация кредитов"/>
    <n v="64460"/>
    <n v="725"/>
    <n v="280706"/>
    <n v="3508.73"/>
    <n v="7"/>
    <n v="35.265240640000002"/>
    <n v="6"/>
    <n v="69597"/>
    <n v="125906"/>
    <n v="0"/>
    <n v="-1.3956197065363969"/>
    <n v="0.96537949400798939"/>
    <n v="0.40074137090909095"/>
    <n v="0.11904761904761904"/>
    <n v="0"/>
    <n v="23392.166666666668"/>
    <n v="0.14999593881142548"/>
  </r>
  <r>
    <n v="683"/>
    <s v="76a0e6fc-cc80-4977-ac31-9248ece234b3"/>
    <x v="0"/>
    <x v="1"/>
    <x v="3"/>
    <s v="в аренде"/>
    <s v="бизнес"/>
    <n v="68112"/>
    <n v="0"/>
    <n v="1168044"/>
    <n v="956.46"/>
    <n v="8"/>
    <n v="35.265240640000002"/>
    <n v="4"/>
    <n v="18734"/>
    <n v="123904"/>
    <n v="0"/>
    <n v="-1.3748278446789421"/>
    <n v="0"/>
    <n v="0.40074137090909095"/>
    <n v="7.1428571428571425E-2"/>
    <n v="0"/>
    <n v="97337"/>
    <n v="9.8262736677727901E-3"/>
  </r>
  <r>
    <n v="525"/>
    <s v="f4786c56-1c62-41e7-9946-d9edf07d8491"/>
    <x v="0"/>
    <x v="1"/>
    <x v="3"/>
    <s v="в аренде"/>
    <s v="консолидация кредитов"/>
    <n v="234762"/>
    <n v="731"/>
    <n v="784833"/>
    <n v="5958.21"/>
    <n v="14.1"/>
    <n v="35.265240640000002"/>
    <n v="4"/>
    <n v="88122"/>
    <n v="123398"/>
    <n v="1"/>
    <n v="-0.42604258220773955"/>
    <n v="0.97336884154460723"/>
    <n v="0.40074137090909095"/>
    <n v="7.1428571428571425E-2"/>
    <n v="0.14285714285714285"/>
    <n v="65402.75"/>
    <n v="9.1100297770353694E-2"/>
  </r>
  <r>
    <n v="782"/>
    <s v="8075f523-a006-49d5-bbfb-347cba8b4351"/>
    <x v="0"/>
    <x v="0"/>
    <x v="1"/>
    <s v="в ипотеке"/>
    <s v="консолидация кредитов"/>
    <n v="346060"/>
    <n v="711"/>
    <n v="765833"/>
    <n v="13402.03"/>
    <n v="21.1"/>
    <n v="16"/>
    <n v="9"/>
    <n v="61788"/>
    <n v="123354"/>
    <n v="1"/>
    <n v="0.20760819572517322"/>
    <n v="0.94673768308921435"/>
    <n v="0.18181818181818182"/>
    <n v="0.19047619047619047"/>
    <n v="0.14285714285714285"/>
    <n v="63819.416666666664"/>
    <n v="0.2099992557124073"/>
  </r>
  <r>
    <n v="316"/>
    <s v="7e53c8ce-62b4-4587-89f0-76b039b0ea1a"/>
    <x v="0"/>
    <x v="1"/>
    <x v="5"/>
    <s v="в аренде"/>
    <s v="консолидация кредитов"/>
    <n v="309594.52439999999"/>
    <n v="728"/>
    <n v="311372"/>
    <n v="1873.4"/>
    <n v="10.5"/>
    <n v="35.265240640000002"/>
    <n v="3"/>
    <n v="92378"/>
    <n v="122958"/>
    <n v="0"/>
    <n v="-1.2411115481956205E-10"/>
    <n v="0.96937416777629826"/>
    <n v="0.40074137090909095"/>
    <n v="4.7619047619047616E-2"/>
    <n v="0"/>
    <n v="25947.666666666668"/>
    <n v="7.2199170124481321E-2"/>
  </r>
  <r>
    <n v="1567"/>
    <s v="b1db9aaf-739a-4e1a-9453-1cb51ed562f1"/>
    <x v="0"/>
    <x v="1"/>
    <x v="2"/>
    <s v="в ипотеке"/>
    <s v="консолидация кредитов"/>
    <n v="112904"/>
    <n v="749"/>
    <n v="1337353"/>
    <n v="12259.18"/>
    <n v="11.5"/>
    <n v="35.265240640000002"/>
    <n v="5"/>
    <n v="67735"/>
    <n v="122540"/>
    <n v="0"/>
    <n v="-1.1198144064754612"/>
    <n v="0.99733688415446076"/>
    <n v="0.40074137090909095"/>
    <n v="9.5238095238095233E-2"/>
    <n v="0"/>
    <n v="111446.08333333333"/>
    <n v="0.11000099450182563"/>
  </r>
  <r>
    <n v="286"/>
    <s v="561f4e5e-1c14-48f6-a973-f88429fdc265"/>
    <x v="0"/>
    <x v="1"/>
    <x v="9"/>
    <s v="в аренде"/>
    <s v="консолидация кредитов"/>
    <n v="309594.52439999999"/>
    <n v="713"/>
    <n v="606290"/>
    <n v="9145.08"/>
    <n v="14.7"/>
    <n v="35.265240640000002"/>
    <n v="11"/>
    <n v="39026"/>
    <n v="122144"/>
    <n v="1"/>
    <n v="-1.2411115481956205E-10"/>
    <n v="0.94940079893475371"/>
    <n v="0.40074137090909095"/>
    <n v="0.23809523809523808"/>
    <n v="0.14285714285714285"/>
    <n v="50524.166666666664"/>
    <n v="0.18100407395800691"/>
  </r>
  <r>
    <n v="715"/>
    <s v="e6446832-189d-488a-a695-a9589b523962"/>
    <x v="0"/>
    <x v="1"/>
    <x v="1"/>
    <s v="в ипотеке"/>
    <s v="консолидация кредитов"/>
    <n v="128942"/>
    <n v="712"/>
    <n v="1633202"/>
    <n v="44505.03"/>
    <n v="21.2"/>
    <n v="9"/>
    <n v="13"/>
    <n v="72884"/>
    <n v="120384"/>
    <n v="0"/>
    <n v="-1.0285055673544701"/>
    <n v="0.94806924101198398"/>
    <n v="0.10227272727272728"/>
    <n v="0.2857142857142857"/>
    <n v="0"/>
    <n v="136100.16666666666"/>
    <n v="0.32700202424439845"/>
  </r>
  <r>
    <n v="662"/>
    <s v="75b6f4dd-b3c6-4220-969f-54c372c22e1f"/>
    <x v="0"/>
    <x v="1"/>
    <x v="0"/>
    <s v="в аренде"/>
    <s v="иное"/>
    <n v="65714"/>
    <n v="0"/>
    <n v="1168044"/>
    <n v="1704.87"/>
    <n v="14.9"/>
    <n v="50"/>
    <n v="3"/>
    <n v="33250"/>
    <n v="120340"/>
    <n v="0"/>
    <n v="-1.3884803322841384"/>
    <n v="0"/>
    <n v="0.56818181818181823"/>
    <n v="4.7619047619047616E-2"/>
    <n v="0"/>
    <n v="97337"/>
    <n v="1.7515127854772591E-2"/>
  </r>
  <r>
    <n v="264"/>
    <s v="f36aa067-20f8-4fc1-a4b3-ee8583e1771e"/>
    <x v="1"/>
    <x v="1"/>
    <x v="5"/>
    <s v="в аренде"/>
    <s v="консолидация кредитов"/>
    <n v="63140"/>
    <n v="733"/>
    <n v="233681"/>
    <n v="2122.4899999999998"/>
    <n v="14.9"/>
    <n v="35.265240640000002"/>
    <n v="3"/>
    <n v="58463"/>
    <n v="119592"/>
    <n v="0"/>
    <n v="-1.403134837328248"/>
    <n v="0.97603195739014648"/>
    <n v="0.40074137090909095"/>
    <n v="4.7619047619047616E-2"/>
    <n v="0"/>
    <n v="19473.416666666668"/>
    <n v="0.10899422717294087"/>
  </r>
  <r>
    <n v="260"/>
    <s v="6883114b-f6c5-4eec-8048-91be2a5068a7"/>
    <x v="0"/>
    <x v="1"/>
    <x v="1"/>
    <s v="в ипотеке"/>
    <s v="консолидация кредитов"/>
    <n v="337656"/>
    <n v="744"/>
    <n v="1205322"/>
    <n v="12254.05"/>
    <n v="11.4"/>
    <n v="35.265240640000002"/>
    <n v="6"/>
    <n v="41876"/>
    <n v="119416"/>
    <n v="0"/>
    <n v="0.15976186301705447"/>
    <n v="0.99067909454061254"/>
    <n v="0.40074137090909095"/>
    <n v="0.11904761904761904"/>
    <n v="0"/>
    <n v="100443.5"/>
    <n v="0.12199943251678803"/>
  </r>
  <r>
    <n v="990"/>
    <s v="57edc3a9-1995-4333-b173-a45504ac7a1e"/>
    <x v="0"/>
    <x v="1"/>
    <x v="0"/>
    <s v="в аренде"/>
    <s v="консолидация кредитов"/>
    <n v="151822"/>
    <n v="723"/>
    <n v="936605"/>
    <n v="7625.46"/>
    <n v="12.1"/>
    <n v="28"/>
    <n v="3"/>
    <n v="49495"/>
    <n v="119372"/>
    <n v="0"/>
    <n v="-0.89824330029571764"/>
    <n v="0.96271637816245004"/>
    <n v="0.31818181818181818"/>
    <n v="4.7619047619047616E-2"/>
    <n v="0"/>
    <n v="78050.416666666672"/>
    <n v="9.7699158129627747E-2"/>
  </r>
  <r>
    <n v="1272"/>
    <s v="25410b76-2896-48b4-ae77-a1e30c7f2089"/>
    <x v="0"/>
    <x v="1"/>
    <x v="1"/>
    <s v="в ипотеке"/>
    <s v="ремонт жилья"/>
    <n v="130064"/>
    <n v="738"/>
    <n v="936130"/>
    <n v="11389.55"/>
    <n v="25.9"/>
    <n v="77"/>
    <n v="8"/>
    <n v="53656"/>
    <n v="119262"/>
    <n v="1"/>
    <n v="-1.0221177061813966"/>
    <n v="0.9826897470039947"/>
    <n v="0.875"/>
    <n v="0.16666666666666666"/>
    <n v="0.14285714285714285"/>
    <n v="78010.833333333328"/>
    <n v="0.14599959407347271"/>
  </r>
  <r>
    <n v="1716"/>
    <s v="a97b4197-7c89-4078-a3b1-1618f4bb35be"/>
    <x v="0"/>
    <x v="1"/>
    <x v="8"/>
    <s v="в аренде"/>
    <s v="консолидация кредитов"/>
    <n v="171820"/>
    <n v="719"/>
    <n v="649249"/>
    <n v="3468.07"/>
    <n v="20.5"/>
    <n v="35.265240640000002"/>
    <n v="3"/>
    <n v="97755"/>
    <n v="118162"/>
    <n v="0"/>
    <n v="-0.78438906879917325"/>
    <n v="0.95739014647137155"/>
    <n v="0.40074137090909095"/>
    <n v="4.7619047619047616E-2"/>
    <n v="0"/>
    <n v="54104.083333333336"/>
    <n v="6.4099967808960809E-2"/>
  </r>
  <r>
    <n v="1726"/>
    <s v="1cfad5a4-c54f-412c-963d-e8d6a9872147"/>
    <x v="0"/>
    <x v="0"/>
    <x v="1"/>
    <s v="в ипотеке"/>
    <s v="ремонт жилья"/>
    <n v="309594.52439999999"/>
    <n v="603"/>
    <n v="982167"/>
    <n v="3339.44"/>
    <n v="14.8"/>
    <n v="35.265240640000002"/>
    <n v="4"/>
    <n v="64980"/>
    <n v="118096"/>
    <n v="0"/>
    <n v="-1.2411115481956205E-10"/>
    <n v="0.80292942743009321"/>
    <n v="0.40074137090909095"/>
    <n v="7.1428571428571425E-2"/>
    <n v="0"/>
    <n v="81847.25"/>
    <n v="4.0800882131042888E-2"/>
  </r>
  <r>
    <n v="489"/>
    <s v="e758f401-7fae-409a-8a8f-54dc97a29e14"/>
    <x v="0"/>
    <x v="1"/>
    <x v="7"/>
    <s v="в аренде"/>
    <s v="консолидация кредитов"/>
    <n v="171776"/>
    <n v="747"/>
    <n v="1168272"/>
    <n v="11293.22"/>
    <n v="11.4"/>
    <n v="35.265240640000002"/>
    <n v="4"/>
    <n v="82270"/>
    <n v="118030"/>
    <n v="0"/>
    <n v="-0.78463957315890165"/>
    <n v="0.9946737683089214"/>
    <n v="0.40074137090909095"/>
    <n v="7.1428571428571425E-2"/>
    <n v="0"/>
    <n v="97356"/>
    <n v="0.11599921935987509"/>
  </r>
  <r>
    <n v="154"/>
    <s v="12be2338-32c8-459d-8201-e85308164a9b"/>
    <x v="0"/>
    <x v="1"/>
    <x v="7"/>
    <s v="в аренде"/>
    <s v="консолидация кредитов"/>
    <n v="190498"/>
    <n v="706"/>
    <n v="892164"/>
    <n v="8996.1200000000008"/>
    <n v="13.2"/>
    <n v="64"/>
    <n v="6"/>
    <n v="88160"/>
    <n v="117744"/>
    <n v="0"/>
    <n v="-0.67804996809448004"/>
    <n v="0.94007989347536614"/>
    <n v="0.72727272727272729"/>
    <n v="0.11904761904761904"/>
    <n v="0"/>
    <n v="74347"/>
    <n v="0.12100178890876566"/>
  </r>
  <r>
    <n v="165"/>
    <s v="8aad10e5-1d3b-4014-8652-861f974b5dc4"/>
    <x v="0"/>
    <x v="1"/>
    <x v="3"/>
    <s v="в ипотеке"/>
    <s v="консолидация кредитов"/>
    <n v="309594.52439999999"/>
    <n v="741"/>
    <n v="1288523"/>
    <n v="9041.34"/>
    <n v="16.2"/>
    <n v="35.265240640000002"/>
    <n v="4"/>
    <n v="95855"/>
    <n v="116468"/>
    <n v="0"/>
    <n v="-1.2411115481956205E-10"/>
    <n v="0.98668442077230356"/>
    <n v="0.40074137090909095"/>
    <n v="7.1428571428571425E-2"/>
    <n v="0"/>
    <n v="107376.91666666667"/>
    <n v="8.4201896279693877E-2"/>
  </r>
  <r>
    <n v="1175"/>
    <s v="5c821f35-7ee0-4d75-9daf-f7c49085c3d0"/>
    <x v="0"/>
    <x v="1"/>
    <x v="3"/>
    <s v="в аренде"/>
    <s v="иное"/>
    <n v="158136"/>
    <n v="690"/>
    <n v="866476"/>
    <n v="2729.35"/>
    <n v="14.1"/>
    <n v="36"/>
    <n v="15"/>
    <n v="63156"/>
    <n v="115522"/>
    <n v="0"/>
    <n v="-0.86229592467469651"/>
    <n v="0.91877496671105197"/>
    <n v="0.40909090909090912"/>
    <n v="0.33333333333333331"/>
    <n v="0"/>
    <n v="72206.333333333328"/>
    <n v="3.7799315849486891E-2"/>
  </r>
  <r>
    <n v="1690"/>
    <s v="bb578c23-5a0d-474b-ba68-14cacc9b4081"/>
    <x v="0"/>
    <x v="1"/>
    <x v="2"/>
    <s v="в ипотеке"/>
    <s v="консолидация кредитов"/>
    <n v="157410"/>
    <n v="743"/>
    <n v="699124"/>
    <n v="8739.0499999999993"/>
    <n v="9.6999999999999993"/>
    <n v="35.265240640000002"/>
    <n v="6"/>
    <n v="60306"/>
    <n v="114664"/>
    <n v="0"/>
    <n v="-0.86642924661021459"/>
    <n v="0.98934753661784292"/>
    <n v="0.40074137090909095"/>
    <n v="0.11904761904761904"/>
    <n v="0"/>
    <n v="58260.333333333336"/>
    <n v="0.15"/>
  </r>
  <r>
    <n v="231"/>
    <s v="2f026faa-1ea6-47b1-8be0-c69631b988f6"/>
    <x v="1"/>
    <x v="1"/>
    <x v="1"/>
    <s v="в ипотеке"/>
    <s v="консолидация кредитов"/>
    <n v="142846"/>
    <n v="750"/>
    <n v="654227"/>
    <n v="16246.71"/>
    <n v="17.2"/>
    <n v="16"/>
    <n v="9"/>
    <n v="53694"/>
    <n v="112662"/>
    <n v="0"/>
    <n v="-0.94934618968030515"/>
    <n v="0.99866844207723038"/>
    <n v="0.18181818181818182"/>
    <n v="0.19047619047619047"/>
    <n v="0"/>
    <n v="54518.916666666664"/>
    <n v="0.29800133592774375"/>
  </r>
  <r>
    <n v="218"/>
    <s v="3ee8dea0-7560-4a54-8cf2-18a196f68618"/>
    <x v="0"/>
    <x v="1"/>
    <x v="9"/>
    <s v="в ипотеке"/>
    <s v="ремонт жилья"/>
    <n v="149116"/>
    <n v="700"/>
    <n v="1380160"/>
    <n v="18171.98"/>
    <n v="10.8"/>
    <n v="35.265240640000002"/>
    <n v="5"/>
    <n v="95171"/>
    <n v="112574"/>
    <n v="0"/>
    <n v="-0.91364931841901242"/>
    <n v="0.93209054593874829"/>
    <n v="0.40074137090909095"/>
    <n v="9.5238095238095233E-2"/>
    <n v="0"/>
    <n v="115013.33333333333"/>
    <n v="0.1579988986784141"/>
  </r>
  <r>
    <n v="776"/>
    <s v="51a7e7bb-5520-48f9-a1b8-9813e8107db3"/>
    <x v="0"/>
    <x v="1"/>
    <x v="1"/>
    <s v="в аренде"/>
    <s v="консолидация кредитов"/>
    <n v="67496"/>
    <n v="725"/>
    <n v="582825"/>
    <n v="5925.34"/>
    <n v="5.5"/>
    <n v="35.265240640000002"/>
    <n v="5"/>
    <n v="33706"/>
    <n v="112486"/>
    <n v="0"/>
    <n v="-1.3783349057151393"/>
    <n v="0.96537949400798939"/>
    <n v="0.40074137090909095"/>
    <n v="9.5238095238095233E-2"/>
    <n v="0"/>
    <n v="48568.75"/>
    <n v="0.12199902200488998"/>
  </r>
  <r>
    <n v="895"/>
    <s v="e65846b9-f042-4bfd-84c2-61688ed2ab17"/>
    <x v="0"/>
    <x v="1"/>
    <x v="7"/>
    <s v="в аренде"/>
    <s v="консолидация кредитов"/>
    <n v="110242"/>
    <n v="716"/>
    <n v="914014"/>
    <n v="13481.64"/>
    <n v="15"/>
    <n v="60"/>
    <n v="11"/>
    <n v="62833"/>
    <n v="112442"/>
    <n v="0"/>
    <n v="-1.1349699202390275"/>
    <n v="0.95339547270306257"/>
    <n v="0.68181818181818177"/>
    <n v="0.23809523809523808"/>
    <n v="0"/>
    <n v="76167.833333333328"/>
    <n v="0.17699912692803393"/>
  </r>
  <r>
    <n v="1421"/>
    <s v="f7e430c4-029f-4ca6-9ca3-21ffca56f5bf"/>
    <x v="0"/>
    <x v="1"/>
    <x v="8"/>
    <s v="в аренде"/>
    <s v="консолидация кредитов"/>
    <n v="198308"/>
    <n v="706"/>
    <n v="846431"/>
    <n v="4753.99"/>
    <n v="16.399999999999999"/>
    <n v="31"/>
    <n v="8"/>
    <n v="58881"/>
    <n v="112310"/>
    <n v="0"/>
    <n v="-0.63358544424269436"/>
    <n v="0.94007989347536614"/>
    <n v="0.35227272727272729"/>
    <n v="0.16666666666666666"/>
    <n v="0"/>
    <n v="70535.916666666672"/>
    <n v="6.7398145861859965E-2"/>
  </r>
  <r>
    <n v="1574"/>
    <s v="d40f741a-92e1-4547-addd-775eed289441"/>
    <x v="1"/>
    <x v="1"/>
    <x v="9"/>
    <s v="в аренде"/>
    <s v="иное"/>
    <n v="67320"/>
    <n v="0"/>
    <n v="1168044"/>
    <n v="7031.9"/>
    <n v="16.7"/>
    <n v="35.265240640000002"/>
    <n v="8"/>
    <n v="95"/>
    <n v="112222"/>
    <n v="1"/>
    <n v="-1.3793369231540529"/>
    <n v="0"/>
    <n v="0.40074137090909095"/>
    <n v="0.16666666666666666"/>
    <n v="0.14285714285714285"/>
    <n v="97337"/>
    <n v="7.2242826468865901E-2"/>
  </r>
  <r>
    <n v="1374"/>
    <s v="eaa4e4e9-ea49-43c9-b49f-8c45fb8e7de6"/>
    <x v="1"/>
    <x v="1"/>
    <x v="0"/>
    <s v="в аренде"/>
    <s v="иное"/>
    <n v="107492"/>
    <n v="681"/>
    <n v="807576"/>
    <n v="3936.8"/>
    <n v="9.1"/>
    <n v="16"/>
    <n v="5"/>
    <n v="43833"/>
    <n v="111782"/>
    <n v="0"/>
    <n v="-1.1506264427220507"/>
    <n v="0.90679094540612515"/>
    <n v="0.18181818181818182"/>
    <n v="9.5238095238095233E-2"/>
    <n v="0"/>
    <n v="67298"/>
    <n v="5.8498023715415022E-2"/>
  </r>
  <r>
    <n v="205"/>
    <s v="0e0fa488-b6cb-444e-b3cf-c2021a74cad8"/>
    <x v="0"/>
    <x v="0"/>
    <x v="5"/>
    <s v="в ипотеке"/>
    <s v="консолидация кредитов"/>
    <n v="341352"/>
    <n v="712"/>
    <n v="751108"/>
    <n v="10327.83"/>
    <n v="13.3"/>
    <n v="35.265240640000002"/>
    <n v="11"/>
    <n v="81377"/>
    <n v="110858"/>
    <n v="0"/>
    <n v="0.18080422923423758"/>
    <n v="0.94806924101198398"/>
    <n v="0.40074137090909095"/>
    <n v="0.23809523809523808"/>
    <n v="0"/>
    <n v="62592.333333333336"/>
    <n v="0.16500151775776586"/>
  </r>
  <r>
    <n v="1829"/>
    <s v="0e0fa488-b6cb-444e-b3cf-c2021a74cad8"/>
    <x v="0"/>
    <x v="0"/>
    <x v="5"/>
    <s v="в ипотеке"/>
    <s v="консолидация кредитов"/>
    <n v="341352"/>
    <n v="712"/>
    <n v="751108"/>
    <n v="10327.83"/>
    <n v="13.3"/>
    <n v="35.265240640000002"/>
    <n v="11"/>
    <n v="81377"/>
    <n v="110858"/>
    <n v="0"/>
    <n v="0.18080422923423758"/>
    <n v="0.94806924101198398"/>
    <n v="0.40074137090909095"/>
    <n v="0.23809523809523808"/>
    <n v="0"/>
    <n v="62592.333333333336"/>
    <n v="0.16500151775776586"/>
  </r>
  <r>
    <n v="282"/>
    <s v="87630839-daf3-4eab-9d2a-f53837fbb87a"/>
    <x v="0"/>
    <x v="0"/>
    <x v="1"/>
    <s v="в ипотеке"/>
    <s v="консолидация кредитов"/>
    <n v="273482"/>
    <n v="693"/>
    <n v="1115699"/>
    <n v="13667.27"/>
    <n v="15.9"/>
    <n v="51"/>
    <n v="6"/>
    <n v="65683"/>
    <n v="109758"/>
    <n v="0"/>
    <n v="-0.20559874564677363"/>
    <n v="0.92276964047936083"/>
    <n v="0.57954545454545459"/>
    <n v="0.11904761904761904"/>
    <n v="0"/>
    <n v="92974.916666666672"/>
    <n v="0.14699954019856609"/>
  </r>
  <r>
    <n v="1969"/>
    <s v="911525d9-a6bd-4fa2-b50e-80c3df52dc37"/>
    <x v="0"/>
    <x v="1"/>
    <x v="4"/>
    <s v="в аренде"/>
    <s v="консолидация кредитов"/>
    <n v="134288"/>
    <n v="721"/>
    <n v="1198387"/>
    <n v="10286.219999999999"/>
    <n v="23.6"/>
    <n v="28"/>
    <n v="8"/>
    <n v="93119"/>
    <n v="109692"/>
    <n v="0"/>
    <n v="-0.99806928764747316"/>
    <n v="0.96005326231691079"/>
    <n v="0.31818181818181818"/>
    <n v="0.16666666666666666"/>
    <n v="0"/>
    <n v="99865.583333333328"/>
    <n v="0.10300065004042934"/>
  </r>
  <r>
    <n v="1301"/>
    <s v="d4683df2-6cb0-4417-a1b7-af6e37757085"/>
    <x v="0"/>
    <x v="1"/>
    <x v="6"/>
    <s v="в ипотеке"/>
    <s v="консолидация кредитов"/>
    <n v="198616"/>
    <n v="717"/>
    <n v="773072"/>
    <n v="16492.189999999999"/>
    <n v="13"/>
    <n v="69"/>
    <n v="13"/>
    <n v="74252"/>
    <n v="109670"/>
    <n v="0"/>
    <n v="-0.6318319137245958"/>
    <n v="0.9547270306258322"/>
    <n v="0.78409090909090906"/>
    <n v="0.2857142857142857"/>
    <n v="0"/>
    <n v="64422.666666666664"/>
    <n v="0.25599980338183248"/>
  </r>
  <r>
    <n v="1289"/>
    <s v="d4bf240e-2751-441f-914d-0a49e112a7c9"/>
    <x v="1"/>
    <x v="1"/>
    <x v="1"/>
    <s v="в собственности"/>
    <s v="консолидация кредитов"/>
    <n v="226512"/>
    <n v="0"/>
    <n v="1168044"/>
    <n v="10180.77"/>
    <n v="14"/>
    <n v="80"/>
    <n v="6"/>
    <n v="45068"/>
    <n v="109648"/>
    <n v="3"/>
    <n v="-0.47301214965680899"/>
    <n v="0"/>
    <n v="0.90909090909090906"/>
    <n v="0.11904761904761904"/>
    <n v="0.42857142857142855"/>
    <n v="97337"/>
    <n v="0.1045930119070857"/>
  </r>
  <r>
    <n v="832"/>
    <s v="daa1073c-1549-47a6-9613-7e119e969348"/>
    <x v="1"/>
    <x v="1"/>
    <x v="1"/>
    <s v="в ипотеке"/>
    <s v="иное"/>
    <n v="174438"/>
    <n v="0"/>
    <n v="1168044"/>
    <n v="9476.6299999999992"/>
    <n v="17"/>
    <n v="35.265240640000002"/>
    <n v="5"/>
    <n v="84265"/>
    <n v="109032"/>
    <n v="0"/>
    <n v="-0.76948405939533526"/>
    <n v="0"/>
    <n v="0.40074137090909095"/>
    <n v="9.5238095238095233E-2"/>
    <n v="0"/>
    <n v="97337"/>
    <n v="9.7358969353894195E-2"/>
  </r>
  <r>
    <n v="162"/>
    <s v="f36792bd-e4e8-432a-95b6-49c8965cf1d9"/>
    <x v="1"/>
    <x v="1"/>
    <x v="6"/>
    <s v="в аренде"/>
    <s v="иное"/>
    <n v="156178"/>
    <n v="716"/>
    <n v="1124040"/>
    <n v="8617.64"/>
    <n v="12"/>
    <n v="33"/>
    <n v="9"/>
    <n v="6194"/>
    <n v="108790"/>
    <n v="5"/>
    <n v="-0.87344336868260897"/>
    <n v="0.95339547270306257"/>
    <n v="0.375"/>
    <n v="0.19047619047619047"/>
    <n v="0.7142857142857143"/>
    <n v="93670"/>
    <n v="9.1999999999999998E-2"/>
  </r>
  <r>
    <n v="1617"/>
    <s v="d18edc72-d117-4491-b73f-f6f4761c36cb"/>
    <x v="0"/>
    <x v="1"/>
    <x v="8"/>
    <s v="в ипотеке"/>
    <s v="консолидация кредитов"/>
    <n v="211508"/>
    <n v="722"/>
    <n v="908010"/>
    <n v="13090.62"/>
    <n v="12.5"/>
    <n v="18"/>
    <n v="13"/>
    <n v="68989"/>
    <n v="108526"/>
    <n v="0"/>
    <n v="-0.55843413632418326"/>
    <n v="0.96138482023968042"/>
    <n v="0.20454545454545456"/>
    <n v="0.2857142857142857"/>
    <n v="0"/>
    <n v="75667.5"/>
    <n v="0.17300188323917137"/>
  </r>
  <r>
    <n v="293"/>
    <s v="9a9e3ed2-d6b2-47e3-b87a-312a5da73343"/>
    <x v="0"/>
    <x v="1"/>
    <x v="9"/>
    <s v="в ипотеке"/>
    <s v="иное"/>
    <n v="108526"/>
    <n v="743"/>
    <n v="1312045"/>
    <n v="7380.17"/>
    <n v="19"/>
    <n v="56"/>
    <n v="10"/>
    <n v="71953"/>
    <n v="108504"/>
    <n v="1"/>
    <n v="-1.1447395902684341"/>
    <n v="0.98934753661784292"/>
    <n v="0.63636363636363635"/>
    <n v="0.21428571428571427"/>
    <n v="0.14285714285714285"/>
    <n v="109337.08333333333"/>
    <n v="6.7499239736441966E-2"/>
  </r>
  <r>
    <n v="229"/>
    <s v="c746e142-7048-4f4d-b3ff-294bc3673b3c"/>
    <x v="1"/>
    <x v="1"/>
    <x v="5"/>
    <s v="в аренде"/>
    <s v="консолидация кредитов"/>
    <n v="83864"/>
    <n v="699"/>
    <n v="564414"/>
    <n v="11711.6"/>
    <n v="11.9"/>
    <n v="53"/>
    <n v="12"/>
    <n v="18639"/>
    <n v="107932"/>
    <n v="0"/>
    <n v="-1.2851472838961855"/>
    <n v="0.93075898801597867"/>
    <n v="0.60227272727272729"/>
    <n v="0.26190476190476192"/>
    <n v="0"/>
    <n v="47034.5"/>
    <n v="0.24900020197939812"/>
  </r>
  <r>
    <n v="1237"/>
    <s v="c5d1ed0a-01b1-465f-bc67-93ad442e9ecf"/>
    <x v="1"/>
    <x v="1"/>
    <x v="5"/>
    <s v="в собственности"/>
    <s v="консолидация кредитов"/>
    <n v="128986"/>
    <n v="747"/>
    <n v="1142622"/>
    <n v="16472.810000000001"/>
    <n v="11.4"/>
    <n v="35.265240640000002"/>
    <n v="10"/>
    <n v="28994"/>
    <n v="107910"/>
    <n v="0"/>
    <n v="-1.0282550629947418"/>
    <n v="0.9946737683089214"/>
    <n v="0.40074137090909095"/>
    <n v="0.21428571428571427"/>
    <n v="0"/>
    <n v="95218.5"/>
    <n v="0.1730000997705278"/>
  </r>
  <r>
    <n v="15"/>
    <s v="2ac05980-7848-4692-89ae-9321afe650f8"/>
    <x v="0"/>
    <x v="1"/>
    <x v="1"/>
    <s v="в аренде"/>
    <s v="консолидация кредитов"/>
    <n v="234124"/>
    <n v="727"/>
    <n v="693234"/>
    <n v="14211.24"/>
    <n v="24.7"/>
    <n v="46"/>
    <n v="10"/>
    <n v="28291"/>
    <n v="107052"/>
    <n v="1"/>
    <n v="-0.42967489542380088"/>
    <n v="0.96804260985352863"/>
    <n v="0.52272727272727271"/>
    <n v="0.21428571428571427"/>
    <n v="0.14285714285714285"/>
    <n v="57769.5"/>
    <n v="0.2459990133201776"/>
  </r>
  <r>
    <n v="1115"/>
    <s v="62194645-4f3a-4f41-b592-d18784346be3"/>
    <x v="0"/>
    <x v="1"/>
    <x v="2"/>
    <s v="в ипотеке"/>
    <s v="консолидация кредитов"/>
    <n v="130746"/>
    <n v="742"/>
    <n v="1674945"/>
    <n v="11780.38"/>
    <n v="14.2"/>
    <n v="10"/>
    <n v="6"/>
    <n v="54245"/>
    <n v="106788"/>
    <n v="0"/>
    <n v="-1.018234888605607"/>
    <n v="0.98801597869507318"/>
    <n v="0.11363636363636363"/>
    <n v="0.11904761904761904"/>
    <n v="0"/>
    <n v="139578.75"/>
    <n v="8.4399523566445464E-2"/>
  </r>
  <r>
    <n v="673"/>
    <s v="16acb987-ed6d-4981-bccf-bc996c633135"/>
    <x v="0"/>
    <x v="1"/>
    <x v="5"/>
    <s v="в ипотеке"/>
    <s v="ремонт жилья"/>
    <n v="309594.52439999999"/>
    <n v="741"/>
    <n v="1839048"/>
    <n v="16245"/>
    <n v="19"/>
    <n v="35.265240640000002"/>
    <n v="7"/>
    <n v="68818"/>
    <n v="105424"/>
    <n v="0"/>
    <n v="-1.2411115481956205E-10"/>
    <n v="0.98668442077230356"/>
    <n v="0.40074137090909095"/>
    <n v="0.14285714285714285"/>
    <n v="0"/>
    <n v="153254"/>
    <n v="0.1060004959087528"/>
  </r>
  <r>
    <n v="1972"/>
    <s v="6e3ddedf-8484-48f5-becd-2248c7d0e0d9"/>
    <x v="0"/>
    <x v="1"/>
    <x v="3"/>
    <s v="в собственности"/>
    <s v="консолидация кредитов"/>
    <n v="37598"/>
    <n v="690"/>
    <n v="222718"/>
    <n v="3433.49"/>
    <n v="9"/>
    <n v="35.265240640000002"/>
    <n v="6"/>
    <n v="82194"/>
    <n v="105270"/>
    <n v="0"/>
    <n v="-1.5485526181505669"/>
    <n v="0.91877496671105197"/>
    <n v="0.40074137090909095"/>
    <n v="0.11904761904761904"/>
    <n v="0"/>
    <n v="18559.833333333332"/>
    <n v="0.18499573451629414"/>
  </r>
  <r>
    <n v="980"/>
    <s v="f70e194c-3df7-4ebe-acfb-388cac5fcfdd"/>
    <x v="1"/>
    <x v="1"/>
    <x v="9"/>
    <s v="в аренде"/>
    <s v="консолидация кредитов"/>
    <n v="222816"/>
    <n v="725"/>
    <n v="1520209"/>
    <n v="12491.17"/>
    <n v="17.5"/>
    <n v="28"/>
    <n v="7"/>
    <n v="71079"/>
    <n v="104720"/>
    <n v="1"/>
    <n v="-0.49405451587399207"/>
    <n v="0.96537949400798939"/>
    <n v="0.31818181818181818"/>
    <n v="0.14285714285714285"/>
    <n v="0.14285714285714285"/>
    <n v="126684.08333333333"/>
    <n v="9.8600942370424077E-2"/>
  </r>
  <r>
    <n v="103"/>
    <s v="fc5cff9c-c6b5-4616-a83f-c6866e7ce032"/>
    <x v="1"/>
    <x v="1"/>
    <x v="3"/>
    <s v="в ипотеке"/>
    <s v="приобретение жилья"/>
    <n v="119504"/>
    <n v="745"/>
    <n v="938315"/>
    <n v="11807.17"/>
    <n v="13"/>
    <n v="9"/>
    <n v="11"/>
    <n v="32300"/>
    <n v="104170"/>
    <n v="0"/>
    <n v="-1.0822387525162056"/>
    <n v="0.99201065246338216"/>
    <n v="0.10227272727272728"/>
    <n v="0.23809523809523808"/>
    <n v="0"/>
    <n v="78192.916666666672"/>
    <n v="0.15100050622658701"/>
  </r>
  <r>
    <n v="1957"/>
    <s v="8ea60eb5-c8c2-4557-a107-662b31021e28"/>
    <x v="0"/>
    <x v="0"/>
    <x v="0"/>
    <s v="в аренде"/>
    <s v="приобретение автомобиля"/>
    <n v="88352"/>
    <n v="696"/>
    <n v="992047"/>
    <n v="1777.45"/>
    <n v="20.5"/>
    <n v="37"/>
    <n v="6"/>
    <n v="67032"/>
    <n v="103774"/>
    <n v="0"/>
    <n v="-1.2595958392038917"/>
    <n v="0.92676431424766981"/>
    <n v="0.42045454545454547"/>
    <n v="0.11904761904761904"/>
    <n v="0"/>
    <n v="82670.583333333328"/>
    <n v="2.1500392622526957E-2"/>
  </r>
  <r>
    <n v="280"/>
    <s v="26fa597c-e2b9-4873-8894-f3574e95503b"/>
    <x v="0"/>
    <x v="0"/>
    <x v="1"/>
    <s v="в ипотеке"/>
    <s v="консолидация кредитов"/>
    <n v="401852"/>
    <n v="725"/>
    <n v="1263785"/>
    <n v="15059.97"/>
    <n v="15.3"/>
    <n v="39"/>
    <n v="6"/>
    <n v="58482"/>
    <n v="101376"/>
    <n v="1"/>
    <n v="0.52524772386074681"/>
    <n v="0.96537949400798939"/>
    <n v="0.44318181818181818"/>
    <n v="0.11904761904761904"/>
    <n v="0.14285714285714285"/>
    <n v="105315.41666666667"/>
    <n v="0.14299872209276102"/>
  </r>
  <r>
    <n v="1095"/>
    <s v="2e97377f-8e54-4f67-acac-1743397c547f"/>
    <x v="1"/>
    <x v="0"/>
    <x v="2"/>
    <s v="в аренде"/>
    <s v="консолидация кредитов"/>
    <n v="80982"/>
    <n v="701"/>
    <n v="738245"/>
    <n v="14082.23"/>
    <n v="12.3"/>
    <n v="40"/>
    <n v="7"/>
    <n v="52383"/>
    <n v="101288"/>
    <n v="0"/>
    <n v="-1.3015553194583938"/>
    <n v="0.93342210386151803"/>
    <n v="0.45454545454545453"/>
    <n v="0.14285714285714285"/>
    <n v="0"/>
    <n v="61520.416666666664"/>
    <n v="0.22890335864110153"/>
  </r>
  <r>
    <n v="1405"/>
    <s v="31f34c02-a3c9-4384-adff-a591b06a177c"/>
    <x v="0"/>
    <x v="1"/>
    <x v="1"/>
    <s v="в ипотеке"/>
    <s v="иное"/>
    <n v="116930"/>
    <n v="724"/>
    <n v="1320557"/>
    <n v="10366.4"/>
    <n v="16.2"/>
    <n v="35.265240640000002"/>
    <n v="5"/>
    <n v="63764"/>
    <n v="101112"/>
    <n v="0"/>
    <n v="-1.0968932575603152"/>
    <n v="0.96404793608521966"/>
    <n v="0.40074137090909095"/>
    <n v="9.5238095238095233E-2"/>
    <n v="0"/>
    <n v="110046.41666666667"/>
    <n v="9.4200250348905792E-2"/>
  </r>
  <r>
    <n v="485"/>
    <s v="35d100c3-3fac-42fa-8344-6d1c1e8a7e5c"/>
    <x v="0"/>
    <x v="1"/>
    <x v="1"/>
    <s v="в ипотеке"/>
    <s v="консолидация кредитов"/>
    <n v="309594.52439999999"/>
    <n v="727"/>
    <n v="2299836"/>
    <n v="34305.83"/>
    <n v="12.5"/>
    <n v="60"/>
    <n v="11"/>
    <n v="30932"/>
    <n v="99770"/>
    <n v="1"/>
    <n v="-1.2411115481956205E-10"/>
    <n v="0.96804260985352863"/>
    <n v="0.68181818181818177"/>
    <n v="0.23809523809523808"/>
    <n v="0.14285714285714285"/>
    <n v="191653"/>
    <n v="0.17899970258748885"/>
  </r>
  <r>
    <n v="1277"/>
    <s v="45809eb7-4537-40bd-84aa-820f7ab277c7"/>
    <x v="0"/>
    <x v="1"/>
    <x v="3"/>
    <s v="в ипотеке"/>
    <s v="консолидация кредитов"/>
    <n v="219758"/>
    <n v="708"/>
    <n v="873031"/>
    <n v="17751.7"/>
    <n v="19.2"/>
    <n v="23"/>
    <n v="8"/>
    <n v="76114"/>
    <n v="98912"/>
    <n v="0"/>
    <n v="-0.51146456887511382"/>
    <n v="0.94274300932090549"/>
    <n v="0.26136363636363635"/>
    <n v="0.16666666666666666"/>
    <n v="0"/>
    <n v="72752.583333333328"/>
    <n v="0.24400095758340773"/>
  </r>
  <r>
    <n v="1978"/>
    <s v="0480a681-8935-4cf0-8699-789696ce470a"/>
    <x v="0"/>
    <x v="1"/>
    <x v="1"/>
    <s v="в аренде"/>
    <s v="путешествие"/>
    <n v="108570"/>
    <n v="742"/>
    <n v="720119"/>
    <n v="6505.03"/>
    <n v="30.5"/>
    <n v="62"/>
    <n v="8"/>
    <n v="26087"/>
    <n v="97746"/>
    <n v="0"/>
    <n v="-1.1444890859087056"/>
    <n v="0.98801597869507318"/>
    <n v="0.70454545454545459"/>
    <n v="0.16666666666666666"/>
    <n v="0"/>
    <n v="60009.916666666664"/>
    <n v="0.10839925067940159"/>
  </r>
  <r>
    <n v="1619"/>
    <s v="7d592a84-c9c5-41ef-9e95-56182f1d657d"/>
    <x v="0"/>
    <x v="0"/>
    <x v="1"/>
    <s v="в ипотеке"/>
    <s v="консолидация кредитов"/>
    <n v="396506"/>
    <n v="721"/>
    <n v="1750280"/>
    <n v="13491.71"/>
    <n v="25.8"/>
    <n v="41"/>
    <n v="11"/>
    <n v="48013"/>
    <n v="96866"/>
    <n v="0"/>
    <n v="0.49481144415374978"/>
    <n v="0.96005326231691079"/>
    <n v="0.46590909090909088"/>
    <n v="0.23809523809523808"/>
    <n v="0"/>
    <n v="145856.66666666666"/>
    <n v="9.2499782891880156E-2"/>
  </r>
  <r>
    <n v="1536"/>
    <s v="0f772e7e-f71a-4fd0-ac87-50db06d4f263"/>
    <x v="0"/>
    <x v="1"/>
    <x v="1"/>
    <s v="в аренде"/>
    <s v="консолидация кредитов"/>
    <n v="188672"/>
    <n v="652"/>
    <n v="1008748"/>
    <n v="3127.21"/>
    <n v="11"/>
    <n v="47"/>
    <n v="5"/>
    <n v="68153"/>
    <n v="96580"/>
    <n v="0"/>
    <n v="-0.68844589902320741"/>
    <n v="0.86817576564580556"/>
    <n v="0.53409090909090906"/>
    <n v="9.5238095238095233E-2"/>
    <n v="0"/>
    <n v="84062.333333333328"/>
    <n v="3.7201084909214199E-2"/>
  </r>
  <r>
    <n v="178"/>
    <s v="3d444fd0-12df-4671-a439-e6933570da1b"/>
    <x v="0"/>
    <x v="1"/>
    <x v="3"/>
    <s v="в аренде"/>
    <s v="приобретение автомобиля"/>
    <n v="175428"/>
    <n v="698"/>
    <n v="1136238"/>
    <n v="2594.4499999999998"/>
    <n v="30.5"/>
    <n v="68"/>
    <n v="4"/>
    <n v="70832"/>
    <n v="96470"/>
    <n v="0"/>
    <n v="-0.76384771130144691"/>
    <n v="0.92942743009320905"/>
    <n v="0.77272727272727271"/>
    <n v="7.1428571428571425E-2"/>
    <n v="0"/>
    <n v="94686.5"/>
    <n v="2.7400421390588941E-2"/>
  </r>
  <r>
    <n v="1966"/>
    <s v="9e0b33f9-067a-4979-8e9e-3c169484518a"/>
    <x v="1"/>
    <x v="0"/>
    <x v="4"/>
    <s v="в ипотеке"/>
    <s v="консолидация кредитов"/>
    <n v="502810"/>
    <n v="636"/>
    <n v="1453937"/>
    <n v="22293.65"/>
    <n v="20.2"/>
    <n v="23"/>
    <n v="6"/>
    <n v="69331"/>
    <n v="94314"/>
    <n v="0"/>
    <n v="1.1000299772574924"/>
    <n v="0.84687083888149139"/>
    <n v="0.26136363636363635"/>
    <n v="0.11904761904761904"/>
    <n v="0"/>
    <n v="121161.41666666667"/>
    <n v="0.1839995818250722"/>
  </r>
  <r>
    <n v="1248"/>
    <s v="8cb62404-9df4-4102-ae2a-78a19389f9bc"/>
    <x v="0"/>
    <x v="1"/>
    <x v="0"/>
    <s v="в аренде"/>
    <s v="консолидация кредитов"/>
    <n v="51414"/>
    <n v="744"/>
    <n v="386118"/>
    <n v="6885.79"/>
    <n v="28.8"/>
    <n v="29"/>
    <n v="7"/>
    <n v="27360"/>
    <n v="94006"/>
    <n v="0"/>
    <n v="-1.4698942491958586"/>
    <n v="0.99067909454061254"/>
    <n v="0.32954545454545453"/>
    <n v="0.14285714285714285"/>
    <n v="0"/>
    <n v="32176.5"/>
    <n v="0.21400059049306169"/>
  </r>
  <r>
    <n v="1308"/>
    <s v="56577b66-07a6-417b-acca-394d7a42170c"/>
    <x v="0"/>
    <x v="1"/>
    <x v="4"/>
    <s v="в аренде"/>
    <s v="консолидация кредитов"/>
    <n v="306240"/>
    <n v="714"/>
    <n v="1205683"/>
    <n v="9725.7199999999993"/>
    <n v="32.200000000000003"/>
    <n v="8"/>
    <n v="7"/>
    <n v="18506"/>
    <n v="93192"/>
    <n v="0"/>
    <n v="-1.9098249829001934E-2"/>
    <n v="0.95073235685752333"/>
    <n v="9.0909090909090912E-2"/>
    <n v="0.14285714285714285"/>
    <n v="0"/>
    <n v="100473.58333333333"/>
    <n v="9.6798777124667099E-2"/>
  </r>
  <r>
    <n v="919"/>
    <s v="354fbe1e-b0b8-4a90-a78e-9efaf9b4cba5"/>
    <x v="0"/>
    <x v="1"/>
    <x v="1"/>
    <s v="в аренде"/>
    <s v="консолидация кредитов"/>
    <n v="117084"/>
    <n v="0"/>
    <n v="1168044"/>
    <n v="12386.1"/>
    <n v="17.100000000000001"/>
    <n v="35.265240640000002"/>
    <n v="5"/>
    <n v="10184"/>
    <n v="92070"/>
    <n v="1"/>
    <n v="-1.0960164923012661"/>
    <n v="0"/>
    <n v="0.40074137090909095"/>
    <n v="9.5238095238095233E-2"/>
    <n v="0.14285714285714285"/>
    <n v="97337"/>
    <n v="0.12724965840327934"/>
  </r>
  <r>
    <n v="339"/>
    <s v="2ee68db3-8790-494b-b328-c308a1234cd1"/>
    <x v="1"/>
    <x v="0"/>
    <x v="8"/>
    <s v="в ипотеке"/>
    <s v="консолидация кредитов"/>
    <n v="403414"/>
    <n v="0"/>
    <n v="1168044"/>
    <n v="14597.13"/>
    <n v="20.7"/>
    <n v="51"/>
    <n v="11"/>
    <n v="71212"/>
    <n v="91916"/>
    <n v="0"/>
    <n v="0.5341406286311039"/>
    <n v="0"/>
    <n v="0.57954545454545459"/>
    <n v="0.23809523809523808"/>
    <n v="0"/>
    <n v="97337"/>
    <n v="0.14996486433730236"/>
  </r>
  <r>
    <n v="438"/>
    <s v="3cec97a7-6e88-4d1c-8ce1-b635c7ffd354"/>
    <x v="0"/>
    <x v="1"/>
    <x v="4"/>
    <s v="в ипотеке"/>
    <s v="консолидация кредитов"/>
    <n v="358578"/>
    <n v="711"/>
    <n v="1509721"/>
    <n v="3157.8"/>
    <n v="13.7"/>
    <n v="35.265240640000002"/>
    <n v="3"/>
    <n v="58862"/>
    <n v="91850"/>
    <n v="0"/>
    <n v="0.27887668606789456"/>
    <n v="0.94673768308921435"/>
    <n v="0.40074137090909095"/>
    <n v="4.7619047619047616E-2"/>
    <n v="0"/>
    <n v="125810.08333333333"/>
    <n v="2.5099736971268202E-2"/>
  </r>
  <r>
    <n v="261"/>
    <s v="5ddd0f20-e1b7-490a-a3dd-dd36d0380664"/>
    <x v="1"/>
    <x v="1"/>
    <x v="5"/>
    <s v="в аренде"/>
    <s v="консолидация кредитов"/>
    <n v="441628"/>
    <n v="0"/>
    <n v="1168044"/>
    <n v="34469.61"/>
    <n v="16"/>
    <n v="46"/>
    <n v="5"/>
    <n v="58482"/>
    <n v="90530"/>
    <n v="0"/>
    <n v="0.75170366505519359"/>
    <n v="0"/>
    <n v="0.52272727272727271"/>
    <n v="9.5238095238095233E-2"/>
    <n v="0"/>
    <n v="97337"/>
    <n v="0.35412648838571148"/>
  </r>
  <r>
    <n v="975"/>
    <s v="6134f961-2dd3-4773-806c-33289517dddc"/>
    <x v="0"/>
    <x v="0"/>
    <x v="3"/>
    <s v="в аренде"/>
    <s v="ремонт жилья"/>
    <n v="92642"/>
    <n v="689"/>
    <n v="571539"/>
    <n v="5924.96"/>
    <n v="12.1"/>
    <n v="10"/>
    <n v="6"/>
    <n v="26961"/>
    <n v="90464"/>
    <n v="0"/>
    <n v="-1.2351716641303756"/>
    <n v="0.91744340878828234"/>
    <n v="0.11363636363636363"/>
    <n v="0.11904761904761904"/>
    <n v="0"/>
    <n v="47628.25"/>
    <n v="0.12440011967687245"/>
  </r>
  <r>
    <n v="804"/>
    <s v="173c7174-1d5e-4e59-bdee-354b32a171c5"/>
    <x v="0"/>
    <x v="1"/>
    <x v="3"/>
    <s v="в аренде"/>
    <s v="консолидация кредитов"/>
    <n v="109582"/>
    <n v="744"/>
    <n v="813903"/>
    <n v="11665.81"/>
    <n v="8.6999999999999993"/>
    <n v="35.265240640000002"/>
    <n v="6"/>
    <n v="16910"/>
    <n v="89760"/>
    <n v="0"/>
    <n v="-1.1387274856349532"/>
    <n v="0.99067909454061254"/>
    <n v="0.40074137090909095"/>
    <n v="0.11904761904761904"/>
    <n v="0"/>
    <n v="67825.25"/>
    <n v="0.17199803907836683"/>
  </r>
  <r>
    <n v="815"/>
    <s v="823589bf-3911-4be5-8a44-368e8db077c9"/>
    <x v="1"/>
    <x v="1"/>
    <x v="6"/>
    <s v="в аренде"/>
    <s v="консолидация кредитов"/>
    <n v="262988"/>
    <n v="721"/>
    <n v="794960"/>
    <n v="18880.490000000002"/>
    <n v="15.4"/>
    <n v="81"/>
    <n v="6"/>
    <n v="30267"/>
    <n v="87626"/>
    <n v="0"/>
    <n v="-0.26534403544198998"/>
    <n v="0.96005326231691079"/>
    <n v="0.92045454545454541"/>
    <n v="0.11904761904761904"/>
    <n v="0"/>
    <n v="66246.666666666672"/>
    <n v="0.28500286806883368"/>
  </r>
  <r>
    <n v="729"/>
    <s v="106c85d5-cdf6-4323-99d3-22d993aaecd0"/>
    <x v="1"/>
    <x v="1"/>
    <x v="9"/>
    <s v="в аренде"/>
    <s v="бизнес"/>
    <n v="111122"/>
    <n v="693"/>
    <n v="767752"/>
    <n v="4184.18"/>
    <n v="10.1"/>
    <n v="35.265240640000002"/>
    <n v="3"/>
    <n v="35701"/>
    <n v="86658"/>
    <n v="0"/>
    <n v="-1.1299598330444602"/>
    <n v="0.92276964047936083"/>
    <n v="0.40074137090909095"/>
    <n v="4.7619047619047616E-2"/>
    <n v="0"/>
    <n v="63979.333333333336"/>
    <n v="6.5398930904771335E-2"/>
  </r>
  <r>
    <n v="126"/>
    <s v="044bdda9-adf7-4025-b77d-0160e4e834c2"/>
    <x v="1"/>
    <x v="1"/>
    <x v="6"/>
    <s v="в ипотеке"/>
    <s v="консолидация кредитов"/>
    <n v="446094"/>
    <n v="0"/>
    <n v="1168044"/>
    <n v="30975.51"/>
    <n v="7"/>
    <n v="0"/>
    <n v="9"/>
    <n v="76"/>
    <n v="85998"/>
    <n v="0"/>
    <n v="0.77712985756762321"/>
    <n v="0"/>
    <n v="0"/>
    <n v="0.19047619047619047"/>
    <n v="0"/>
    <n v="97337"/>
    <n v="0.31822955299629124"/>
  </r>
  <r>
    <n v="596"/>
    <s v="a632ac98-65e0-4871-8dcb-c78deb9a1158"/>
    <x v="0"/>
    <x v="1"/>
    <x v="0"/>
    <s v="в ипотеке"/>
    <s v="консолидация кредитов"/>
    <n v="109582"/>
    <n v="744"/>
    <n v="1514224"/>
    <n v="10637.34"/>
    <n v="10.1"/>
    <n v="35.265240640000002"/>
    <n v="7"/>
    <n v="23294"/>
    <n v="85382"/>
    <n v="0"/>
    <n v="-1.1387274856349532"/>
    <n v="0.99067909454061254"/>
    <n v="0.40074137090909095"/>
    <n v="0.14285714285714285"/>
    <n v="0"/>
    <n v="126185.33333333333"/>
    <n v="8.4299337482433248E-2"/>
  </r>
  <r>
    <n v="859"/>
    <s v="0b7ab558-9e37-4bd2-81e1-55a099fdb4e8"/>
    <x v="0"/>
    <x v="1"/>
    <x v="2"/>
    <s v="в аренде"/>
    <s v="консолидация кредитов"/>
    <n v="134882"/>
    <n v="738"/>
    <n v="990223"/>
    <n v="13780.51"/>
    <n v="22.6"/>
    <n v="30"/>
    <n v="12"/>
    <n v="33326"/>
    <n v="85338"/>
    <n v="0"/>
    <n v="-0.99468747879114017"/>
    <n v="0.9826897470039947"/>
    <n v="0.34090909090909088"/>
    <n v="0.26190476190476192"/>
    <n v="0"/>
    <n v="82518.583333333328"/>
    <n v="0.16699886793176891"/>
  </r>
  <r>
    <n v="1899"/>
    <s v="cf835aa5-6820-4152-80d5-4d0aa3507bc5"/>
    <x v="0"/>
    <x v="1"/>
    <x v="7"/>
    <s v="в ипотеке"/>
    <s v="ремонт жилья"/>
    <n v="78034"/>
    <n v="732"/>
    <n v="936130"/>
    <n v="1739.64"/>
    <n v="13"/>
    <n v="35.265240640000002"/>
    <n v="2"/>
    <n v="39615"/>
    <n v="82368"/>
    <n v="0"/>
    <n v="-1.3183391115601946"/>
    <n v="0.97470039946737685"/>
    <n v="0.40074137090909095"/>
    <n v="2.3809523809523808E-2"/>
    <n v="0"/>
    <n v="78010.833333333328"/>
    <n v="2.2299979703673638E-2"/>
  </r>
  <r>
    <n v="650"/>
    <s v="cd31f1ff-1388-49de-9c8e-624292735830"/>
    <x v="1"/>
    <x v="1"/>
    <x v="3"/>
    <s v="в аренде"/>
    <s v="иное"/>
    <n v="32230"/>
    <n v="0"/>
    <n v="1168044"/>
    <n v="5679.1"/>
    <n v="11.3"/>
    <n v="23"/>
    <n v="6"/>
    <n v="52364"/>
    <n v="79464"/>
    <n v="1"/>
    <n v="-1.5791141500374282"/>
    <n v="0"/>
    <n v="0.26136363636363635"/>
    <n v="0.11904761904761904"/>
    <n v="0.14285714285714285"/>
    <n v="97337"/>
    <n v="5.8344719890689054E-2"/>
  </r>
  <r>
    <n v="1120"/>
    <s v="6e1778e9-47a8-45a8-96cc-15cb5d7d0421"/>
    <x v="1"/>
    <x v="1"/>
    <x v="0"/>
    <s v="в аренде"/>
    <s v="консолидация кредитов"/>
    <n v="78694"/>
    <n v="0"/>
    <n v="1168044"/>
    <n v="12015.98"/>
    <n v="7.8"/>
    <n v="7"/>
    <n v="5"/>
    <n v="3363"/>
    <n v="79398"/>
    <n v="0"/>
    <n v="-1.3145815461642691"/>
    <n v="0"/>
    <n v="7.9545454545454544E-2"/>
    <n v="9.5238095238095233E-2"/>
    <n v="0"/>
    <n v="97337"/>
    <n v="0.12344719890689049"/>
  </r>
  <r>
    <n v="936"/>
    <s v="6bc47024-31f2-4d20-b5aa-acb09e00b163"/>
    <x v="1"/>
    <x v="0"/>
    <x v="10"/>
    <s v="в ипотеке"/>
    <s v="ремонт жилья"/>
    <n v="448316"/>
    <n v="0"/>
    <n v="1168044"/>
    <n v="18487.95"/>
    <n v="19.5"/>
    <n v="35.265240640000002"/>
    <n v="5"/>
    <n v="64182"/>
    <n v="78474"/>
    <n v="0"/>
    <n v="0.78978032773390583"/>
    <n v="0"/>
    <n v="0.40074137090909095"/>
    <n v="9.5238095238095233E-2"/>
    <n v="0"/>
    <n v="97337"/>
    <n v="0.18993753659964865"/>
  </r>
  <r>
    <n v="1995"/>
    <s v="fb5dd724-701e-4537-b641-2cb76a9610ac"/>
    <x v="0"/>
    <x v="1"/>
    <x v="3"/>
    <s v="в аренде"/>
    <s v="консолидация кредитов"/>
    <n v="49038"/>
    <n v="716"/>
    <n v="577467"/>
    <n v="7795.89"/>
    <n v="8.6"/>
    <n v="35.265240640000002"/>
    <n v="7"/>
    <n v="47652"/>
    <n v="77066"/>
    <n v="0"/>
    <n v="-1.4834214846211906"/>
    <n v="0.95339547270306257"/>
    <n v="0.40074137090909095"/>
    <n v="0.14285714285714285"/>
    <n v="0"/>
    <n v="48122.25"/>
    <n v="0.16200177672490376"/>
  </r>
  <r>
    <n v="1469"/>
    <s v="534be4c3-45bc-486d-8658-21c32fae814e"/>
    <x v="0"/>
    <x v="1"/>
    <x v="1"/>
    <s v="в ипотеке"/>
    <s v="консолидация кредитов"/>
    <n v="39776"/>
    <n v="0"/>
    <n v="1168044"/>
    <n v="12255.38"/>
    <n v="14.8"/>
    <n v="66"/>
    <n v="6"/>
    <n v="23484"/>
    <n v="72908"/>
    <n v="0"/>
    <n v="-1.5361526523440125"/>
    <n v="0"/>
    <n v="0.75"/>
    <n v="0.11904761904761904"/>
    <n v="0"/>
    <n v="97337"/>
    <n v="0.12590669529572515"/>
  </r>
  <r>
    <n v="1967"/>
    <s v="a7f3171e-b94f-4ee2-8806-962cc8244450"/>
    <x v="0"/>
    <x v="1"/>
    <x v="9"/>
    <s v="в ипотеке"/>
    <s v="консолидация кредитов"/>
    <n v="109406"/>
    <n v="732"/>
    <n v="944775"/>
    <n v="17084.8"/>
    <n v="21.2"/>
    <n v="27"/>
    <n v="6"/>
    <n v="58653"/>
    <n v="72182"/>
    <n v="0"/>
    <n v="-1.1397295030738666"/>
    <n v="0.97470039946737685"/>
    <n v="0.30681818181818182"/>
    <n v="0.11904761904761904"/>
    <n v="0"/>
    <n v="78731.25"/>
    <n v="0.21700150829562592"/>
  </r>
  <r>
    <n v="439"/>
    <s v="6c9bb30e-e5eb-4b42-a5af-936e5f86bf00"/>
    <x v="0"/>
    <x v="1"/>
    <x v="3"/>
    <s v="в аренде"/>
    <s v="консолидация кредитов"/>
    <n v="94534"/>
    <n v="718"/>
    <n v="777556"/>
    <n v="12894.35"/>
    <n v="8.6999999999999993"/>
    <n v="35.265240640000002"/>
    <n v="8"/>
    <n v="49286"/>
    <n v="72050"/>
    <n v="0"/>
    <n v="-1.2243999766620557"/>
    <n v="0.95605858854860182"/>
    <n v="0.40074137090909095"/>
    <n v="0.16666666666666666"/>
    <n v="0"/>
    <n v="64796.333333333336"/>
    <n v="0.19899814289903234"/>
  </r>
  <r>
    <n v="116"/>
    <s v="dccb0b43-a54d-47ae-b01b-382d193b475b"/>
    <x v="0"/>
    <x v="0"/>
    <x v="1"/>
    <s v="в ипотеке"/>
    <s v="ремонт жилья"/>
    <n v="354046"/>
    <n v="676"/>
    <n v="1815469"/>
    <n v="5522.16"/>
    <n v="13"/>
    <n v="6"/>
    <n v="6"/>
    <n v="20976"/>
    <n v="70840"/>
    <n v="0"/>
    <n v="0.25307473701587241"/>
    <n v="0.90013315579227693"/>
    <n v="6.8181818181818177E-2"/>
    <n v="0.11904761904761904"/>
    <n v="0"/>
    <n v="151289.08333333334"/>
    <n v="3.6500716894642647E-2"/>
  </r>
  <r>
    <n v="1426"/>
    <s v="349a9d0c-f5b0-49df-991e-1d628d2f47c1"/>
    <x v="0"/>
    <x v="1"/>
    <x v="1"/>
    <s v="в ипотеке"/>
    <s v="ремонт жилья"/>
    <n v="110286"/>
    <n v="736"/>
    <n v="969513"/>
    <n v="12280.46"/>
    <n v="9.6"/>
    <n v="35.265240640000002"/>
    <n v="6"/>
    <n v="31160"/>
    <n v="70620"/>
    <n v="0"/>
    <n v="-1.1347194158792993"/>
    <n v="0.98002663115845534"/>
    <n v="0.40074137090909095"/>
    <n v="0.11904761904761904"/>
    <n v="0"/>
    <n v="80792.75"/>
    <n v="0.15199952966076782"/>
  </r>
  <r>
    <n v="862"/>
    <s v="48e17c7f-648f-4110-b8bf-cb6c55934cee"/>
    <x v="0"/>
    <x v="1"/>
    <x v="1"/>
    <s v="в ипотеке"/>
    <s v="ремонт жилья"/>
    <n v="64856"/>
    <n v="722"/>
    <n v="1306991"/>
    <n v="15139.2"/>
    <n v="24.5"/>
    <n v="31"/>
    <n v="4"/>
    <n v="51813"/>
    <n v="69212"/>
    <n v="0"/>
    <n v="-1.3933651672988416"/>
    <n v="0.96138482023968042"/>
    <n v="0.35227272727272729"/>
    <n v="7.1428571428571425E-2"/>
    <n v="0"/>
    <n v="108915.91666666667"/>
    <n v="0.13899896785823315"/>
  </r>
  <r>
    <n v="1974"/>
    <s v="56e718a0-92d5-4f8b-8539-89ad35ce7169"/>
    <x v="0"/>
    <x v="1"/>
    <x v="7"/>
    <s v="в аренде"/>
    <s v="иное"/>
    <n v="33484"/>
    <n v="722"/>
    <n v="1530108"/>
    <n v="18871.37"/>
    <n v="10"/>
    <n v="24"/>
    <n v="19"/>
    <n v="21964"/>
    <n v="69102"/>
    <n v="0"/>
    <n v="-1.5719747757851696"/>
    <n v="0.96138482023968042"/>
    <n v="0.27272727272727271"/>
    <n v="0.42857142857142855"/>
    <n v="0"/>
    <n v="127509"/>
    <n v="0.1480002980181791"/>
  </r>
  <r>
    <n v="1227"/>
    <s v="5bad259c-eb19-49f6-acf8-b4fe2f24b700"/>
    <x v="1"/>
    <x v="1"/>
    <x v="5"/>
    <s v="в аренде"/>
    <s v="консолидация кредитов"/>
    <n v="80234"/>
    <n v="730"/>
    <n v="461928"/>
    <n v="7660.23"/>
    <n v="8"/>
    <n v="35.265240640000002"/>
    <n v="12"/>
    <n v="47994"/>
    <n v="66880"/>
    <n v="0"/>
    <n v="-1.3058138935737762"/>
    <n v="0.9720372836218375"/>
    <n v="0.40074137090909095"/>
    <n v="0.26190476190476192"/>
    <n v="0"/>
    <n v="38494"/>
    <n v="0.19899802566633759"/>
  </r>
  <r>
    <n v="1927"/>
    <s v="01f8453b-bc09-413c-aef9-fbded7f9d375"/>
    <x v="1"/>
    <x v="0"/>
    <x v="2"/>
    <s v="в ипотеке"/>
    <s v="ремонт жилья"/>
    <n v="165616"/>
    <n v="740"/>
    <n v="1087009"/>
    <n v="4212.3"/>
    <n v="15.2"/>
    <n v="35.265240640000002"/>
    <n v="4"/>
    <n v="24054"/>
    <n v="66286"/>
    <n v="0"/>
    <n v="-0.81971018352087355"/>
    <n v="0.98535286284953394"/>
    <n v="0.40074137090909095"/>
    <n v="7.1428571428571425E-2"/>
    <n v="0"/>
    <n v="90584.083333333328"/>
    <n v="4.6501546905315418E-2"/>
  </r>
  <r>
    <n v="642"/>
    <s v="ecf9e047-4fad-4208-a3aa-30499d6dbb01"/>
    <x v="1"/>
    <x v="0"/>
    <x v="3"/>
    <s v="в аренде"/>
    <s v="консолидация кредитов"/>
    <n v="220396"/>
    <n v="680"/>
    <n v="1903420"/>
    <n v="18240.95"/>
    <n v="15.8"/>
    <n v="12"/>
    <n v="9"/>
    <n v="57608"/>
    <n v="66110"/>
    <n v="0"/>
    <n v="-0.50783225565905243"/>
    <n v="0.90545938748335553"/>
    <n v="0.13636363636363635"/>
    <n v="0.19047619047619047"/>
    <n v="0"/>
    <n v="158618.33333333334"/>
    <n v="0.11499900179676582"/>
  </r>
  <r>
    <n v="823"/>
    <s v="1cd3aa7c-4376-493b-acad-cb29ebcd9257"/>
    <x v="0"/>
    <x v="1"/>
    <x v="0"/>
    <s v="в аренде"/>
    <s v="консолидация кредитов"/>
    <n v="134684"/>
    <n v="735"/>
    <n v="579899"/>
    <n v="7345.4"/>
    <n v="10.6"/>
    <n v="38"/>
    <n v="5"/>
    <n v="30115"/>
    <n v="65032"/>
    <n v="0"/>
    <n v="-0.99581474840991779"/>
    <n v="0.97869507323568572"/>
    <n v="0.43181818181818182"/>
    <n v="9.5238095238095233E-2"/>
    <n v="0"/>
    <n v="48324.916666666664"/>
    <n v="0.15200026211460962"/>
  </r>
  <r>
    <n v="220"/>
    <s v="7fa3a146-1ab1-48bf-8917-41022a07383a"/>
    <x v="0"/>
    <x v="1"/>
    <x v="1"/>
    <s v="в аренде"/>
    <s v="консолидация кредитов"/>
    <n v="128832"/>
    <n v="719"/>
    <n v="1483520"/>
    <n v="8381.85"/>
    <n v="30.9"/>
    <n v="38"/>
    <n v="4"/>
    <n v="36708"/>
    <n v="64372"/>
    <n v="0"/>
    <n v="-1.0291318282537911"/>
    <n v="0.95739014647137155"/>
    <n v="0.43181818181818182"/>
    <n v="7.1428571428571425E-2"/>
    <n v="0"/>
    <n v="123626.66666666667"/>
    <n v="6.7799692622950825E-2"/>
  </r>
  <r>
    <n v="869"/>
    <s v="fb366861-2a26-4a0c-80c4-8fdae26e9099"/>
    <x v="0"/>
    <x v="1"/>
    <x v="1"/>
    <s v="в ипотеке"/>
    <s v="иное"/>
    <n v="555060"/>
    <n v="699"/>
    <n v="1143610"/>
    <n v="15152.88"/>
    <n v="22.2"/>
    <n v="15"/>
    <n v="6"/>
    <n v="28690"/>
    <n v="64262"/>
    <n v="0"/>
    <n v="1.3975039044349322"/>
    <n v="0.93075898801597867"/>
    <n v="0.17045454545454544"/>
    <n v="0.11904761904761904"/>
    <n v="0"/>
    <n v="95300.833333333328"/>
    <n v="0.15900049842166472"/>
  </r>
  <r>
    <n v="1992"/>
    <s v="f522c40d-88cf-4d54-90ab-90d9670cfae0"/>
    <x v="1"/>
    <x v="0"/>
    <x v="2"/>
    <s v="в аренде"/>
    <s v="бизнес"/>
    <n v="337634"/>
    <n v="728"/>
    <n v="653144"/>
    <n v="4376.08"/>
    <n v="13.1"/>
    <n v="35.265240640000002"/>
    <n v="3"/>
    <n v="209"/>
    <n v="61908"/>
    <n v="0"/>
    <n v="0.1596366108371903"/>
    <n v="0.96937416777629826"/>
    <n v="0.40074137090909095"/>
    <n v="4.7619047619047616E-2"/>
    <n v="0"/>
    <n v="54428.666666666664"/>
    <n v="8.0400279264603219E-2"/>
  </r>
  <r>
    <n v="356"/>
    <s v="decba3f3-c30b-4116-821f-b26898388a7e"/>
    <x v="1"/>
    <x v="1"/>
    <x v="3"/>
    <s v="в аренде"/>
    <s v="иное"/>
    <n v="47806"/>
    <n v="671"/>
    <n v="835620"/>
    <n v="3070.97"/>
    <n v="12.8"/>
    <n v="12"/>
    <n v="10"/>
    <n v="48051"/>
    <n v="60764"/>
    <n v="0"/>
    <n v="-1.4904356066935851"/>
    <n v="0.89347536617842871"/>
    <n v="0.13636363636363635"/>
    <n v="0.21428571428571427"/>
    <n v="0"/>
    <n v="69635"/>
    <n v="4.4100954979536151E-2"/>
  </r>
  <r>
    <n v="1734"/>
    <s v="f4d3a933-cecf-432e-a547-6cba6db72612"/>
    <x v="0"/>
    <x v="1"/>
    <x v="8"/>
    <s v="в аренде"/>
    <s v="консолидация кредитов"/>
    <n v="86592"/>
    <n v="750"/>
    <n v="1065786"/>
    <n v="17407.8"/>
    <n v="11.8"/>
    <n v="35.265240640000002"/>
    <n v="6"/>
    <n v="35682"/>
    <n v="60654"/>
    <n v="0"/>
    <n v="-1.2696160135930266"/>
    <n v="0.99866844207723038"/>
    <n v="0.40074137090909095"/>
    <n v="0.11904761904761904"/>
    <n v="0"/>
    <n v="88815.5"/>
    <n v="0.19599957214675365"/>
  </r>
  <r>
    <n v="1954"/>
    <s v="4adc8ca4-ed21-4567-bda2-e6caef29bd4b"/>
    <x v="0"/>
    <x v="1"/>
    <x v="7"/>
    <s v="в аренде"/>
    <s v="консолидация кредитов"/>
    <n v="309594.52439999999"/>
    <n v="744"/>
    <n v="1331064"/>
    <n v="6145.17"/>
    <n v="13.7"/>
    <n v="29"/>
    <n v="3"/>
    <n v="2337"/>
    <n v="58872"/>
    <n v="0"/>
    <n v="-1.2411115481956205E-10"/>
    <n v="0.99067909454061254"/>
    <n v="0.32954545454545453"/>
    <n v="4.7619047619047616E-2"/>
    <n v="0"/>
    <n v="110922"/>
    <n v="5.5400822199383352E-2"/>
  </r>
  <r>
    <n v="30"/>
    <s v="5129cffc-68a1-4dd9-8bfe-035f3478d6dd"/>
    <x v="0"/>
    <x v="1"/>
    <x v="1"/>
    <s v="в ипотеке"/>
    <s v="иное"/>
    <n v="107404"/>
    <n v="0"/>
    <n v="1168044"/>
    <n v="19238.07"/>
    <n v="43.7"/>
    <n v="35.265240640000002"/>
    <n v="5"/>
    <n v="28956"/>
    <n v="58014"/>
    <n v="0"/>
    <n v="-1.1511274514415075"/>
    <n v="0"/>
    <n v="0.40074137090909095"/>
    <n v="9.5238095238095233E-2"/>
    <n v="0"/>
    <n v="97337"/>
    <n v="0.19764395861799727"/>
  </r>
  <r>
    <n v="1522"/>
    <s v="91688b35-d725-4ac5-85f8-981a9a75b06d"/>
    <x v="0"/>
    <x v="1"/>
    <x v="3"/>
    <s v="в ипотеке"/>
    <s v="иное"/>
    <n v="133914"/>
    <n v="699"/>
    <n v="1831182"/>
    <n v="17243.45"/>
    <n v="16.5"/>
    <n v="61"/>
    <n v="9"/>
    <n v="33364"/>
    <n v="58014"/>
    <n v="1"/>
    <n v="-1.0001985747051643"/>
    <n v="0.93075898801597867"/>
    <n v="0.69318181818181823"/>
    <n v="0.19047619047619047"/>
    <n v="0.14285714285714285"/>
    <n v="152598.5"/>
    <n v="0.11299881715744257"/>
  </r>
  <r>
    <n v="817"/>
    <s v="862cb1c6-cf59-4108-9ade-3edbd57ac59e"/>
    <x v="0"/>
    <x v="0"/>
    <x v="8"/>
    <s v="в аренде"/>
    <s v="иное"/>
    <n v="385308"/>
    <n v="678"/>
    <n v="1823715"/>
    <n v="6914.86"/>
    <n v="13"/>
    <n v="18"/>
    <n v="21"/>
    <n v="48944"/>
    <n v="57244"/>
    <n v="0"/>
    <n v="0.43105808460287953"/>
    <n v="0.90279627163781628"/>
    <n v="0.20454545454545456"/>
    <n v="0.47619047619047616"/>
    <n v="0"/>
    <n v="151976.25"/>
    <n v="4.5499609313955303E-2"/>
  </r>
  <r>
    <n v="1365"/>
    <s v="2fd6c069-3088-425c-a103-2bcd39045412"/>
    <x v="0"/>
    <x v="1"/>
    <x v="3"/>
    <s v="в ипотеке"/>
    <s v="консолидация кредитов"/>
    <n v="138534"/>
    <n v="703"/>
    <n v="1215126"/>
    <n v="13568.66"/>
    <n v="14.2"/>
    <n v="47"/>
    <n v="6"/>
    <n v="47500"/>
    <n v="56298"/>
    <n v="0"/>
    <n v="-0.97389561693368543"/>
    <n v="0.93608521970705727"/>
    <n v="0.53409090909090906"/>
    <n v="0.11904761904761904"/>
    <n v="0"/>
    <n v="101260.5"/>
    <n v="0.13399756074678676"/>
  </r>
  <r>
    <n v="857"/>
    <s v="082a4886-264f-4a5e-a563-34bf467a5487"/>
    <x v="0"/>
    <x v="0"/>
    <x v="0"/>
    <s v="в аренде"/>
    <s v="консолидация кредитов"/>
    <n v="309594.52439999999"/>
    <n v="668"/>
    <n v="624929"/>
    <n v="8009.45"/>
    <n v="14.8"/>
    <n v="11"/>
    <n v="7"/>
    <n v="5928"/>
    <n v="52800"/>
    <n v="0"/>
    <n v="-1.2411115481956205E-10"/>
    <n v="0.88948069241011984"/>
    <n v="0.125"/>
    <n v="0.14285714285714285"/>
    <n v="0"/>
    <n v="52077.416666666664"/>
    <n v="0.15379891155635281"/>
  </r>
  <r>
    <n v="544"/>
    <s v="f39d6f83-07b3-4776-a3b4-5a4534f41ae9"/>
    <x v="0"/>
    <x v="1"/>
    <x v="2"/>
    <s v="в ипотеке"/>
    <s v="ремонт жилья"/>
    <n v="309594.52439999999"/>
    <n v="716"/>
    <n v="2197901"/>
    <n v="21429.53"/>
    <n v="27.7"/>
    <n v="35.265240640000002"/>
    <n v="8"/>
    <n v="40945"/>
    <n v="49390"/>
    <n v="1"/>
    <n v="-1.2411115481956205E-10"/>
    <n v="0.95339547270306257"/>
    <n v="0.40074137090909095"/>
    <n v="0.16666666666666666"/>
    <n v="0.14285714285714285"/>
    <n v="183158.41666666666"/>
    <n v="0.11699997406616586"/>
  </r>
  <r>
    <n v="1608"/>
    <s v="9b9602a0-2fd0-4a2e-be3a-de02542e3286"/>
    <x v="0"/>
    <x v="1"/>
    <x v="9"/>
    <s v="в аренде"/>
    <s v="консолидация кредитов"/>
    <n v="76670"/>
    <n v="0"/>
    <n v="1168044"/>
    <n v="6487.17"/>
    <n v="16.2"/>
    <n v="38"/>
    <n v="6"/>
    <n v="24890"/>
    <n v="48444"/>
    <n v="0"/>
    <n v="-1.3261047467117741"/>
    <n v="0"/>
    <n v="0.43181818181818182"/>
    <n v="0.11904761904761904"/>
    <n v="0"/>
    <n v="97337"/>
    <n v="6.6646496193636537E-2"/>
  </r>
  <r>
    <n v="182"/>
    <s v="51fcba2d-c634-4e05-ba0f-9d1b3e2e70a5"/>
    <x v="1"/>
    <x v="1"/>
    <x v="10"/>
    <s v="в аренде"/>
    <s v="иное"/>
    <n v="25806"/>
    <n v="685"/>
    <n v="742976"/>
    <n v="6377.16"/>
    <n v="7.1"/>
    <n v="35"/>
    <n v="5"/>
    <n v="8189"/>
    <n v="47432"/>
    <n v="0"/>
    <n v="-1.6156877865577701"/>
    <n v="0.91211717709720375"/>
    <n v="0.39772727272727271"/>
    <n v="9.5238095238095233E-2"/>
    <n v="0"/>
    <n v="61914.666666666664"/>
    <n v="0.10299918166939444"/>
  </r>
  <r>
    <n v="612"/>
    <s v="f81be240-d5ea-440b-a95f-199a845d66e8"/>
    <x v="0"/>
    <x v="1"/>
    <x v="6"/>
    <s v="в собственности"/>
    <s v="консолидация кредитов"/>
    <n v="131538"/>
    <n v="0"/>
    <n v="1168044"/>
    <n v="15833.08"/>
    <n v="14.5"/>
    <n v="35.265240640000002"/>
    <n v="12"/>
    <n v="35549"/>
    <n v="46068"/>
    <n v="0"/>
    <n v="-1.0137258101304962"/>
    <n v="0"/>
    <n v="0.40074137090909095"/>
    <n v="0.26190476190476192"/>
    <n v="0"/>
    <n v="97337"/>
    <n v="0.16266250243997657"/>
  </r>
  <r>
    <n v="1317"/>
    <s v="da832d82-ba12-4be1-a2c9-944bfa59c9dd"/>
    <x v="0"/>
    <x v="1"/>
    <x v="0"/>
    <s v="в аренде"/>
    <s v="консолидация кредитов"/>
    <n v="108064"/>
    <n v="715"/>
    <n v="563844"/>
    <n v="5920.21"/>
    <n v="9.4"/>
    <n v="47"/>
    <n v="3"/>
    <n v="37753"/>
    <n v="45034"/>
    <n v="0"/>
    <n v="-1.1473698860455819"/>
    <n v="0.95206391478029295"/>
    <n v="0.53409090909090906"/>
    <n v="4.7619047619047616E-2"/>
    <n v="0"/>
    <n v="46987"/>
    <n v="0.1259967650626769"/>
  </r>
  <r>
    <n v="1487"/>
    <s v="c6572bf6-9c30-46d1-8ce6-bce9dc55b9f2"/>
    <x v="0"/>
    <x v="1"/>
    <x v="3"/>
    <s v="в аренде"/>
    <s v="консолидация кредитов"/>
    <n v="215798"/>
    <n v="0"/>
    <n v="1168044"/>
    <n v="3091.87"/>
    <n v="16"/>
    <n v="35.265240640000002"/>
    <n v="2"/>
    <n v="33535"/>
    <n v="43186"/>
    <n v="0"/>
    <n v="-0.53400996125066713"/>
    <n v="0"/>
    <n v="0.40074137090909095"/>
    <n v="2.3809523809523808E-2"/>
    <n v="0"/>
    <n v="97337"/>
    <n v="3.1764591059925823E-2"/>
  </r>
  <r>
    <n v="1077"/>
    <s v="8837e9f1-de9e-43fb-86ac-9f7540c1d7ac"/>
    <x v="0"/>
    <x v="1"/>
    <x v="1"/>
    <s v="в ипотеке"/>
    <s v="консолидация кредитов"/>
    <n v="104390"/>
    <n v="739"/>
    <n v="1059497"/>
    <n v="3920.08"/>
    <n v="39.4"/>
    <n v="35.265240640000002"/>
    <n v="4"/>
    <n v="25536"/>
    <n v="42856"/>
    <n v="1"/>
    <n v="-1.1682870000829009"/>
    <n v="0.98402130492676432"/>
    <n v="0.40074137090909095"/>
    <n v="7.1428571428571425E-2"/>
    <n v="0.14285714285714285"/>
    <n v="88291.416666666672"/>
    <n v="4.4399332890985056E-2"/>
  </r>
  <r>
    <n v="1295"/>
    <s v="bba9601f-b719-4b29-a1ab-649a2b60fa6f"/>
    <x v="0"/>
    <x v="1"/>
    <x v="3"/>
    <s v="в аренде"/>
    <s v="консолидация кредитов"/>
    <n v="40524"/>
    <n v="0"/>
    <n v="1168044"/>
    <n v="6611.24"/>
    <n v="11"/>
    <n v="3"/>
    <n v="6"/>
    <n v="14478"/>
    <n v="40524"/>
    <n v="0"/>
    <n v="-1.5318940782286303"/>
    <n v="0"/>
    <n v="3.4090909090909088E-2"/>
    <n v="0.11904761904761904"/>
    <n v="0"/>
    <n v="97337"/>
    <n v="6.7921139957056412E-2"/>
  </r>
  <r>
    <n v="1208"/>
    <s v="ae282cf8-130f-4d22-8165-0183b843543c"/>
    <x v="0"/>
    <x v="1"/>
    <x v="5"/>
    <s v="в аренде"/>
    <s v="иное"/>
    <n v="67276"/>
    <n v="0"/>
    <n v="1168044"/>
    <n v="402.8"/>
    <n v="17.100000000000001"/>
    <n v="46"/>
    <n v="16"/>
    <n v="16283"/>
    <n v="38104"/>
    <n v="0"/>
    <n v="-1.3795874275137812"/>
    <n v="0"/>
    <n v="0.52272727272727271"/>
    <n v="0.35714285714285715"/>
    <n v="0"/>
    <n v="97337"/>
    <n v="4.1382002732773763E-3"/>
  </r>
  <r>
    <n v="230"/>
    <s v="9f11cce9-12a9-48ff-a776-62aa7f6beebf"/>
    <x v="0"/>
    <x v="1"/>
    <x v="0"/>
    <s v="в аренде"/>
    <s v="иное"/>
    <n v="309594.52439999999"/>
    <n v="724"/>
    <n v="687420"/>
    <n v="6530.49"/>
    <n v="11.1"/>
    <n v="49"/>
    <n v="4"/>
    <n v="18715"/>
    <n v="37620"/>
    <n v="0"/>
    <n v="-1.2411115481956205E-10"/>
    <n v="0.96404793608521966"/>
    <n v="0.55681818181818177"/>
    <n v="7.1428571428571425E-2"/>
    <n v="0"/>
    <n v="57285"/>
    <n v="0.11399999999999999"/>
  </r>
  <r>
    <n v="1744"/>
    <s v="23c9fb16-14b9-403b-a1b7-6a6f53e3acdb"/>
    <x v="1"/>
    <x v="0"/>
    <x v="3"/>
    <s v="в аренде"/>
    <s v="консолидация кредитов"/>
    <n v="71258"/>
    <n v="722"/>
    <n v="719549"/>
    <n v="12592.06"/>
    <n v="16.3"/>
    <n v="35.265240640000002"/>
    <n v="7"/>
    <n v="27569"/>
    <n v="37290"/>
    <n v="1"/>
    <n v="-1.3569167829583637"/>
    <n v="0.96138482023968042"/>
    <n v="0.40074137090909095"/>
    <n v="0.14285714285714285"/>
    <n v="0.14285714285714285"/>
    <n v="59962.416666666664"/>
    <n v="0.2099992078371313"/>
  </r>
  <r>
    <n v="403"/>
    <s v="3d31b81f-ea84-4e18-8b0d-2027e26a4ca4"/>
    <x v="0"/>
    <x v="1"/>
    <x v="8"/>
    <s v="в аренде"/>
    <s v="иное"/>
    <n v="90112"/>
    <n v="0"/>
    <n v="1168044"/>
    <n v="13879.88"/>
    <n v="13.1"/>
    <n v="11"/>
    <n v="3"/>
    <n v="304"/>
    <n v="32780"/>
    <n v="1"/>
    <n v="-1.2495756648147569"/>
    <n v="0"/>
    <n v="0.125"/>
    <n v="4.7619047619047616E-2"/>
    <n v="0.14285714285714285"/>
    <n v="97337"/>
    <n v="0.14259613507710325"/>
  </r>
  <r>
    <n v="1930"/>
    <s v="c02351cb-9530-4340-b05f-8621040428f9"/>
    <x v="0"/>
    <x v="1"/>
    <x v="0"/>
    <s v="в ипотеке"/>
    <s v="консолидация кредитов"/>
    <n v="99616"/>
    <n v="741"/>
    <n v="1926467"/>
    <n v="10964.71"/>
    <n v="22"/>
    <n v="0"/>
    <n v="6"/>
    <n v="22515"/>
    <n v="30316"/>
    <n v="0"/>
    <n v="-1.1954667231134291"/>
    <n v="0.98668442077230356"/>
    <n v="0"/>
    <n v="0.11904761904761904"/>
    <n v="0"/>
    <n v="160538.91666666666"/>
    <n v="6.8299389504206401E-2"/>
  </r>
  <r>
    <n v="672"/>
    <s v="dc696953-fa56-4593-9a55-0b3a15c837b2"/>
    <x v="0"/>
    <x v="0"/>
    <x v="0"/>
    <s v="в ипотеке"/>
    <s v="ремонт жилья"/>
    <n v="209462"/>
    <n v="669"/>
    <n v="1828009"/>
    <n v="29400.6"/>
    <n v="17"/>
    <n v="35.265240640000002"/>
    <n v="7"/>
    <n v="23028"/>
    <n v="28666"/>
    <n v="1"/>
    <n v="-0.57008258905155251"/>
    <n v="0.89081225033288947"/>
    <n v="0.40074137090909095"/>
    <n v="0.14285714285714285"/>
    <n v="0.14285714285714285"/>
    <n v="152334.08333333334"/>
    <n v="0.19300080032428721"/>
  </r>
  <r>
    <n v="1827"/>
    <s v="1c12fa16-9788-4efd-81ff-58aa00de59da"/>
    <x v="1"/>
    <x v="1"/>
    <x v="5"/>
    <s v="в аренде"/>
    <s v="иное"/>
    <n v="44660"/>
    <n v="715"/>
    <n v="867749"/>
    <n v="7672.39"/>
    <n v="11"/>
    <n v="35.265240640000002"/>
    <n v="5"/>
    <n v="16986"/>
    <n v="22330"/>
    <n v="0"/>
    <n v="-1.5083466684141635"/>
    <n v="0.95206391478029295"/>
    <n v="0.40074137090909095"/>
    <n v="9.5238095238095233E-2"/>
    <n v="0"/>
    <n v="72312.416666666672"/>
    <n v="0.10610058899520483"/>
  </r>
  <r>
    <n v="1223"/>
    <s v="48558568-496f-437f-b04b-6a99d8390fc3"/>
    <x v="0"/>
    <x v="1"/>
    <x v="5"/>
    <s v="в аренде"/>
    <s v="крупная покупка"/>
    <n v="21824"/>
    <n v="748"/>
    <n v="622041"/>
    <n v="6163.6"/>
    <n v="15"/>
    <n v="35.265240640000002"/>
    <n v="6"/>
    <n v="15333"/>
    <n v="21824"/>
    <n v="0"/>
    <n v="-1.6383584311131878"/>
    <n v="0.99600532623169102"/>
    <n v="0.40074137090909095"/>
    <n v="0.11904761904761904"/>
    <n v="0"/>
    <n v="51836.75"/>
    <n v="0.11890405937872263"/>
  </r>
  <r>
    <n v="250"/>
    <s v="fedd8518-ead5-4392-ba6a-78707a75a5c6"/>
    <x v="0"/>
    <x v="1"/>
    <x v="10"/>
    <s v="в ипотеке"/>
    <s v="консолидация кредитов"/>
    <n v="309594.52439999999"/>
    <n v="735"/>
    <n v="1520608"/>
    <n v="20376.169999999998"/>
    <n v="17.8"/>
    <n v="35.265240640000002"/>
    <n v="4"/>
    <n v="12084"/>
    <n v="19800"/>
    <n v="0"/>
    <n v="-1.2411115481956205E-10"/>
    <n v="0.97869507323568572"/>
    <n v="0.40074137090909095"/>
    <n v="7.1428571428571425E-2"/>
    <n v="0"/>
    <n v="126717.33333333333"/>
    <n v="0.16080017992802878"/>
  </r>
  <r>
    <n v="1240"/>
    <s v="187eb9b2-aaec-4360-8a20-195d00a39cb8"/>
    <x v="0"/>
    <x v="1"/>
    <x v="3"/>
    <s v="в собственности"/>
    <s v="расходы на обучение"/>
    <n v="309594.52439999999"/>
    <n v="734"/>
    <n v="456589"/>
    <n v="4489.8900000000003"/>
    <n v="19.600000000000001"/>
    <n v="35.265240640000002"/>
    <n v="8"/>
    <n v="2907"/>
    <n v="13222"/>
    <n v="0"/>
    <n v="-1.2411115481956205E-10"/>
    <n v="0.9773635153129161"/>
    <n v="0.40074137090909095"/>
    <n v="0.16666666666666666"/>
    <n v="0"/>
    <n v="38049.083333333336"/>
    <n v="0.11800258000083226"/>
  </r>
  <r>
    <n v="363"/>
    <s v="f48c2e72-a017-483f-8bd2-c260d081cbee"/>
    <x v="0"/>
    <x v="1"/>
    <x v="0"/>
    <s v="в аренде"/>
    <s v="иное"/>
    <n v="43318"/>
    <n v="708"/>
    <n v="897769"/>
    <n v="7391.57"/>
    <n v="17.899999999999999"/>
    <n v="35.265240640000002"/>
    <n v="2"/>
    <n v="3382"/>
    <n v="4334"/>
    <n v="0"/>
    <n v="-1.5159870513858789"/>
    <n v="0.94274300932090549"/>
    <n v="0.40074137090909095"/>
    <n v="2.3809523809523808E-2"/>
    <n v="0"/>
    <n v="74814.083333333328"/>
    <n v="9.8799178853357608E-2"/>
  </r>
  <r>
    <n v="270"/>
    <s v="6c23d05e-c604-4b43-a6cb-7a0e44bad670"/>
    <x v="0"/>
    <x v="1"/>
    <x v="1"/>
    <s v="в ипотеке"/>
    <s v="свадьба"/>
    <n v="309594.52439999999"/>
    <n v="746"/>
    <n v="456646"/>
    <n v="2481.02"/>
    <n v="18.8"/>
    <n v="56"/>
    <n v="5"/>
    <n v="0"/>
    <n v="0"/>
    <n v="0"/>
    <n v="-1.2411115481956205E-10"/>
    <n v="0.99334221038615178"/>
    <n v="0.63636363636363635"/>
    <n v="9.5238095238095233E-2"/>
    <n v="0"/>
    <n v="38053.833333333336"/>
    <n v="6.5197636681368062E-2"/>
  </r>
  <r>
    <n v="870"/>
    <s v="b4689e6e-45f0-42ab-9ff8-61dc0b02f3f8"/>
    <x v="0"/>
    <x v="1"/>
    <x v="5"/>
    <s v="в аренде"/>
    <s v="иное"/>
    <n v="117722"/>
    <n v="0"/>
    <n v="1168044"/>
    <n v="19875.52"/>
    <n v="12"/>
    <n v="4"/>
    <n v="11"/>
    <n v="0"/>
    <n v="0"/>
    <n v="0"/>
    <n v="-1.0923841790852047"/>
    <n v="0"/>
    <n v="4.5454545454545456E-2"/>
    <n v="0.23809523809523808"/>
    <n v="0"/>
    <n v="97337"/>
    <n v="0.20419285574858481"/>
  </r>
  <r>
    <n v="1136"/>
    <s v="38db54a0-5206-41c8-b730-9bc412f82f4b"/>
    <x v="0"/>
    <x v="1"/>
    <x v="8"/>
    <s v="в аренде"/>
    <s v="консолидация кредитов"/>
    <n v="67342"/>
    <n v="0"/>
    <n v="1168044"/>
    <n v="9884.3700000000008"/>
    <n v="19.7"/>
    <n v="20"/>
    <n v="4"/>
    <n v="11552"/>
    <n v="0"/>
    <n v="0"/>
    <n v="-1.3792116709741886"/>
    <n v="0"/>
    <n v="0.22727272727272727"/>
    <n v="7.1428571428571425E-2"/>
    <n v="0"/>
    <n v="97337"/>
    <n v="0.10154792113995706"/>
  </r>
  <r>
    <n v="1155"/>
    <s v="438488f1-7f32-4f99-9647-831ce785efae"/>
    <x v="0"/>
    <x v="1"/>
    <x v="0"/>
    <s v="в ипотеке"/>
    <s v="бизнес"/>
    <n v="220726"/>
    <n v="0"/>
    <n v="1168044"/>
    <n v="1120.24"/>
    <n v="16"/>
    <n v="18"/>
    <n v="4"/>
    <n v="0"/>
    <n v="0"/>
    <n v="0"/>
    <n v="-0.50595347296108972"/>
    <n v="0"/>
    <n v="0.20454545454545456"/>
    <n v="7.1428571428571425E-2"/>
    <n v="0"/>
    <n v="97337"/>
    <n v="1.1508881514737458E-2"/>
  </r>
  <r>
    <n v="1229"/>
    <s v="17baf7de-35aa-4755-90d7-fffc1eaeff3a"/>
    <x v="0"/>
    <x v="1"/>
    <x v="1"/>
    <s v="в ипотеке"/>
    <s v="иное"/>
    <n v="112508"/>
    <n v="746"/>
    <n v="2055515"/>
    <n v="5549.9"/>
    <n v="20.3"/>
    <n v="35.265240640000002"/>
    <n v="10"/>
    <n v="0"/>
    <n v="0"/>
    <n v="0"/>
    <n v="-1.1220689457130164"/>
    <n v="0.99334221038615178"/>
    <n v="0.40074137090909095"/>
    <n v="0.21428571428571427"/>
    <n v="0"/>
    <n v="171292.91666666666"/>
    <n v="3.2400055460553683E-2"/>
  </r>
  <r>
    <n v="1243"/>
    <s v="47110b7f-da2c-4574-a1cf-dd1ea84ce804"/>
    <x v="0"/>
    <x v="1"/>
    <x v="5"/>
    <s v="в аренде"/>
    <s v="иное"/>
    <n v="334290"/>
    <n v="0"/>
    <n v="1168044"/>
    <n v="10826.39"/>
    <n v="15.4"/>
    <n v="35.265240640000002"/>
    <n v="12"/>
    <n v="0"/>
    <n v="0"/>
    <n v="0"/>
    <n v="0.14059827949783416"/>
    <n v="0"/>
    <n v="0.40074137090909095"/>
    <n v="0.26190476190476192"/>
    <n v="0"/>
    <n v="97337"/>
    <n v="0.11122584423189537"/>
  </r>
  <r>
    <n v="1350"/>
    <s v="755a116f-d5b7-40fb-b8f0-583c9b52cabc"/>
    <x v="0"/>
    <x v="0"/>
    <x v="0"/>
    <s v="в ипотеке"/>
    <s v="приобретение автомобиля"/>
    <n v="287386"/>
    <n v="705"/>
    <n v="700967"/>
    <n v="34.96"/>
    <n v="6.5"/>
    <n v="35.265240640000002"/>
    <n v="5"/>
    <n v="38"/>
    <n v="0"/>
    <n v="1"/>
    <n v="-0.12643936797260863"/>
    <n v="0.93874833555259651"/>
    <n v="0.40074137090909095"/>
    <n v="9.5238095238095233E-2"/>
    <n v="0.14285714285714285"/>
    <n v="58413.916666666664"/>
    <n v="5.9848751795733607E-4"/>
  </r>
  <r>
    <n v="1680"/>
    <s v="0f606a5d-9a63-4f00-8415-9d6cad41e08f"/>
    <x v="0"/>
    <x v="1"/>
    <x v="3"/>
    <s v="в ипотеке"/>
    <s v="иное"/>
    <n v="32406"/>
    <n v="732"/>
    <n v="1586253"/>
    <n v="10204.9"/>
    <n v="21.9"/>
    <n v="10"/>
    <n v="4"/>
    <n v="0"/>
    <n v="0"/>
    <n v="0"/>
    <n v="-1.5781121325985146"/>
    <n v="0.97470039946737685"/>
    <n v="0.11363636363636363"/>
    <n v="7.1428571428571425E-2"/>
    <n v="0"/>
    <n v="132187.75"/>
    <n v="7.7200043120485826E-2"/>
  </r>
  <r>
    <n v="1814"/>
    <s v="d6c644f0-2da9-4fd6-bf82-c9e1a1d4157f"/>
    <x v="0"/>
    <x v="1"/>
    <x v="3"/>
    <s v="в аренде"/>
    <s v="консолидация кредитов"/>
    <n v="129514"/>
    <n v="0"/>
    <n v="1168044"/>
    <n v="310.64999999999998"/>
    <n v="10.4"/>
    <n v="22"/>
    <n v="6"/>
    <n v="0"/>
    <n v="0"/>
    <n v="0"/>
    <n v="-1.0252490106780014"/>
    <n v="0"/>
    <n v="0.25"/>
    <n v="0.11904761904761904"/>
    <n v="0"/>
    <n v="97337"/>
    <n v="3.1914893617021275E-3"/>
  </r>
  <r>
    <n v="1986"/>
    <s v="cc4bd6b1-d485-4bad-ad6b-f856fa20f2d1"/>
    <x v="0"/>
    <x v="1"/>
    <x v="3"/>
    <s v="в собственности"/>
    <s v="бизнес"/>
    <n v="388168"/>
    <n v="693"/>
    <n v="1042929"/>
    <n v="0"/>
    <n v="19.8"/>
    <n v="35.265240640000002"/>
    <n v="2"/>
    <n v="0"/>
    <n v="0"/>
    <n v="0"/>
    <n v="0.4473408679852236"/>
    <n v="0.92276964047936083"/>
    <n v="0.40074137090909095"/>
    <n v="2.3809523809523808E-2"/>
    <n v="0"/>
    <n v="86910.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ABFA7-9FBF-8C48-9AB3-BBE6BD394AA3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8" firstHeaderRow="1" firstDataRow="1" firstDataCol="1"/>
  <pivotFields count="24"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12">
        <item x="5"/>
        <item x="7"/>
        <item x="1"/>
        <item x="3"/>
        <item x="6"/>
        <item x="0"/>
        <item x="2"/>
        <item x="8"/>
        <item x="9"/>
        <item x="10"/>
        <item x="4"/>
        <item t="default"/>
      </items>
    </pivotField>
    <pivotField showAll="0"/>
    <pivotField showAll="0"/>
    <pivotField numFmtId="164" showAll="0"/>
    <pivotField numFmtId="2" showAll="0"/>
    <pivotField numFmtId="2" showAll="0"/>
    <pivotField numFmtId="2" showAll="0"/>
    <pivotField numFmtId="2" showAll="0"/>
    <pivotField numFmtId="165"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2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Количество по полю Стаж работы на текущем месте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AC5B3-E57E-B643-A6F8-FE28D0F08A1F}" name="Таблица1" displayName="Таблица1" ref="A1:X2001" totalsRowShown="0">
  <autoFilter ref="A1:X2001" xr:uid="{4FFAC5B3-E57E-B643-A6F8-FE28D0F08A1F}"/>
  <sortState xmlns:xlrd2="http://schemas.microsoft.com/office/spreadsheetml/2017/richdata2" ref="A2:Q2001">
    <sortCondition descending="1" ref="P1:P2001"/>
  </sortState>
  <tableColumns count="24">
    <tableColumn id="1" xr3:uid="{685AD75B-ED7E-2C4A-9E15-18F02D5591B5}" name="Номер  договора"/>
    <tableColumn id="2" xr3:uid="{29E87CD7-5042-F141-868E-9F3767945D8F}" name="Идентификатор клиента"/>
    <tableColumn id="3" xr3:uid="{F18C2A38-B4A5-004E-9F2F-5E4BEB10A5FF}" name="Статус кредита"/>
    <tableColumn id="5" xr3:uid="{DB6339B0-BD12-D349-A053-71DC1DBEB73A}" name="Срок кредита"/>
    <tableColumn id="8" xr3:uid="{C381040E-1EDB-544A-BDDD-D901E8FF34E3}" name="Стаж работы на текущем месте"/>
    <tableColumn id="9" xr3:uid="{F0BDADC6-C603-5A41-BB0C-3538D3A3100D}" name="Недвижимость"/>
    <tableColumn id="10" xr3:uid="{F9933EBF-36A2-DF43-93F8-72C9FF03BDCD}" name="Цель кредита"/>
    <tableColumn id="18" xr3:uid="{F5879299-83C1-FA4E-A531-D57373D4A706}" name="Размер кредита" dataDxfId="16"/>
    <tableColumn id="19" xr3:uid="{148FE074-A661-4E4C-B125-C9208B9A6215}" name="Кредитный рейтинг" dataDxfId="15"/>
    <tableColumn id="20" xr3:uid="{4CF0CAAE-DF99-ED4B-84E5-82FE8D996A9B}" name="Годовой доход" dataDxfId="14"/>
    <tableColumn id="11" xr3:uid="{C8B72E55-5B69-8243-8AEF-535C121DA388}" name="Ежемесячный платеж" dataDxfId="13"/>
    <tableColumn id="12" xr3:uid="{C1DB6EFF-088D-0A41-BEB7-60552689B17E}" name="Срок кредитной истории (лет)" dataDxfId="12"/>
    <tableColumn id="13" xr3:uid="{6DCA928C-0528-0740-B385-906AC3DDAA70}" name="Срок с последнего нарушения кредитного договора (мес,)" dataDxfId="11"/>
    <tableColumn id="14" xr3:uid="{7DAD60DC-6EE2-6347-BDF0-05CB05CF49B7}" name="Количество кредитных карт" dataDxfId="10"/>
    <tableColumn id="15" xr3:uid="{D5F1DB3D-B5BE-0E4A-AD90-CB8E4A3E7971}" name="Текущий баланс кредитов" dataDxfId="9"/>
    <tableColumn id="16" xr3:uid="{4B6A53A0-6333-7D49-8074-3F0D31B2462B}" name="Максимальный выданный кредит" dataDxfId="8"/>
    <tableColumn id="17" xr3:uid="{C7939C50-9EF8-C245-A44F-92611ABCC306}" name="Число нарушений кредитных договоров" dataDxfId="7"/>
    <tableColumn id="4" xr3:uid="{57CAF277-D149-EE4F-9B0D-14F0CC997332}" name="Z РК" dataDxfId="4">
      <calculatedColumnFormula>(Таблица1[Размер кредита]-$AA$2)/$AA$3</calculatedColumnFormula>
    </tableColumn>
    <tableColumn id="6" xr3:uid="{B04B5AEB-6739-2946-B1D4-BEFA8A4F49AD}" name="min max КР" dataDxfId="6">
      <calculatedColumnFormula>(Таблица1[Кредитный рейтинг]-$AA$7)/($AA$8-$AA$7)</calculatedColumnFormula>
    </tableColumn>
    <tableColumn id="7" xr3:uid="{0F10108D-60DB-504E-AF90-8750460DF608}" name="min max Посл нар" dataDxfId="5">
      <calculatedColumnFormula>(Таблица1[Срок с последнего нарушения кредитного договора (мес,)]-$AA$12)/($AA$13-$AA$12)</calculatedColumnFormula>
    </tableColumn>
    <tableColumn id="21" xr3:uid="{50CC0837-7A63-1340-9B7B-74A8DC10D634}" name="min max Кол кр карт" dataDxfId="1">
      <calculatedColumnFormula>(Таблица1[Количество кредитных карт]-$AA$18)/($AA$19-$AA$18)</calculatedColumnFormula>
    </tableColumn>
    <tableColumn id="22" xr3:uid="{250C841D-7B10-B441-BFF7-FF0E510D09FE}" name="min max Число нар кред дог" dataDxfId="0">
      <calculatedColumnFormula>(Таблица1[Число нарушений кредитных договоров]-$AA$23)/($AA$24-$AA$23)</calculatedColumnFormula>
    </tableColumn>
    <tableColumn id="23" xr3:uid="{A1C6B10D-7AE2-A741-8B8E-BEA43E45DB7A}" name="Ежем доход" dataDxfId="2">
      <calculatedColumnFormula>Таблица1[[#This Row],[Годовой доход]]/12</calculatedColumnFormula>
    </tableColumn>
    <tableColumn id="24" xr3:uid="{D7A7A306-7231-7C42-9456-3F9C866CD07E}" name="Доля ежем плат/ежем доход" dataDxfId="3">
      <calculatedColumnFormula>Таблица1[[#This Row],[Ежемесячный платеж]]/Таблица1[[#This Row],[Ежем доход]]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4EDC-1DCD-1946-B41B-5C473E329968}">
  <dimension ref="A1:AN2001"/>
  <sheetViews>
    <sheetView topLeftCell="V19" zoomScale="84" workbookViewId="0">
      <selection activeCell="AI58" sqref="AI58"/>
    </sheetView>
  </sheetViews>
  <sheetFormatPr baseColWidth="10" defaultRowHeight="16" x14ac:dyDescent="0.2"/>
  <cols>
    <col min="2" max="2" width="19.83203125" customWidth="1"/>
    <col min="4" max="4" width="16.83203125" customWidth="1"/>
    <col min="6" max="6" width="17.1640625" customWidth="1"/>
    <col min="7" max="7" width="29.5" customWidth="1"/>
    <col min="8" max="8" width="25" customWidth="1"/>
    <col min="9" max="9" width="19.1640625" customWidth="1"/>
    <col min="10" max="10" width="29.5" style="3" customWidth="1"/>
    <col min="11" max="11" width="18" customWidth="1"/>
    <col min="12" max="12" width="16.6640625" style="3" customWidth="1"/>
    <col min="13" max="13" width="16" style="3" customWidth="1"/>
    <col min="16" max="16" width="14.6640625" customWidth="1"/>
    <col min="17" max="17" width="17.5" style="10" customWidth="1"/>
    <col min="27" max="27" width="12.6640625" bestFit="1" customWidth="1"/>
    <col min="29" max="29" width="28.83203125" customWidth="1"/>
    <col min="30" max="30" width="15.33203125" customWidth="1"/>
    <col min="31" max="31" width="16" customWidth="1"/>
    <col min="32" max="32" width="17.6640625" customWidth="1"/>
    <col min="34" max="34" width="15.1640625" customWidth="1"/>
    <col min="35" max="35" width="16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9</v>
      </c>
      <c r="H1" s="1" t="s">
        <v>3</v>
      </c>
      <c r="I1" t="s">
        <v>5</v>
      </c>
      <c r="J1" s="3" t="s">
        <v>6</v>
      </c>
      <c r="K1" t="s">
        <v>10</v>
      </c>
      <c r="L1" s="2" t="s">
        <v>11</v>
      </c>
      <c r="M1" s="7" t="s">
        <v>12</v>
      </c>
      <c r="N1" s="3" t="s">
        <v>13</v>
      </c>
      <c r="O1" s="3" t="s">
        <v>14</v>
      </c>
      <c r="P1" s="3" t="s">
        <v>15</v>
      </c>
      <c r="Q1" s="10" t="s">
        <v>16</v>
      </c>
      <c r="R1" t="s">
        <v>2075</v>
      </c>
      <c r="S1" t="s">
        <v>2065</v>
      </c>
      <c r="T1" t="s">
        <v>2066</v>
      </c>
      <c r="U1" t="s">
        <v>2067</v>
      </c>
      <c r="V1" t="s">
        <v>2068</v>
      </c>
      <c r="W1" t="s">
        <v>2072</v>
      </c>
      <c r="X1" t="s">
        <v>2073</v>
      </c>
      <c r="Z1" t="s">
        <v>2074</v>
      </c>
    </row>
    <row r="2" spans="1:40" x14ac:dyDescent="0.2">
      <c r="A2">
        <v>595</v>
      </c>
      <c r="B2" t="s">
        <v>636</v>
      </c>
      <c r="C2" t="s">
        <v>18</v>
      </c>
      <c r="D2" t="s">
        <v>29</v>
      </c>
      <c r="E2" t="s">
        <v>47</v>
      </c>
      <c r="F2" t="s">
        <v>21</v>
      </c>
      <c r="G2" t="s">
        <v>22</v>
      </c>
      <c r="H2" s="1">
        <v>777084</v>
      </c>
      <c r="I2" s="3">
        <v>725</v>
      </c>
      <c r="J2" s="3">
        <v>3355970</v>
      </c>
      <c r="K2" s="3">
        <v>26623.94</v>
      </c>
      <c r="L2" s="2">
        <v>26.7</v>
      </c>
      <c r="M2" s="11">
        <v>35.265240640000002</v>
      </c>
      <c r="N2" s="3">
        <v>13</v>
      </c>
      <c r="O2" s="3">
        <v>3276284</v>
      </c>
      <c r="P2" s="12">
        <v>145907344</v>
      </c>
      <c r="Q2" s="10">
        <v>0</v>
      </c>
      <c r="R2" s="3">
        <f>(Таблица1[Размер кредита]-$AA$2)/$AA$3</f>
        <v>2.661548903624289</v>
      </c>
      <c r="S2" s="3">
        <f>(Таблица1[Кредитный рейтинг]-$AA$7)/($AA$8-$AA$7)</f>
        <v>0.96537949400798939</v>
      </c>
      <c r="T2" s="3">
        <f>(Таблица1[Срок с последнего нарушения кредитного договора (мес,)]-$AA$12)/($AA$13-$AA$12)</f>
        <v>0.40074137090909095</v>
      </c>
      <c r="U2" s="3">
        <f>(Таблица1[Количество кредитных карт]-$AA$18)/($AA$19-$AA$18)</f>
        <v>0.2857142857142857</v>
      </c>
      <c r="V2" s="3">
        <f>(Таблица1[Число нарушений кредитных договоров]-$AA$23)/($AA$24-$AA$23)</f>
        <v>0</v>
      </c>
      <c r="W2" s="3">
        <f>Таблица1[[#This Row],[Годовой доход]]/12</f>
        <v>279664.16666666669</v>
      </c>
      <c r="X2" s="3">
        <f>Таблица1[[#This Row],[Ежемесячный платеж]]/Таблица1[[#This Row],[Ежем доход]]</f>
        <v>9.5199682953065717E-2</v>
      </c>
      <c r="Y2" s="3"/>
      <c r="Z2" s="3" t="s">
        <v>2049</v>
      </c>
      <c r="AA2" s="3">
        <f>AVERAGE(Таблица1[Размер кредита])</f>
        <v>309594.52442179958</v>
      </c>
      <c r="AB2" s="3"/>
      <c r="AC2" s="3" t="str">
        <f>_xlfn.CONCAT(Таблица1[Ежемесячный платеж])</f>
        <v>26623,9415112,986681,542744,7448278,6235438,9944033,4532114,1821330,9213556,6916066,0215649,9245989,1252501,5634180,4321323,3223848,2323913,979916,6748758,5623347,5858829,1327360,193174911100,1835325,5639956,4352262,1616742,4253747,9631384,7732008,7314310,9931585,2221486,7224017,5248798,0836329,1413623,7612955,9114873,3972600,7172600,7112209,0214210,8618384,976499,526497,0519038,952147010125,6716325,9417612,245780,9424720,3311249,5222625,3931104,938843,2216403,656339,5425834,4924159,8319798,9515582,4715365,6821546,3833349,1819869,6335435,7635438,9932556,1248618,3436821,4312201,9932845,6840611,369758,486334,4813429,7730471,4419439,8526120,0613835,0423568,5536280,539443,4317759,328106,1313751,6326634,5830520,4616174,8951380,5638737,3910339,0434060,7331269,0626566,5625203,1228047,9941910,9617049,4621161,2543587,940386,9716130,4355072,8340670,6427960,2116398,910162,5330510,9639505,1814482,375130,3833331,138539,5520377,517788,1814248,6722161,2225158,6614561,9844632,5232513,9449576,1326641,2322659,5923249,7375878,0231800,6857414,7725635,7525109,269393,9836388,615103414069,1223172,2126718,7530587,7223639,845745,739111,8310988,8416718,132850,2432910,8520339,889454,9729477,3624064,6429207,1813962,1522252,4230738,7718060,0734099,1131635,9522863,8410348,1614687,1911932,9551409,0644228,222574,8522936,829015,8514277,1727394,0138760,3814971,0518215,326201,5731694,2839551,5417517,6218527,6631308,9625737,0219997,8821153,0821072,7121410,5316276,7319879,516547,9711149,234189,7435492,1914679,9726098,9726150,6570936,8840593,8818706,6424392,9627369,698120,0340685,8444086,6519164,3526053,378144,7325198,9433299,7817232,4323852,4119467,7814170,3924184,1535824,6915758,623640,1851657,3914639,3117265,335945,537209,9338328,137577,9636594,5718297,576652,4715284,3635993,2229373,2424306,710420,3620351,4720066,6640566,1422168,8233396,334869,7535221,0635757,2421900,3522667,3814223,5918969,2242774,8917499,9513288,7919980,0231257,6624808,4938406,4113429,9628147,9338795,7219700,5330016,7716196,7419627,5715730,8627126,1123263,4163459,8119131,6727553,814080,3317933,159805,338477,2350414,0316127,9612886,7518759,2719510,9134714,919750,8816714,4920813,3639277,7532041,2225768,3731855,2118291,684366,0112326,0622440,5217093,7312354,1814979,4113740,9954124,3537649,0720597,3313854,6112097,6820133,1613504,2521576,439159,9514957,5629459,533188,6312656,4734959,4327453,4824517,2214648,056644,4925413,0710387,4929985,815062,6315892,3615408,246269,2430189,4813593,1719006,6524997,5429528,6622747,3734895,7826698,2319164,5412536,0122303,1524073,9523242,739868,8414779,7213526,136331,844610,4825316,365646,2343246,2834679,1815429,912745,218931,0322684,142060,6823141,2451602,121047,448046,8818255,232079,615524,920566,5597671,0235960,9226717,23105676,4850902,1419793,4424095,6110572,9310273,8722845,2212964,4639286,6825186,2114541,0811060,668336,0629164,2440041,1733722,9133722,91439854398530122,2216919,129712,849482,0825132,8225150,324487,0127631,8971285,7215472,2721009,8215784,4426756,379243,513086,4430540,9813815,0912620,7549236,631756,9823384,6318479,5914806,1321714,1512284,453648025160,7526538,4456076,9825675,846419,3419953,9920287,4417740,8733295,9828543,718234,1125107,7417821,2414697,0717929,3566194,6728198,6617509,8339032,0828338,8830529,9612830,1312417,4520261,4120902,097522,2918249,6910970,2227851,3416331,8325030,2229800,3638903,0727372,9222817,2922612,4725222,520264,6416049,1118796,8915229,6440342,3242446,5724031,0121713,0120140,5715424,210356,3330443,1323390,3343449,7730159,848736,0159285,8911738,3940069,482478,5532810,1521386,416976,1219289,5618567,943389,4136247,0616713,9227549,623401,9519103,7431434,9312057,029758,48711,3118250,0724631,0335750,422404,4216719,2420947,126457,1527778,9517059,9114547,5432842,6426346,5459565,5710706,511364,8522999,6919149,157078,4513420,4624334,82201217783,1615002,2117985,419703,3814210,8610186,8520960,830532,8172357,895055,3312647,7332396,338522,8326944,0936613,7619056,8134806,15552,1812955,9124305,9412266,2129200,5335789,5432037,4219972,0433470,427015,5331560,5241396,2515633,227997,646324,159416,0213549,6649354,599163,5122632,9934662,6515804,3915793,3716279,220205,3610580,7221146,4313850,4313129,5719705,0913520,5925442,1410081,0214338,5420980,753407,0829348,9213605,719181,184956,3421678,8114783,92459,3611733,0715112,9824732,4926959,4823782,114044,156988,9619174,4229879,2117259,0326404,6830908,4411792,7318308,7836263,2124830,3447284,1628772,467925,2826428,6212205,624788,3517357,0717952,7250339,9325275,5136467,6536288,2923770,716852,5434339,6520890,8823913,0229611,6923336,751592228946,531506,3719049,0235360,1428916,2928304,317327,0528972,341242621601,4811681,3914977,5134006,5825515,869348,3824274,2129451,1422140,5110199,017883,4814293,8910066,5820001,318631,410884,917256,6724634,0715509,1318186,0432745,9313371,8227041,7510859,2612816,8314285,3435214,9811603,4938292,7923258,2828173,9622921,7935721,5235698,9117685,9623418,2641541,9821040,610894,9856924,7614511,8211653,8420821,3436405,917254,6615356,3718093,3239489,0310241,1921271,079317,2220686,4412581,4227693,4517466,5112702,2613052,2415110,5112442,1511831,1134711,2916305,828031,2723457,0221777,0427233,8427462,4121325,417535,7855460,0517820,120455,0216571,2311193,2812162,4711924,2120938,7614815,6321805,3513009,4924049,637426,1518437,987319,1810356,5228372,8928960,1852733,368622,7743383,8419689,76654,5624866,6310995,317931,8222228,8615878,8743371,6815069,0913624,5216121,8833090,2126568,4610307,6935242,9111529,395264,1453859,6820983,644290,7132346,3610035,0434123,6231668,4420496,2527204,0111959,3628240,6516925,5816577,8832264,856234,4718020,5517442,9516440,8910688,8328191,0625382,2918191,5534101,9630270,6111796,5313421,0310788,3911155,0917525,796774,6422659,7824199,3533542,67964,9952667,628204,3919010,837288,592933612452,612437,599819,233427,0825318,2618537,3542341,8823822,216963,226143,0518226,8914809,3619166,065396,383879,4223035,983749,8415783,4919423,74875,5927819,9967268444,7412209,2120161,475872,927653,5544746,338667,239417,5410577,4913137,3627029,7820328,486983,2613213,1711134,195993,5511593,4242985,2222443,9422870,8719264,676734,1720737,7417126,9812766,6719455,8123968,695823,696967,4920220,7518660,2811943,2120384,9133082,4224208,8522577,8915578,125319,596446,8916369,8321133,713815,2815266,59015,3129309,2110312,8219915,812697,728306,0127718,9118314,4822775,1123521,0520809,5628013,622145,8317562,0813225,5218049,2422218,0321378,818858,0715928,4611971,7111787,9816028,422233,2316913,9918723,1733888,2120942,5610381,622084,0828256,814317,2610948,9417758,5417111,434859,1125861,4711616,2269227,6415594,828246,9519790,415419,4519462,4615469,0415055,0310258,6722965,684193,117904,7626730,5320058,312697,5135197,1223202,813510,141536,7212067,6621371,964634,2927601,4915292,3412548,5513668,2216283,9538368,623213,8227573,9410037,719899,6549394,8718205,0424963,5319808,2639252,8623947,7914446,2714210,677691,0116836,0919039,7122532,8644601,7423688,6323995,124316,5841017,222990,1921405,9717479,6211443,8930547,8219339,726295,8424272,8820342,164186,8420074,8317454,358640,6319936,724384,9827688,3210855,088535,751130511849,5410777,3717560,375132,2814784,8533055,8215150,7921734,8612634,8117068,0820322,2114890,4912723,7324350,7815664,7416138,634582,478793,5815647,457781,8361932,0213455,9931323,2119941,4512946,7915959,0524632,558173,0426969,9313084,5416018,7128485,3716762,3727695,1616028,45857,1319934,041392717046,238092,4821494,8924198,594471,4613985,7122156,0921366,458974,2743610,717013,176074,318375,2820411,3215418,533590,129026,873988,6711883,7417447,8924978,929087,519007,98310,4131039,5412859,0122227,729088,466687,6235099,0818762,1237156,217444,222042,4730494,2420295,614957,4813400,718251,0230017,9117324,222256,4120657,5615157,0613202,1513090,4320987,7824229,9423133,8315627,8812962,9427729,7410515,176643,5448708,49034,1216083,8815321,2211670,7526778,416380,011367,2413806,9210547,4720897,7211211,7133528,5416937,7421872,0417928,2123643,7916986,1933088,528344,7725311,4218462,4924942,448708,659727,6217147,513314,639598,9912857,688468,878560,8330187,218626,2727731,8332214,8817054,598051,6319341,0533773,2629920,8219151,625652,887717,6118571,177548,8934328,6311816,2910126,816896,6218904,8113740,6126534,645742,1819247,1920639,78632,0812610,1117969,4416275,5921739,4216912,4723867,2328811,0315936,254077,9718403,418567,1820139,436551,26993,5213065,9219400,3310820,6912144,049857,3927004,3234876,9717317,5510571,415214,7413529,719391,8921347,8315034,895163,2519631,188831,0111702,869838,583265,5314537,0915258,935695,35850,126081,312417,6427409,975997,9213336,8623925,5619022,2315160,115493,3625612,5733315,1721790,3433879,8519574,9433020,8614099,3326718,188291,2231440,257020,6926012,928912,8726461,1117019,6313451,4348050,628836,915088,0915392,474285,456885,620322,789898,8125954,577989,6922259,837703,7424268,321441,1514965,928923,3513237,114100,219534,8522976,137204,9914561,2221508,7612226,511153,9511424,734803,257589,7422688,2819524,412942,9912712,7115657,3311157,378741,97313,119026,9818027,7713110,7617219,133900,512015,5219819,667128,89779,8714368,378300,9110135,3614207,6312203,1326681,3221511,4216540,833640,785390,1118114,4124123,3511868,1630290,186403,3826665,7416302,9513182,5814754,0714016,6813597,732499,6412381,3515089,4211671,5116141,6420213,725948,7115819,023987,914844,2410161,236822,958230,9925750,3222362,247943,525283,3321205,5218578,777990,838009,8325361,398966,6715202,661727111548,5812604,7918281,0416647,2324789,6812676,821499,456810,1717281,4510274,4415955,2518759,084406,2921876,9814482,568106,1620262,9345987794,7510895,178573,5611816,8625891,115313,735009,7311115,7612493,0725180,712942,9919127,689393,985281,2417412,9312604,9816460,082942,7212558,433207,7711380,248381,6630357,8220261,2218022,2610490,667562,1928061,296797,8219007,0319766,652647,6520717,796208,633782,528779,1420356,4118297,1911914,5212336,8926472,5116915,3226282,516882,184842,536874,0116960,5425254,9927504,028055,8140839,7413400,321035,3112270,7719358,1529680,283511,776065,7535627,0923737,8421976,736499,5221027,1127378,6219499,710103,4418487,3823935,6313529,5215165,2317952,7223014,322534,9814489,5923039,424079,4621353,1522060,5219207,2931683,8317336,7412934,254598,7611952,1415448,96880,669843,338492,6211816,133504,612937,86444625234,4719961,5914573472,158095,338001,475097,326524,9815042,116106,9817557,1414213,1426180,676119,1410688,8317297,2219353,028658,319418,9510514,7916964,916447,6511760,6213459,03184874446,199003,9118146,336837,9113392,724743,169280,9319568,489666,0612078,876395,7816050,6324835,0911435,9111691,279272,192868,6213036,2817958,4223483,2419190,19782818622,2813112,285094,0911384,617642,7511263,0137062,5421015,3315073,4618228,412015,912536,5817749,618597,1215752,5230879,5612696,1814893,9114025,0472588809,5412437,2120289,5313066,1111353,2610845,9611211,1410894,4114539,1822303,157684,7415465,4317698,316797,066147,643432,7314366,0913380,9414152,9120799,688615,9323619,4745129,5612567,368306,234925,374147714950,533987,9119247,1919189,6217811,362934,558903,9716652,744362,5926409,8112406,439271,8115648,597133,5512274,9511851,0611868,549439,964203,947870,186600,03712518562,241997,474314,335533,753785,3720639,139330,7110505,8620588,5926179,911326,0116590,232655,0615667,5921639,6719514,148031,118724,6135539,3115667,97281204428,144373,997349,0114341,39143649045,925060,0516014,539653,5217081,576654,7533694,0316029,5421087,7213740,9923842,5311762,1412745,5834693,2416367,7427715,1110855,089165,7958126,79193,7211978,5511371,8817864,1815253,0114379,773180,619299,639311,7110552,2213983,4316076,2822507,2116166,9116860,7914034,9213724,8420923,566938,0416279,7753902,246841,713811,973389,2212994,8613864,312301,9320940,2826895,833417,1516756,4818904,819725,534013,3711397,3418532,9813076,568711,1219931,3820251,155421,085679,299437,4916039,815457,072696,863504,5519115,1410075,5111155,4715483,13407,4615330,5311618,8814294,2718534,1217924,2219048,2622591,3831647,7325070,6914180,0814118,7120716,8412297,9415721,1714473,4413355,2910640,954160,0518310,491991,9613720,2813120,835075,286812,264742,413069,3414688,719117,345686,72813,7113659,6710396,428887,444372,6612334,234804,5315044,7723384,8223180,382970,4643296,632550,948346,327983,816457,89142,811168,5818704,5510853,9429257,912898,8316333,167573,5924796,717188,468046,885168,3813723,322411118949,8412324,3521782,367138,499761,258766,229890,2635051,0112000,5915638,5211770,125860,746331,569391,896224,599386,574450,9431765,7215434,083932,8121511,9922034,879075,733740,531797,977996,729391,136306,114656,617007,8513480,54368,6720644,071006,243763,5213817,1812521,767688,9211578,222498,54157,210683,1314341,7711690,1317344,727767,216464,0713312,9217908,0727881,932876,222876,2223772,86132,2524642,6218241,526441,196427,8919840,9415787,488655,4510778,1316120,172502,87946212863,577381,318777,2412947,9316852,819163,519325,3914902,6510799,228638,1612345,259271,8111446,7416349,8824860,746748,4215507,044156,0623172,785668,084506,86149,164996,8112808,2830511,726034,416454,5713227,0412202,3712721,6410135,3631721,266221,9315925,2310887,193848,076223,4522176,616885,628306,9625920,562982,6220002,4422559,0812757,5513949,6113398,0412798,591874,3511924,9723206,0319329,6511992,6110902,586014,8316891,5714096,18028,4514737,929692,855957,073333,939094,9212146,5119015,969442,4311048,3120424,8111009,552120,48850,9613103,353895,191497,3914034,168141,8820504,6117604,457503,8625581,989551,311385,564573,497352,625015,8123430,993409,749691,331668,392577,546180,1313548,1419505,0213412,8616350,2618040,59465,0414566,7317338,073132,5312472,9313646,378081,4619221,921144,563002,1911209,6211203,5425057,014799,43591,385027,5910936,2167218,396489,643404,9910567,4210025,1614126,6923693,9526965,753257,365758,143676,693676,695526,342795,287714,9513612,7429575,49702,5412352,6614675,65777,910847,4817005,1918199,158525,1113489,249942,3216395,12744,744665,8310718,6635583,7712721,076056,6311014,312981,7516289,089835,547113,0324725,0812719,3626074,273642,876543,795423,176969,394806,4320317,465770,6842500,1531023,5810570,6517224,0713118,7422944,593623,117107,5223814,981359,8322015,37957,777396,3212106,238780,4718388,587587,0810008,4410439,1722737,4910915,54013,1812778,264432,896953,6210057,0811894,5718706,648102,172970,469891,46872,6823172,0213618,8241434,0610730,068232,132976,7312111,364185,1311981,7817948,3519490,772290,2611439,3324455,6619816,0513603,4329465,584698,3230522,742289,129632,8110378,183508,73956,465958,2113402,031873,412259,189145,0844505,031704,872122,4912254,057625,4611389,553468,073339,4411293,228996,129041,342729,358739,0516246,7118171,985925,3413481,644753,997031,93936,810327,8310327,8313667,2710286,2216492,1910180,779476,638617,6413090,627380,1711711,616472,8114211,2411780,38162453433,4912491,1711807,171777,4515059,9714082,2310366,434305,8317751,76505,0313491,713127,212594,4522293,656885,799725,7212386,114597,133157,834469,615924,9611665,8118880,494184,1830975,5110637,3413780,511739,645679,112015,9818487,957795,8912255,3817084,812894,355522,1612280,4615139,218871,377660,234212,318240,957345,48381,8515152,884376,083070,9717407,86145,1719238,0717243,456914,8613568,668009,4521429,536487,176377,1615833,085920,213091,873920,086611,24402,86530,4912592,0613879,8810964,7129400,67672,396163,620376,174489,897391,572481,0219875,529884,371120,245549,910826,3934,9610204,9310,650</v>
      </c>
    </row>
    <row r="3" spans="1:40" x14ac:dyDescent="0.2">
      <c r="A3">
        <v>1900</v>
      </c>
      <c r="B3" t="s">
        <v>1936</v>
      </c>
      <c r="C3" t="s">
        <v>35</v>
      </c>
      <c r="D3" t="s">
        <v>19</v>
      </c>
      <c r="E3" t="s">
        <v>24</v>
      </c>
      <c r="F3" t="s">
        <v>21</v>
      </c>
      <c r="G3" t="s">
        <v>22</v>
      </c>
      <c r="H3" s="1">
        <v>326084</v>
      </c>
      <c r="I3" s="3">
        <v>0</v>
      </c>
      <c r="J3" s="3">
        <v>1168044</v>
      </c>
      <c r="K3" s="3">
        <v>15112.98</v>
      </c>
      <c r="L3" s="2">
        <v>46.2</v>
      </c>
      <c r="M3" s="11">
        <v>35.265240640000002</v>
      </c>
      <c r="N3" s="3">
        <v>13</v>
      </c>
      <c r="O3" s="3">
        <v>677445</v>
      </c>
      <c r="P3" s="12">
        <v>71309216</v>
      </c>
      <c r="Q3" s="10">
        <v>0</v>
      </c>
      <c r="R3" s="3">
        <f>(Таблица1[Размер кредита]-$AA$2)/$AA$3</f>
        <v>9.3879216408493088E-2</v>
      </c>
      <c r="S3" s="3">
        <f>(Таблица1[Кредитный рейтинг]-$AA$7)/($AA$8-$AA$7)</f>
        <v>0</v>
      </c>
      <c r="T3" s="3">
        <f>(Таблица1[Срок с последнего нарушения кредитного договора (мес,)]-$AA$12)/($AA$13-$AA$12)</f>
        <v>0.40074137090909095</v>
      </c>
      <c r="U3" s="3">
        <f>(Таблица1[Количество кредитных карт]-$AA$18)/($AA$19-$AA$18)</f>
        <v>0.2857142857142857</v>
      </c>
      <c r="V3" s="3">
        <f>(Таблица1[Число нарушений кредитных договоров]-$AA$23)/($AA$24-$AA$23)</f>
        <v>0</v>
      </c>
      <c r="W3" s="3">
        <f>Таблица1[[#This Row],[Годовой доход]]/12</f>
        <v>97337</v>
      </c>
      <c r="X3" s="3">
        <f>Таблица1[[#This Row],[Ежемесячный платеж]]/Таблица1[[#This Row],[Ежем доход]]</f>
        <v>0.15526449346086277</v>
      </c>
      <c r="Y3" s="3"/>
      <c r="Z3" s="3" t="s">
        <v>2076</v>
      </c>
      <c r="AA3" s="3">
        <f>_xlfn.STDEV.S(Таблица1[Размер кредита])</f>
        <v>175645.64563950332</v>
      </c>
      <c r="AB3" s="3"/>
    </row>
    <row r="4" spans="1:40" x14ac:dyDescent="0.2">
      <c r="A4">
        <v>1921</v>
      </c>
      <c r="B4" t="s">
        <v>1957</v>
      </c>
      <c r="C4" t="s">
        <v>18</v>
      </c>
      <c r="D4" t="s">
        <v>19</v>
      </c>
      <c r="E4" t="s">
        <v>24</v>
      </c>
      <c r="F4" t="s">
        <v>21</v>
      </c>
      <c r="G4" t="s">
        <v>25</v>
      </c>
      <c r="H4" s="1">
        <v>133848</v>
      </c>
      <c r="I4" s="3">
        <v>750</v>
      </c>
      <c r="J4" s="3">
        <v>2620176</v>
      </c>
      <c r="K4" s="3">
        <v>6681.54</v>
      </c>
      <c r="L4" s="2">
        <v>25</v>
      </c>
      <c r="M4" s="11">
        <v>35.265240640000002</v>
      </c>
      <c r="N4" s="3">
        <v>14</v>
      </c>
      <c r="O4" s="3">
        <v>870504</v>
      </c>
      <c r="P4" s="3">
        <v>14822676</v>
      </c>
      <c r="Q4" s="10">
        <v>0</v>
      </c>
      <c r="R4" s="3">
        <f>(Таблица1[Размер кредита]-$AA$2)/$AA$3</f>
        <v>-1.0005743312447568</v>
      </c>
      <c r="S4" s="3">
        <f>(Таблица1[Кредитный рейтинг]-$AA$7)/($AA$8-$AA$7)</f>
        <v>0.99866844207723038</v>
      </c>
      <c r="T4" s="3">
        <f>(Таблица1[Срок с последнего нарушения кредитного договора (мес,)]-$AA$12)/($AA$13-$AA$12)</f>
        <v>0.40074137090909095</v>
      </c>
      <c r="U4" s="3">
        <f>(Таблица1[Количество кредитных карт]-$AA$18)/($AA$19-$AA$18)</f>
        <v>0.30952380952380953</v>
      </c>
      <c r="V4" s="3">
        <f>(Таблица1[Число нарушений кредитных договоров]-$AA$23)/($AA$24-$AA$23)</f>
        <v>0</v>
      </c>
      <c r="W4" s="3">
        <f>Таблица1[[#This Row],[Годовой доход]]/12</f>
        <v>218348</v>
      </c>
      <c r="X4" s="3">
        <f>Таблица1[[#This Row],[Ежемесячный платеж]]/Таблица1[[#This Row],[Ежем доход]]</f>
        <v>3.0600417681865645E-2</v>
      </c>
      <c r="Y4" s="3"/>
      <c r="Z4" s="3" t="s">
        <v>2063</v>
      </c>
      <c r="AA4" s="3">
        <f>SUM(Таблица1[Z РК])</f>
        <v>7.7349793237146969E-12</v>
      </c>
      <c r="AB4" s="3"/>
    </row>
    <row r="5" spans="1:40" x14ac:dyDescent="0.2">
      <c r="A5">
        <v>1993</v>
      </c>
      <c r="B5" t="s">
        <v>2029</v>
      </c>
      <c r="C5" t="s">
        <v>18</v>
      </c>
      <c r="D5" t="s">
        <v>19</v>
      </c>
      <c r="E5" t="s">
        <v>32</v>
      </c>
      <c r="F5" t="s">
        <v>21</v>
      </c>
      <c r="G5" t="s">
        <v>22</v>
      </c>
      <c r="H5" s="1">
        <v>431420</v>
      </c>
      <c r="I5" s="3">
        <v>749</v>
      </c>
      <c r="J5" s="3">
        <v>1490360</v>
      </c>
      <c r="K5" s="3">
        <v>2744.74</v>
      </c>
      <c r="L5" s="2">
        <v>30.8</v>
      </c>
      <c r="M5" s="11">
        <v>35.265240640000002</v>
      </c>
      <c r="N5" s="3">
        <v>10</v>
      </c>
      <c r="O5" s="3">
        <v>784871</v>
      </c>
      <c r="P5" s="3">
        <v>11957990</v>
      </c>
      <c r="Q5" s="10">
        <v>0</v>
      </c>
      <c r="R5" s="3">
        <f>(Таблица1[Размер кредита]-$AA$2)/$AA$3</f>
        <v>0.6935866535982117</v>
      </c>
      <c r="S5" s="3">
        <f>(Таблица1[Кредитный рейтинг]-$AA$7)/($AA$8-$AA$7)</f>
        <v>0.99733688415446076</v>
      </c>
      <c r="T5" s="3">
        <f>(Таблица1[Срок с последнего нарушения кредитного договора (мес,)]-$AA$12)/($AA$13-$AA$12)</f>
        <v>0.40074137090909095</v>
      </c>
      <c r="U5" s="3">
        <f>(Таблица1[Количество кредитных карт]-$AA$18)/($AA$19-$AA$18)</f>
        <v>0.21428571428571427</v>
      </c>
      <c r="V5" s="3">
        <f>(Таблица1[Число нарушений кредитных договоров]-$AA$23)/($AA$24-$AA$23)</f>
        <v>0</v>
      </c>
      <c r="W5" s="3">
        <f>Таблица1[[#This Row],[Годовой доход]]/12</f>
        <v>124196.66666666667</v>
      </c>
      <c r="X5" s="3">
        <f>Таблица1[[#This Row],[Ежемесячный платеж]]/Таблица1[[#This Row],[Ежем доход]]</f>
        <v>2.2099949005609382E-2</v>
      </c>
      <c r="Y5" s="3"/>
      <c r="Z5" s="3"/>
      <c r="AA5" s="3"/>
      <c r="AB5" s="3"/>
      <c r="AD5" t="s">
        <v>2041</v>
      </c>
      <c r="AE5" t="s">
        <v>2045</v>
      </c>
      <c r="AF5" t="s">
        <v>2042</v>
      </c>
      <c r="AH5" t="s">
        <v>2044</v>
      </c>
      <c r="AI5" t="s">
        <v>2043</v>
      </c>
    </row>
    <row r="6" spans="1:40" x14ac:dyDescent="0.2">
      <c r="A6">
        <v>64</v>
      </c>
      <c r="B6" t="s">
        <v>106</v>
      </c>
      <c r="C6" t="s">
        <v>18</v>
      </c>
      <c r="D6" t="s">
        <v>29</v>
      </c>
      <c r="E6" t="s">
        <v>41</v>
      </c>
      <c r="F6" t="s">
        <v>27</v>
      </c>
      <c r="G6" t="s">
        <v>25</v>
      </c>
      <c r="H6" s="1">
        <v>602008</v>
      </c>
      <c r="I6" s="3">
        <v>741</v>
      </c>
      <c r="J6" s="3">
        <v>2896721</v>
      </c>
      <c r="K6" s="3">
        <v>48278.62</v>
      </c>
      <c r="L6" s="2">
        <v>19.600000000000001</v>
      </c>
      <c r="M6" s="11">
        <v>32</v>
      </c>
      <c r="N6" s="3">
        <v>17</v>
      </c>
      <c r="O6" s="3">
        <v>5246261</v>
      </c>
      <c r="P6" s="3">
        <v>11887678</v>
      </c>
      <c r="Q6" s="10">
        <v>0</v>
      </c>
      <c r="R6" s="3">
        <f>(Таблица1[Размер кредита]-$AA$2)/$AA$3</f>
        <v>1.6647920562651035</v>
      </c>
      <c r="S6" s="3">
        <f>(Таблица1[Кредитный рейтинг]-$AA$7)/($AA$8-$AA$7)</f>
        <v>0.98668442077230356</v>
      </c>
      <c r="T6" s="3">
        <f>(Таблица1[Срок с последнего нарушения кредитного договора (мес,)]-$AA$12)/($AA$13-$AA$12)</f>
        <v>0.36363636363636365</v>
      </c>
      <c r="U6" s="3">
        <f>(Таблица1[Количество кредитных карт]-$AA$18)/($AA$19-$AA$18)</f>
        <v>0.38095238095238093</v>
      </c>
      <c r="V6" s="3">
        <f>(Таблица1[Число нарушений кредитных договоров]-$AA$23)/($AA$24-$AA$23)</f>
        <v>0</v>
      </c>
      <c r="W6" s="3">
        <f>Таблица1[[#This Row],[Годовой доход]]/12</f>
        <v>241393.41666666666</v>
      </c>
      <c r="X6" s="3">
        <f>Таблица1[[#This Row],[Ежемесячный платеж]]/Таблица1[[#This Row],[Ежем доход]]</f>
        <v>0.19999973763438042</v>
      </c>
      <c r="Y6" s="3"/>
      <c r="Z6" s="3" t="s">
        <v>2064</v>
      </c>
      <c r="AA6" s="3"/>
      <c r="AB6" s="3"/>
      <c r="AC6" s="6" t="s">
        <v>3</v>
      </c>
      <c r="AD6">
        <f>_xlfn.QUARTILE.INC(Таблица1[Размер кредита],1)</f>
        <v>176792</v>
      </c>
      <c r="AE6">
        <f>_xlfn.QUARTILE.INC(Таблица1[Размер кредита],3)</f>
        <v>402154.5</v>
      </c>
      <c r="AF6">
        <f>AE6-AD6</f>
        <v>225362.5</v>
      </c>
      <c r="AH6">
        <f>AE6+(1.5*AF6)</f>
        <v>740198.25</v>
      </c>
      <c r="AI6">
        <f>AD6-1.5*AF6</f>
        <v>-161251.75</v>
      </c>
    </row>
    <row r="7" spans="1:40" x14ac:dyDescent="0.2">
      <c r="A7">
        <v>379</v>
      </c>
      <c r="B7" t="s">
        <v>421</v>
      </c>
      <c r="C7" t="s">
        <v>18</v>
      </c>
      <c r="D7" t="s">
        <v>19</v>
      </c>
      <c r="E7" t="s">
        <v>50</v>
      </c>
      <c r="F7" t="s">
        <v>21</v>
      </c>
      <c r="G7" t="s">
        <v>22</v>
      </c>
      <c r="H7" s="1">
        <v>309594.52439999999</v>
      </c>
      <c r="I7" s="3">
        <v>726</v>
      </c>
      <c r="J7" s="3">
        <v>2311236</v>
      </c>
      <c r="K7" s="3">
        <v>35438.99</v>
      </c>
      <c r="L7" s="2">
        <v>23.9</v>
      </c>
      <c r="M7" s="11">
        <v>18</v>
      </c>
      <c r="N7" s="3">
        <v>18</v>
      </c>
      <c r="O7" s="3">
        <v>3528718</v>
      </c>
      <c r="P7" s="3">
        <v>10189234</v>
      </c>
      <c r="Q7" s="10">
        <v>0</v>
      </c>
      <c r="R7" s="3">
        <f>(Таблица1[Размер кредита]-$AA$2)/$AA$3</f>
        <v>-1.2411115481956205E-10</v>
      </c>
      <c r="S7" s="3">
        <f>(Таблица1[Кредитный рейтинг]-$AA$7)/($AA$8-$AA$7)</f>
        <v>0.96671105193075901</v>
      </c>
      <c r="T7" s="3">
        <f>(Таблица1[Срок с последнего нарушения кредитного договора (мес,)]-$AA$12)/($AA$13-$AA$12)</f>
        <v>0.20454545454545456</v>
      </c>
      <c r="U7" s="3">
        <f>(Таблица1[Количество кредитных карт]-$AA$18)/($AA$19-$AA$18)</f>
        <v>0.40476190476190477</v>
      </c>
      <c r="V7" s="3">
        <f>(Таблица1[Число нарушений кредитных договоров]-$AA$23)/($AA$24-$AA$23)</f>
        <v>0</v>
      </c>
      <c r="W7" s="3">
        <f>Таблица1[[#This Row],[Годовой доход]]/12</f>
        <v>192603</v>
      </c>
      <c r="X7" s="3">
        <f>Таблица1[[#This Row],[Ежемесячный платеж]]/Таблица1[[#This Row],[Ежем доход]]</f>
        <v>0.18400019729703068</v>
      </c>
      <c r="Y7" s="3"/>
      <c r="Z7" s="3" t="s">
        <v>2061</v>
      </c>
      <c r="AA7" s="3">
        <f>MIN(Таблица1[Кредитный рейтинг])</f>
        <v>0</v>
      </c>
      <c r="AB7" s="3"/>
      <c r="AC7" s="5" t="s">
        <v>5</v>
      </c>
      <c r="AD7">
        <f>_xlfn.QUARTILE.INC(Таблица1[Кредитный рейтинг],1)</f>
        <v>668</v>
      </c>
      <c r="AE7">
        <f>_xlfn.QUARTILE.INC(Таблица1[Кредитный рейтинг],3)</f>
        <v>735</v>
      </c>
      <c r="AF7">
        <f>AE7-AD7</f>
        <v>67</v>
      </c>
      <c r="AH7">
        <f>AE7+(1.5*AF7)</f>
        <v>835.5</v>
      </c>
      <c r="AI7">
        <f>AD7-1.5*AF7</f>
        <v>567.5</v>
      </c>
    </row>
    <row r="8" spans="1:40" x14ac:dyDescent="0.2">
      <c r="A8">
        <v>1920</v>
      </c>
      <c r="B8" t="s">
        <v>1956</v>
      </c>
      <c r="C8" t="s">
        <v>18</v>
      </c>
      <c r="D8" t="s">
        <v>29</v>
      </c>
      <c r="E8" t="s">
        <v>24</v>
      </c>
      <c r="F8" t="s">
        <v>27</v>
      </c>
      <c r="G8" t="s">
        <v>67</v>
      </c>
      <c r="H8" s="1">
        <v>450208</v>
      </c>
      <c r="I8" s="3">
        <v>738</v>
      </c>
      <c r="J8" s="3">
        <v>4374180</v>
      </c>
      <c r="K8" s="3">
        <v>44033.45</v>
      </c>
      <c r="L8" s="2">
        <v>22.6</v>
      </c>
      <c r="M8" s="11">
        <v>35.265240640000002</v>
      </c>
      <c r="N8" s="3">
        <v>14</v>
      </c>
      <c r="O8" s="3">
        <v>2693554</v>
      </c>
      <c r="P8" s="3">
        <v>6900146</v>
      </c>
      <c r="Q8" s="10">
        <v>0</v>
      </c>
      <c r="R8" s="3">
        <f>(Таблица1[Размер кредита]-$AA$2)/$AA$3</f>
        <v>0.80055201520222574</v>
      </c>
      <c r="S8" s="3">
        <f>(Таблица1[Кредитный рейтинг]-$AA$7)/($AA$8-$AA$7)</f>
        <v>0.9826897470039947</v>
      </c>
      <c r="T8" s="3">
        <f>(Таблица1[Срок с последнего нарушения кредитного договора (мес,)]-$AA$12)/($AA$13-$AA$12)</f>
        <v>0.40074137090909095</v>
      </c>
      <c r="U8" s="3">
        <f>(Таблица1[Количество кредитных карт]-$AA$18)/($AA$19-$AA$18)</f>
        <v>0.30952380952380953</v>
      </c>
      <c r="V8" s="3">
        <f>(Таблица1[Число нарушений кредитных договоров]-$AA$23)/($AA$24-$AA$23)</f>
        <v>0</v>
      </c>
      <c r="W8" s="3">
        <f>Таблица1[[#This Row],[Годовой доход]]/12</f>
        <v>364515</v>
      </c>
      <c r="X8" s="3">
        <f>Таблица1[[#This Row],[Ежемесячный платеж]]/Таблица1[[#This Row],[Ежем доход]]</f>
        <v>0.1208001042481105</v>
      </c>
      <c r="Y8" s="3"/>
      <c r="Z8" s="3" t="s">
        <v>2062</v>
      </c>
      <c r="AA8" s="3">
        <f>MAX(Таблица1[Кредитный рейтинг])</f>
        <v>751</v>
      </c>
      <c r="AB8" s="3"/>
    </row>
    <row r="9" spans="1:40" x14ac:dyDescent="0.2">
      <c r="A9">
        <v>854</v>
      </c>
      <c r="B9" t="s">
        <v>895</v>
      </c>
      <c r="C9" t="s">
        <v>18</v>
      </c>
      <c r="D9" t="s">
        <v>19</v>
      </c>
      <c r="E9" t="s">
        <v>37</v>
      </c>
      <c r="F9" t="s">
        <v>21</v>
      </c>
      <c r="G9" t="s">
        <v>22</v>
      </c>
      <c r="H9" s="1">
        <v>309594.52439999999</v>
      </c>
      <c r="I9" s="3">
        <v>716</v>
      </c>
      <c r="J9" s="3">
        <v>4379215</v>
      </c>
      <c r="K9" s="3">
        <v>32114.18</v>
      </c>
      <c r="L9" s="2">
        <v>26.1</v>
      </c>
      <c r="M9" s="11">
        <v>5</v>
      </c>
      <c r="N9" s="3">
        <v>19</v>
      </c>
      <c r="O9" s="3">
        <v>1959071</v>
      </c>
      <c r="P9" s="3">
        <v>6164114</v>
      </c>
      <c r="Q9" s="10">
        <v>0</v>
      </c>
      <c r="R9" s="3">
        <f>(Таблица1[Размер кредита]-$AA$2)/$AA$3</f>
        <v>-1.2411115481956205E-10</v>
      </c>
      <c r="S9" s="3">
        <f>(Таблица1[Кредитный рейтинг]-$AA$7)/($AA$8-$AA$7)</f>
        <v>0.95339547270306257</v>
      </c>
      <c r="T9" s="3">
        <f>(Таблица1[Срок с последнего нарушения кредитного договора (мес,)]-$AA$12)/($AA$13-$AA$12)</f>
        <v>5.6818181818181816E-2</v>
      </c>
      <c r="U9" s="3">
        <f>(Таблица1[Количество кредитных карт]-$AA$18)/($AA$19-$AA$18)</f>
        <v>0.42857142857142855</v>
      </c>
      <c r="V9" s="3">
        <f>(Таблица1[Число нарушений кредитных договоров]-$AA$23)/($AA$24-$AA$23)</f>
        <v>0</v>
      </c>
      <c r="W9" s="3">
        <f>Таблица1[[#This Row],[Годовой доход]]/12</f>
        <v>364934.58333333331</v>
      </c>
      <c r="X9" s="3">
        <f>Таблица1[[#This Row],[Ежемесячный платеж]]/Таблица1[[#This Row],[Ежем доход]]</f>
        <v>8.7999826452914515E-2</v>
      </c>
      <c r="Y9" s="3"/>
      <c r="Z9" s="3" t="s">
        <v>2063</v>
      </c>
      <c r="AA9" s="3">
        <f>SUM(Таблица1[min max КР])</f>
        <v>1526.3448735019945</v>
      </c>
      <c r="AB9" s="3"/>
      <c r="AD9" s="6" t="s">
        <v>3</v>
      </c>
      <c r="AE9" s="5" t="s">
        <v>5</v>
      </c>
      <c r="AF9" s="7" t="s">
        <v>6</v>
      </c>
      <c r="AG9" s="5" t="s">
        <v>10</v>
      </c>
      <c r="AH9" s="8" t="s">
        <v>11</v>
      </c>
      <c r="AI9" s="7" t="s">
        <v>12</v>
      </c>
      <c r="AJ9" s="7" t="s">
        <v>13</v>
      </c>
      <c r="AK9" s="7" t="s">
        <v>14</v>
      </c>
      <c r="AL9" s="7" t="s">
        <v>15</v>
      </c>
      <c r="AM9" s="9" t="s">
        <v>16</v>
      </c>
      <c r="AN9" s="5" t="s">
        <v>7</v>
      </c>
    </row>
    <row r="10" spans="1:40" x14ac:dyDescent="0.2">
      <c r="A10">
        <v>138</v>
      </c>
      <c r="B10" t="s">
        <v>180</v>
      </c>
      <c r="C10" t="s">
        <v>18</v>
      </c>
      <c r="D10" t="s">
        <v>19</v>
      </c>
      <c r="E10" t="s">
        <v>24</v>
      </c>
      <c r="F10" t="s">
        <v>27</v>
      </c>
      <c r="G10" t="s">
        <v>25</v>
      </c>
      <c r="H10" s="1">
        <v>460152</v>
      </c>
      <c r="I10" s="3">
        <v>0</v>
      </c>
      <c r="J10" s="3">
        <v>1168044</v>
      </c>
      <c r="K10" s="3">
        <v>21330.92</v>
      </c>
      <c r="L10" s="2">
        <v>20.5</v>
      </c>
      <c r="M10" s="11">
        <v>6</v>
      </c>
      <c r="N10" s="3">
        <v>13</v>
      </c>
      <c r="O10" s="3">
        <v>1220978</v>
      </c>
      <c r="P10" s="3">
        <v>5396072</v>
      </c>
      <c r="Q10" s="10">
        <v>0</v>
      </c>
      <c r="R10" s="3">
        <f>(Таблица1[Размер кредита]-$AA$2)/$AA$3</f>
        <v>0.85716600050083747</v>
      </c>
      <c r="S10" s="3">
        <f>(Таблица1[Кредитный рейтинг]-$AA$7)/($AA$8-$AA$7)</f>
        <v>0</v>
      </c>
      <c r="T10" s="3">
        <f>(Таблица1[Срок с последнего нарушения кредитного договора (мес,)]-$AA$12)/($AA$13-$AA$12)</f>
        <v>6.8181818181818177E-2</v>
      </c>
      <c r="U10" s="3">
        <f>(Таблица1[Количество кредитных карт]-$AA$18)/($AA$19-$AA$18)</f>
        <v>0.2857142857142857</v>
      </c>
      <c r="V10" s="3">
        <f>(Таблица1[Число нарушений кредитных договоров]-$AA$23)/($AA$24-$AA$23)</f>
        <v>0</v>
      </c>
      <c r="W10" s="3">
        <f>Таблица1[[#This Row],[Годовой доход]]/12</f>
        <v>97337</v>
      </c>
      <c r="X10" s="3">
        <f>Таблица1[[#This Row],[Ежемесячный платеж]]/Таблица1[[#This Row],[Ежем доход]]</f>
        <v>0.2191450322076908</v>
      </c>
      <c r="Y10" s="3"/>
      <c r="Z10" s="3"/>
      <c r="AA10" s="3"/>
      <c r="AB10" s="3"/>
      <c r="AC10" t="s">
        <v>2041</v>
      </c>
      <c r="AD10">
        <f>_xlfn.QUARTILE.INC(Таблица1[Размер кредита],1)</f>
        <v>176792</v>
      </c>
      <c r="AE10">
        <f>_xlfn.QUARTILE.INC(Таблица1[Кредитный рейтинг],1)</f>
        <v>668</v>
      </c>
      <c r="AF10">
        <f>_xlfn.QUARTILE.INC(Таблица1[Годовой доход],1)</f>
        <v>924991.25</v>
      </c>
      <c r="AG10">
        <f>_xlfn.QUARTILE.INC(Таблица1[Ежемесячный платеж],1)</f>
        <v>10079.6425</v>
      </c>
      <c r="AH10">
        <f>_xlfn.QUARTILE.INC(Таблица1[Срок кредитной истории (лет)],1)</f>
        <v>13.6</v>
      </c>
      <c r="AI10">
        <f>_xlfn.QUARTILE.INC(Таблица1[Срок с последнего нарушения кредитного договора (мес,)],1)</f>
        <v>35</v>
      </c>
      <c r="AJ10">
        <f>_xlfn.QUARTILE.INC(Таблица1[Количество кредитных карт],1)</f>
        <v>8</v>
      </c>
      <c r="AK10">
        <f>_xlfn.QUARTILE.INC(Таблица1[Текущий баланс кредитов],1)</f>
        <v>110404.25</v>
      </c>
      <c r="AL10">
        <f>_xlfn.QUARTILE.INC(Таблица1[Максимальный выданный кредит],1)</f>
        <v>265947</v>
      </c>
      <c r="AM10">
        <f>_xlfn.QUARTILE.INC(Таблица1[Число нарушений кредитных договоров],1)</f>
        <v>0</v>
      </c>
    </row>
    <row r="11" spans="1:40" x14ac:dyDescent="0.2">
      <c r="A11">
        <v>1651</v>
      </c>
      <c r="B11" t="s">
        <v>1689</v>
      </c>
      <c r="C11" t="s">
        <v>35</v>
      </c>
      <c r="D11" t="s">
        <v>29</v>
      </c>
      <c r="E11" t="s">
        <v>24</v>
      </c>
      <c r="F11" t="s">
        <v>21</v>
      </c>
      <c r="G11" t="s">
        <v>25</v>
      </c>
      <c r="H11" s="1">
        <v>439868</v>
      </c>
      <c r="I11" s="3">
        <v>738</v>
      </c>
      <c r="J11" s="3">
        <v>893855</v>
      </c>
      <c r="K11" s="3">
        <v>13556.69</v>
      </c>
      <c r="L11" s="2">
        <v>17.3</v>
      </c>
      <c r="M11" s="11">
        <v>35.265240640000002</v>
      </c>
      <c r="N11" s="3">
        <v>5</v>
      </c>
      <c r="O11" s="3">
        <v>233130</v>
      </c>
      <c r="P11" s="3">
        <v>5191098</v>
      </c>
      <c r="Q11" s="10">
        <v>0</v>
      </c>
      <c r="R11" s="3">
        <f>(Таблица1[Размер кредита]-$AA$2)/$AA$3</f>
        <v>0.74168349066605876</v>
      </c>
      <c r="S11" s="3">
        <f>(Таблица1[Кредитный рейтинг]-$AA$7)/($AA$8-$AA$7)</f>
        <v>0.9826897470039947</v>
      </c>
      <c r="T11" s="3">
        <f>(Таблица1[Срок с последнего нарушения кредитного договора (мес,)]-$AA$12)/($AA$13-$AA$12)</f>
        <v>0.40074137090909095</v>
      </c>
      <c r="U11" s="3">
        <f>(Таблица1[Количество кредитных карт]-$AA$18)/($AA$19-$AA$18)</f>
        <v>9.5238095238095233E-2</v>
      </c>
      <c r="V11" s="3">
        <f>(Таблица1[Число нарушений кредитных договоров]-$AA$23)/($AA$24-$AA$23)</f>
        <v>0</v>
      </c>
      <c r="W11" s="3">
        <f>Таблица1[[#This Row],[Годовой доход]]/12</f>
        <v>74487.916666666672</v>
      </c>
      <c r="X11" s="3">
        <f>Таблица1[[#This Row],[Ежемесячный платеж]]/Таблица1[[#This Row],[Ежем доход]]</f>
        <v>0.18199851206291848</v>
      </c>
      <c r="Y11" s="3"/>
      <c r="Z11" s="3" t="s">
        <v>2069</v>
      </c>
      <c r="AA11" s="3"/>
      <c r="AB11" s="3"/>
      <c r="AC11" t="s">
        <v>2045</v>
      </c>
      <c r="AD11">
        <f>_xlfn.QUARTILE.INC(Таблица1[Размер кредита],3)</f>
        <v>402154.5</v>
      </c>
      <c r="AE11">
        <f>_xlfn.QUARTILE.INC(Таблица1[Кредитный рейтинг],3)</f>
        <v>735</v>
      </c>
      <c r="AF11">
        <f>_xlfn.QUARTILE.INC(Таблица1[Годовой доход],3)</f>
        <v>1510367</v>
      </c>
      <c r="AG11">
        <f>_xlfn.QUARTILE.INC(Таблица1[Ежемесячный платеж],3)</f>
        <v>23641.0825</v>
      </c>
      <c r="AH11">
        <f>_xlfn.QUARTILE.INC(Таблица1[Срок кредитной истории (лет)],3)</f>
        <v>21.9</v>
      </c>
      <c r="AI11">
        <f>_xlfn.QUARTILE.INC(Таблица1[Срок с последнего нарушения кредитного договора (мес,)],3)</f>
        <v>35.265240640000002</v>
      </c>
      <c r="AJ11">
        <f>_xlfn.QUARTILE.INC(Таблица1[Количество кредитных карт],3)</f>
        <v>14</v>
      </c>
      <c r="AK11">
        <f>_xlfn.QUARTILE.INC(Таблица1[Текущий баланс кредитов],3)</f>
        <v>352022.5</v>
      </c>
      <c r="AL11">
        <f>_xlfn.QUARTILE.INC(Таблица1[Максимальный выданный кредит],3)</f>
        <v>756701</v>
      </c>
      <c r="AM11">
        <f>_xlfn.QUARTILE.INC(Таблица1[Число нарушений кредитных договоров],3)</f>
        <v>0</v>
      </c>
    </row>
    <row r="12" spans="1:40" x14ac:dyDescent="0.2">
      <c r="A12">
        <v>397</v>
      </c>
      <c r="B12" t="s">
        <v>439</v>
      </c>
      <c r="C12" t="s">
        <v>18</v>
      </c>
      <c r="D12" t="s">
        <v>19</v>
      </c>
      <c r="E12" t="s">
        <v>24</v>
      </c>
      <c r="F12" t="s">
        <v>21</v>
      </c>
      <c r="G12" t="s">
        <v>67</v>
      </c>
      <c r="H12" s="1">
        <v>309594.52439999999</v>
      </c>
      <c r="I12" s="3">
        <v>747</v>
      </c>
      <c r="J12" s="3">
        <v>1025487</v>
      </c>
      <c r="K12" s="3">
        <v>16066.02</v>
      </c>
      <c r="L12" s="2">
        <v>40.299999999999997</v>
      </c>
      <c r="M12" s="11">
        <v>35.265240640000002</v>
      </c>
      <c r="N12" s="3">
        <v>24</v>
      </c>
      <c r="O12" s="3">
        <v>536199</v>
      </c>
      <c r="P12" s="3">
        <v>4166844</v>
      </c>
      <c r="Q12" s="10">
        <v>0</v>
      </c>
      <c r="R12" s="3">
        <f>(Таблица1[Размер кредита]-$AA$2)/$AA$3</f>
        <v>-1.2411115481956205E-10</v>
      </c>
      <c r="S12" s="3">
        <f>(Таблица1[Кредитный рейтинг]-$AA$7)/($AA$8-$AA$7)</f>
        <v>0.9946737683089214</v>
      </c>
      <c r="T12" s="3">
        <f>(Таблица1[Срок с последнего нарушения кредитного договора (мес,)]-$AA$12)/($AA$13-$AA$12)</f>
        <v>0.40074137090909095</v>
      </c>
      <c r="U12" s="3">
        <f>(Таблица1[Количество кредитных карт]-$AA$18)/($AA$19-$AA$18)</f>
        <v>0.54761904761904767</v>
      </c>
      <c r="V12" s="3">
        <f>(Таблица1[Число нарушений кредитных договоров]-$AA$23)/($AA$24-$AA$23)</f>
        <v>0</v>
      </c>
      <c r="W12" s="3">
        <f>Таблица1[[#This Row],[Годовой доход]]/12</f>
        <v>85457.25</v>
      </c>
      <c r="X12" s="3">
        <f>Таблица1[[#This Row],[Ежемесячный платеж]]/Таблица1[[#This Row],[Ежем доход]]</f>
        <v>0.18800066700016677</v>
      </c>
      <c r="Y12" s="3"/>
      <c r="Z12" s="3" t="s">
        <v>2061</v>
      </c>
      <c r="AA12" s="3">
        <f>MIN(Таблица1[Срок с последнего нарушения кредитного договора (мес,)])</f>
        <v>0</v>
      </c>
      <c r="AB12" s="3"/>
      <c r="AC12" t="s">
        <v>2042</v>
      </c>
      <c r="AD12">
        <f>AD11-AD10</f>
        <v>225362.5</v>
      </c>
      <c r="AE12">
        <f>AE11-AE10</f>
        <v>67</v>
      </c>
      <c r="AF12">
        <f>AF11-AF10</f>
        <v>585375.75</v>
      </c>
      <c r="AG12">
        <f t="shared" ref="AG12:AM12" si="0">AG11-AG10</f>
        <v>13561.44</v>
      </c>
      <c r="AH12">
        <f t="shared" si="0"/>
        <v>8.2999999999999989</v>
      </c>
      <c r="AI12">
        <f t="shared" si="0"/>
        <v>0.2652406400000018</v>
      </c>
      <c r="AJ12">
        <f t="shared" si="0"/>
        <v>6</v>
      </c>
      <c r="AK12">
        <f t="shared" si="0"/>
        <v>241618.25</v>
      </c>
      <c r="AL12">
        <f t="shared" si="0"/>
        <v>490754</v>
      </c>
      <c r="AM12">
        <f t="shared" si="0"/>
        <v>0</v>
      </c>
    </row>
    <row r="13" spans="1:40" x14ac:dyDescent="0.2">
      <c r="A13">
        <v>93</v>
      </c>
      <c r="B13" t="s">
        <v>135</v>
      </c>
      <c r="C13" t="s">
        <v>18</v>
      </c>
      <c r="D13" t="s">
        <v>19</v>
      </c>
      <c r="E13" t="s">
        <v>41</v>
      </c>
      <c r="F13" t="s">
        <v>21</v>
      </c>
      <c r="G13" t="s">
        <v>25</v>
      </c>
      <c r="H13" s="1">
        <v>270116</v>
      </c>
      <c r="I13" s="3">
        <v>0</v>
      </c>
      <c r="J13" s="3">
        <v>1168044</v>
      </c>
      <c r="K13" s="3">
        <v>15649.92</v>
      </c>
      <c r="L13" s="2">
        <v>31.3</v>
      </c>
      <c r="M13" s="11">
        <v>35.265240640000002</v>
      </c>
      <c r="N13" s="3">
        <v>22</v>
      </c>
      <c r="O13" s="3">
        <v>648850</v>
      </c>
      <c r="P13" s="3">
        <v>3996322</v>
      </c>
      <c r="Q13" s="10">
        <v>0</v>
      </c>
      <c r="R13" s="3">
        <f>(Таблица1[Размер кредита]-$AA$2)/$AA$3</f>
        <v>-0.22476232916599398</v>
      </c>
      <c r="S13" s="3">
        <f>(Таблица1[Кредитный рейтинг]-$AA$7)/($AA$8-$AA$7)</f>
        <v>0</v>
      </c>
      <c r="T13" s="3">
        <f>(Таблица1[Срок с последнего нарушения кредитного договора (мес,)]-$AA$12)/($AA$13-$AA$12)</f>
        <v>0.40074137090909095</v>
      </c>
      <c r="U13" s="3">
        <f>(Таблица1[Количество кредитных карт]-$AA$18)/($AA$19-$AA$18)</f>
        <v>0.5</v>
      </c>
      <c r="V13" s="3">
        <f>(Таблица1[Число нарушений кредитных договоров]-$AA$23)/($AA$24-$AA$23)</f>
        <v>0</v>
      </c>
      <c r="W13" s="3">
        <f>Таблица1[[#This Row],[Годовой доход]]/12</f>
        <v>97337</v>
      </c>
      <c r="X13" s="3">
        <f>Таблица1[[#This Row],[Ежемесячный платеж]]/Таблица1[[#This Row],[Ежем доход]]</f>
        <v>0.16078079250439195</v>
      </c>
      <c r="Y13" s="3"/>
      <c r="Z13" s="3" t="s">
        <v>2062</v>
      </c>
      <c r="AA13" s="3">
        <f>MAX(Таблица1[Срок с последнего нарушения кредитного договора (мес,)])</f>
        <v>88</v>
      </c>
      <c r="AB13" s="3"/>
    </row>
    <row r="14" spans="1:40" x14ac:dyDescent="0.2">
      <c r="A14">
        <v>1801</v>
      </c>
      <c r="B14" t="s">
        <v>1839</v>
      </c>
      <c r="C14" t="s">
        <v>18</v>
      </c>
      <c r="D14" t="s">
        <v>19</v>
      </c>
      <c r="E14" t="s">
        <v>24</v>
      </c>
      <c r="F14" t="s">
        <v>27</v>
      </c>
      <c r="G14" t="s">
        <v>25</v>
      </c>
      <c r="H14" s="1">
        <v>109780</v>
      </c>
      <c r="I14" s="3">
        <v>748</v>
      </c>
      <c r="J14" s="3">
        <v>2028934</v>
      </c>
      <c r="K14" s="3">
        <v>45989.120000000003</v>
      </c>
      <c r="L14" s="2">
        <v>22.2</v>
      </c>
      <c r="M14" s="11">
        <v>35.265240640000002</v>
      </c>
      <c r="N14" s="3">
        <v>12</v>
      </c>
      <c r="O14" s="3">
        <v>1617375</v>
      </c>
      <c r="P14" s="3">
        <v>3885398</v>
      </c>
      <c r="Q14" s="10">
        <v>0</v>
      </c>
      <c r="R14" s="3">
        <f>(Таблица1[Размер кредита]-$AA$2)/$AA$3</f>
        <v>-1.1376002160161756</v>
      </c>
      <c r="S14" s="3">
        <f>(Таблица1[Кредитный рейтинг]-$AA$7)/($AA$8-$AA$7)</f>
        <v>0.99600532623169102</v>
      </c>
      <c r="T14" s="3">
        <f>(Таблица1[Срок с последнего нарушения кредитного договора (мес,)]-$AA$12)/($AA$13-$AA$12)</f>
        <v>0.40074137090909095</v>
      </c>
      <c r="U14" s="3">
        <f>(Таблица1[Количество кредитных карт]-$AA$18)/($AA$19-$AA$18)</f>
        <v>0.26190476190476192</v>
      </c>
      <c r="V14" s="3">
        <f>(Таблица1[Число нарушений кредитных договоров]-$AA$23)/($AA$24-$AA$23)</f>
        <v>0</v>
      </c>
      <c r="W14" s="3">
        <f>Таблица1[[#This Row],[Годовой доход]]/12</f>
        <v>169077.83333333334</v>
      </c>
      <c r="X14" s="3">
        <f>Таблица1[[#This Row],[Ежемесячный платеж]]/Таблица1[[#This Row],[Ежем доход]]</f>
        <v>0.27199970033524995</v>
      </c>
      <c r="Y14" s="3"/>
      <c r="Z14" s="3" t="s">
        <v>2063</v>
      </c>
      <c r="AA14" s="3">
        <f>SUM(Таблица1[min max Посл нар])</f>
        <v>801.48274183638114</v>
      </c>
      <c r="AB14" s="3"/>
      <c r="AC14" t="s">
        <v>2044</v>
      </c>
      <c r="AD14">
        <f>AD11+(1.5*AD12)</f>
        <v>740198.25</v>
      </c>
      <c r="AE14">
        <f>AE11+(1.5*AE12)</f>
        <v>835.5</v>
      </c>
      <c r="AF14">
        <f>AF11+(1.5*AF12)</f>
        <v>2388430.625</v>
      </c>
      <c r="AG14">
        <f t="shared" ref="AG14:AM14" si="1">AG11+(1.5*AG12)</f>
        <v>43983.2425</v>
      </c>
      <c r="AH14">
        <f t="shared" si="1"/>
        <v>34.349999999999994</v>
      </c>
      <c r="AI14">
        <f t="shared" si="1"/>
        <v>35.663101600000005</v>
      </c>
      <c r="AJ14">
        <f t="shared" si="1"/>
        <v>23</v>
      </c>
      <c r="AK14">
        <f t="shared" si="1"/>
        <v>714449.875</v>
      </c>
      <c r="AL14">
        <f t="shared" si="1"/>
        <v>1492832</v>
      </c>
      <c r="AM14">
        <f t="shared" si="1"/>
        <v>0</v>
      </c>
    </row>
    <row r="15" spans="1:40" x14ac:dyDescent="0.2">
      <c r="A15">
        <v>1465</v>
      </c>
      <c r="B15" t="s">
        <v>1504</v>
      </c>
      <c r="C15" t="s">
        <v>18</v>
      </c>
      <c r="D15" t="s">
        <v>29</v>
      </c>
      <c r="E15" t="s">
        <v>30</v>
      </c>
      <c r="F15" t="s">
        <v>21</v>
      </c>
      <c r="G15" t="s">
        <v>25</v>
      </c>
      <c r="H15" s="1">
        <v>786104</v>
      </c>
      <c r="I15" s="3">
        <v>701</v>
      </c>
      <c r="J15" s="3">
        <v>2715594</v>
      </c>
      <c r="K15" s="3">
        <v>52501.56</v>
      </c>
      <c r="L15" s="2">
        <v>38</v>
      </c>
      <c r="M15" s="11">
        <v>35.265240640000002</v>
      </c>
      <c r="N15" s="3">
        <v>23</v>
      </c>
      <c r="O15" s="3">
        <v>1762725</v>
      </c>
      <c r="P15" s="3">
        <v>3836580</v>
      </c>
      <c r="Q15" s="10">
        <v>0</v>
      </c>
      <c r="R15" s="3">
        <f>(Таблица1[Размер кредита]-$AA$2)/$AA$3</f>
        <v>2.712902297368605</v>
      </c>
      <c r="S15" s="3">
        <f>(Таблица1[Кредитный рейтинг]-$AA$7)/($AA$8-$AA$7)</f>
        <v>0.93342210386151803</v>
      </c>
      <c r="T15" s="3">
        <f>(Таблица1[Срок с последнего нарушения кредитного договора (мес,)]-$AA$12)/($AA$13-$AA$12)</f>
        <v>0.40074137090909095</v>
      </c>
      <c r="U15" s="3">
        <f>(Таблица1[Количество кредитных карт]-$AA$18)/($AA$19-$AA$18)</f>
        <v>0.52380952380952384</v>
      </c>
      <c r="V15" s="3">
        <f>(Таблица1[Число нарушений кредитных договоров]-$AA$23)/($AA$24-$AA$23)</f>
        <v>0</v>
      </c>
      <c r="W15" s="3">
        <f>Таблица1[[#This Row],[Годовой доход]]/12</f>
        <v>226299.5</v>
      </c>
      <c r="X15" s="3">
        <f>Таблица1[[#This Row],[Ежемесячный платеж]]/Таблица1[[#This Row],[Ежем доход]]</f>
        <v>0.23200033583812602</v>
      </c>
      <c r="Y15" s="3"/>
      <c r="Z15" s="3"/>
      <c r="AA15" s="3"/>
      <c r="AB15" s="3"/>
      <c r="AC15" t="s">
        <v>2043</v>
      </c>
      <c r="AD15">
        <f>AD10-1.5*AD12</f>
        <v>-161251.75</v>
      </c>
      <c r="AE15">
        <f>AE10-1.5*AE12</f>
        <v>567.5</v>
      </c>
      <c r="AF15">
        <f>AF10-1.5*AF12</f>
        <v>46927.625</v>
      </c>
      <c r="AG15">
        <f t="shared" ref="AG15:AM15" si="2">AG10-1.5*AG12</f>
        <v>-10262.5175</v>
      </c>
      <c r="AH15">
        <f t="shared" si="2"/>
        <v>1.1500000000000004</v>
      </c>
      <c r="AI15">
        <f t="shared" si="2"/>
        <v>34.602139039999997</v>
      </c>
      <c r="AJ15">
        <f t="shared" si="2"/>
        <v>-1</v>
      </c>
      <c r="AK15">
        <f t="shared" si="2"/>
        <v>-252023.125</v>
      </c>
      <c r="AL15">
        <f t="shared" si="2"/>
        <v>-470184</v>
      </c>
      <c r="AM15">
        <f t="shared" si="2"/>
        <v>0</v>
      </c>
    </row>
    <row r="16" spans="1:40" x14ac:dyDescent="0.2">
      <c r="A16">
        <v>1316</v>
      </c>
      <c r="B16" t="s">
        <v>1355</v>
      </c>
      <c r="C16" t="s">
        <v>18</v>
      </c>
      <c r="D16" t="s">
        <v>19</v>
      </c>
      <c r="E16" t="s">
        <v>32</v>
      </c>
      <c r="F16" t="s">
        <v>33</v>
      </c>
      <c r="G16" t="s">
        <v>25</v>
      </c>
      <c r="H16" s="1">
        <v>324258</v>
      </c>
      <c r="I16" s="3">
        <v>735</v>
      </c>
      <c r="J16" s="3">
        <v>2427022</v>
      </c>
      <c r="K16" s="3">
        <v>34180.43</v>
      </c>
      <c r="L16" s="2">
        <v>17.7</v>
      </c>
      <c r="M16" s="11">
        <v>20</v>
      </c>
      <c r="N16" s="3">
        <v>20</v>
      </c>
      <c r="O16" s="3">
        <v>2682306</v>
      </c>
      <c r="P16" s="3">
        <v>3649624</v>
      </c>
      <c r="Q16" s="10">
        <v>0</v>
      </c>
      <c r="R16" s="3">
        <f>(Таблица1[Размер кредита]-$AA$2)/$AA$3</f>
        <v>8.3483285479765718E-2</v>
      </c>
      <c r="S16" s="3">
        <f>(Таблица1[Кредитный рейтинг]-$AA$7)/($AA$8-$AA$7)</f>
        <v>0.97869507323568572</v>
      </c>
      <c r="T16" s="3">
        <f>(Таблица1[Срок с последнего нарушения кредитного договора (мес,)]-$AA$12)/($AA$13-$AA$12)</f>
        <v>0.22727272727272727</v>
      </c>
      <c r="U16" s="3">
        <f>(Таблица1[Количество кредитных карт]-$AA$18)/($AA$19-$AA$18)</f>
        <v>0.45238095238095238</v>
      </c>
      <c r="V16" s="3">
        <f>(Таблица1[Число нарушений кредитных договоров]-$AA$23)/($AA$24-$AA$23)</f>
        <v>0</v>
      </c>
      <c r="W16" s="3">
        <f>Таблица1[[#This Row],[Годовой доход]]/12</f>
        <v>202251.83333333334</v>
      </c>
      <c r="X16" s="3">
        <f>Таблица1[[#This Row],[Ежемесячный платеж]]/Таблица1[[#This Row],[Ежем доход]]</f>
        <v>0.16899935806103117</v>
      </c>
      <c r="Y16" s="3"/>
      <c r="Z16" s="3"/>
      <c r="AA16" s="3"/>
      <c r="AB16" s="3"/>
      <c r="AC16" t="s">
        <v>2050</v>
      </c>
      <c r="AH16">
        <f>MEDIAN(Таблица1[Срок кредитной истории (лет)])</f>
        <v>16.899999999999999</v>
      </c>
    </row>
    <row r="17" spans="1:40" x14ac:dyDescent="0.2">
      <c r="A17">
        <v>1761</v>
      </c>
      <c r="B17" t="s">
        <v>1799</v>
      </c>
      <c r="C17" t="s">
        <v>18</v>
      </c>
      <c r="D17" t="s">
        <v>19</v>
      </c>
      <c r="E17" t="s">
        <v>24</v>
      </c>
      <c r="F17" t="s">
        <v>21</v>
      </c>
      <c r="G17" t="s">
        <v>25</v>
      </c>
      <c r="H17" s="1">
        <v>626098</v>
      </c>
      <c r="I17" s="3">
        <v>748</v>
      </c>
      <c r="J17" s="3">
        <v>2413950</v>
      </c>
      <c r="K17" s="3">
        <v>21323.32</v>
      </c>
      <c r="L17" s="2">
        <v>39.6</v>
      </c>
      <c r="M17" s="11">
        <v>35.265240640000002</v>
      </c>
      <c r="N17" s="3">
        <v>27</v>
      </c>
      <c r="O17" s="3">
        <v>1261334</v>
      </c>
      <c r="P17" s="3">
        <v>3502400</v>
      </c>
      <c r="Q17" s="10">
        <v>0</v>
      </c>
      <c r="R17" s="3">
        <f>(Таблица1[Размер кредита]-$AA$2)/$AA$3</f>
        <v>1.8019431932163861</v>
      </c>
      <c r="S17" s="3">
        <f>(Таблица1[Кредитный рейтинг]-$AA$7)/($AA$8-$AA$7)</f>
        <v>0.99600532623169102</v>
      </c>
      <c r="T17" s="3">
        <f>(Таблица1[Срок с последнего нарушения кредитного договора (мес,)]-$AA$12)/($AA$13-$AA$12)</f>
        <v>0.40074137090909095</v>
      </c>
      <c r="U17" s="3">
        <f>(Таблица1[Количество кредитных карт]-$AA$18)/($AA$19-$AA$18)</f>
        <v>0.61904761904761907</v>
      </c>
      <c r="V17" s="3">
        <f>(Таблица1[Число нарушений кредитных договоров]-$AA$23)/($AA$24-$AA$23)</f>
        <v>0</v>
      </c>
      <c r="W17" s="3">
        <f>Таблица1[[#This Row],[Годовой доход]]/12</f>
        <v>201162.5</v>
      </c>
      <c r="X17" s="3">
        <f>Таблица1[[#This Row],[Ежемесячный платеж]]/Таблица1[[#This Row],[Ежем доход]]</f>
        <v>0.10600047225501771</v>
      </c>
      <c r="Y17" s="3"/>
      <c r="Z17" s="3" t="s">
        <v>2070</v>
      </c>
      <c r="AA17" s="3"/>
      <c r="AB17" s="3"/>
      <c r="AC17" t="s">
        <v>2057</v>
      </c>
      <c r="AD17" s="10">
        <f>AVERAGE(Таблица1[Размер кредита])</f>
        <v>309594.52442179958</v>
      </c>
    </row>
    <row r="18" spans="1:40" x14ac:dyDescent="0.2">
      <c r="A18">
        <v>663</v>
      </c>
      <c r="B18" t="s">
        <v>704</v>
      </c>
      <c r="C18" t="s">
        <v>35</v>
      </c>
      <c r="D18" t="s">
        <v>29</v>
      </c>
      <c r="E18" t="s">
        <v>24</v>
      </c>
      <c r="F18" t="s">
        <v>21</v>
      </c>
      <c r="G18" t="s">
        <v>25</v>
      </c>
      <c r="H18" s="1">
        <v>660924</v>
      </c>
      <c r="I18" s="3">
        <v>0</v>
      </c>
      <c r="J18" s="3">
        <v>1168044</v>
      </c>
      <c r="K18" s="3">
        <v>23848.23</v>
      </c>
      <c r="L18" s="2">
        <v>23.6</v>
      </c>
      <c r="M18" s="11">
        <v>48</v>
      </c>
      <c r="N18" s="3">
        <v>18</v>
      </c>
      <c r="O18" s="3">
        <v>1964923</v>
      </c>
      <c r="P18" s="3">
        <v>3321406</v>
      </c>
      <c r="Q18" s="10">
        <v>0</v>
      </c>
      <c r="R18" s="3">
        <f>(Таблица1[Размер кредита]-$AA$2)/$AA$3</f>
        <v>2.0002173939413912</v>
      </c>
      <c r="S18" s="3">
        <f>(Таблица1[Кредитный рейтинг]-$AA$7)/($AA$8-$AA$7)</f>
        <v>0</v>
      </c>
      <c r="T18" s="3">
        <f>(Таблица1[Срок с последнего нарушения кредитного договора (мес,)]-$AA$12)/($AA$13-$AA$12)</f>
        <v>0.54545454545454541</v>
      </c>
      <c r="U18" s="3">
        <f>(Таблица1[Количество кредитных карт]-$AA$18)/($AA$19-$AA$18)</f>
        <v>0.40476190476190477</v>
      </c>
      <c r="V18" s="3">
        <f>(Таблица1[Число нарушений кредитных договоров]-$AA$23)/($AA$24-$AA$23)</f>
        <v>0</v>
      </c>
      <c r="W18" s="3">
        <f>Таблица1[[#This Row],[Годовой доход]]/12</f>
        <v>97337</v>
      </c>
      <c r="X18" s="3">
        <f>Таблица1[[#This Row],[Ежемесячный платеж]]/Таблица1[[#This Row],[Ежем доход]]</f>
        <v>0.24500683193441342</v>
      </c>
      <c r="Y18" s="3"/>
      <c r="Z18" s="3" t="s">
        <v>2061</v>
      </c>
      <c r="AA18" s="3">
        <f>MIN(Таблица1[Количество кредитных карт])</f>
        <v>1</v>
      </c>
      <c r="AB18" s="3"/>
    </row>
    <row r="19" spans="1:40" x14ac:dyDescent="0.2">
      <c r="A19">
        <v>1703</v>
      </c>
      <c r="B19" t="s">
        <v>1741</v>
      </c>
      <c r="C19" t="s">
        <v>18</v>
      </c>
      <c r="D19" t="s">
        <v>19</v>
      </c>
      <c r="E19" t="s">
        <v>24</v>
      </c>
      <c r="F19" t="s">
        <v>21</v>
      </c>
      <c r="G19" t="s">
        <v>25</v>
      </c>
      <c r="H19" s="1">
        <v>520608</v>
      </c>
      <c r="I19" s="3">
        <v>748</v>
      </c>
      <c r="J19" s="3">
        <v>1386316</v>
      </c>
      <c r="K19" s="3">
        <v>23913.97</v>
      </c>
      <c r="L19" s="2">
        <v>29</v>
      </c>
      <c r="M19" s="11">
        <v>40</v>
      </c>
      <c r="N19" s="3">
        <v>25</v>
      </c>
      <c r="O19" s="3">
        <v>674918</v>
      </c>
      <c r="P19" s="3">
        <v>3256132</v>
      </c>
      <c r="Q19" s="10">
        <v>0</v>
      </c>
      <c r="R19" s="3">
        <f>(Таблица1[Размер кредита]-$AA$2)/$AA$3</f>
        <v>1.2013589907676183</v>
      </c>
      <c r="S19" s="3">
        <f>(Таблица1[Кредитный рейтинг]-$AA$7)/($AA$8-$AA$7)</f>
        <v>0.99600532623169102</v>
      </c>
      <c r="T19" s="3">
        <f>(Таблица1[Срок с последнего нарушения кредитного договора (мес,)]-$AA$12)/($AA$13-$AA$12)</f>
        <v>0.45454545454545453</v>
      </c>
      <c r="U19" s="3">
        <f>(Таблица1[Количество кредитных карт]-$AA$18)/($AA$19-$AA$18)</f>
        <v>0.5714285714285714</v>
      </c>
      <c r="V19" s="3">
        <f>(Таблица1[Число нарушений кредитных договоров]-$AA$23)/($AA$24-$AA$23)</f>
        <v>0</v>
      </c>
      <c r="W19" s="3">
        <f>Таблица1[[#This Row],[Годовой доход]]/12</f>
        <v>115526.33333333333</v>
      </c>
      <c r="X19" s="3">
        <f>Таблица1[[#This Row],[Ежемесячный платеж]]/Таблица1[[#This Row],[Ежем доход]]</f>
        <v>0.20700016446466751</v>
      </c>
      <c r="Y19" s="3"/>
      <c r="Z19" s="3" t="s">
        <v>2062</v>
      </c>
      <c r="AA19" s="3">
        <f>MAX(Таблица1[Количество кредитных карт])</f>
        <v>43</v>
      </c>
      <c r="AB19" s="3"/>
      <c r="AC19" t="s">
        <v>2046</v>
      </c>
      <c r="AD19">
        <f>ABS(SKEW(Таблица1[Размер кредита]))</f>
        <v>0.82899371463640636</v>
      </c>
      <c r="AE19" s="13">
        <f>ABS(SKEW(Таблица1[Кредитный рейтинг]))</f>
        <v>1.4710187944810225</v>
      </c>
      <c r="AF19" s="13">
        <f>ABS(SKEW(Таблица1[Годовой доход]))</f>
        <v>3.1715659512106047</v>
      </c>
      <c r="AG19">
        <f>ABS(SKEW(Таблица1[Ежемесячный платеж]))</f>
        <v>1.6209072339766897</v>
      </c>
      <c r="AH19">
        <f>ABS(SKEW(Таблица1[Срок кредитной истории (лет)]))</f>
        <v>0.99511551258602071</v>
      </c>
      <c r="AI19" s="13">
        <f>ABS(SKEW(Таблица1[Срок с последнего нарушения кредитного договора (мес,)]))</f>
        <v>0.58392399016037744</v>
      </c>
      <c r="AJ19">
        <f>ABS(SKEW(Таблица1[Количество кредитных карт]))</f>
        <v>1.2631778728836931</v>
      </c>
      <c r="AK19">
        <f>ABS(SKEW(Таблица1[Текущий баланс кредитов]))</f>
        <v>5.7126299712195738</v>
      </c>
      <c r="AL19">
        <f>ABS(SKEW(Таблица1[Максимальный выданный кредит]))</f>
        <v>34.084223701863522</v>
      </c>
      <c r="AM19">
        <f>ABS(SKEW(Таблица1[Число нарушений кредитных договоров]))</f>
        <v>4.6885751962032653</v>
      </c>
    </row>
    <row r="20" spans="1:40" x14ac:dyDescent="0.2">
      <c r="A20">
        <v>1855</v>
      </c>
      <c r="B20" t="s">
        <v>1892</v>
      </c>
      <c r="C20" t="s">
        <v>18</v>
      </c>
      <c r="D20" t="s">
        <v>19</v>
      </c>
      <c r="E20" t="s">
        <v>24</v>
      </c>
      <c r="F20" t="s">
        <v>21</v>
      </c>
      <c r="G20" t="s">
        <v>75</v>
      </c>
      <c r="H20" s="1">
        <v>174284</v>
      </c>
      <c r="I20" s="3">
        <v>751</v>
      </c>
      <c r="J20" s="3">
        <v>1625678</v>
      </c>
      <c r="K20" s="3">
        <v>9916.67</v>
      </c>
      <c r="L20" s="2">
        <v>34.200000000000003</v>
      </c>
      <c r="M20" s="11">
        <v>35.265240640000002</v>
      </c>
      <c r="N20" s="3">
        <v>17</v>
      </c>
      <c r="O20" s="3">
        <v>145559</v>
      </c>
      <c r="P20" s="3">
        <v>3064402</v>
      </c>
      <c r="Q20" s="10">
        <v>0</v>
      </c>
      <c r="R20" s="3">
        <f>(Таблица1[Размер кредита]-$AA$2)/$AA$3</f>
        <v>-0.7703608246543846</v>
      </c>
      <c r="S20" s="3">
        <f>(Таблица1[Кредитный рейтинг]-$AA$7)/($AA$8-$AA$7)</f>
        <v>1</v>
      </c>
      <c r="T20" s="3">
        <f>(Таблица1[Срок с последнего нарушения кредитного договора (мес,)]-$AA$12)/($AA$13-$AA$12)</f>
        <v>0.40074137090909095</v>
      </c>
      <c r="U20" s="3">
        <f>(Таблица1[Количество кредитных карт]-$AA$18)/($AA$19-$AA$18)</f>
        <v>0.38095238095238093</v>
      </c>
      <c r="V20" s="3">
        <f>(Таблица1[Число нарушений кредитных договоров]-$AA$23)/($AA$24-$AA$23)</f>
        <v>0</v>
      </c>
      <c r="W20" s="3">
        <f>Таблица1[[#This Row],[Годовой доход]]/12</f>
        <v>135473.16666666666</v>
      </c>
      <c r="X20" s="3">
        <f>Таблица1[[#This Row],[Ежемесячный платеж]]/Таблица1[[#This Row],[Ежем доход]]</f>
        <v>7.320025244851687E-2</v>
      </c>
      <c r="Y20" s="3"/>
      <c r="Z20" s="3" t="s">
        <v>2063</v>
      </c>
      <c r="AA20" s="3">
        <f>SUM(Таблица1[min max Кол кр карт])</f>
        <v>482.92857142857252</v>
      </c>
      <c r="AB20" s="3"/>
      <c r="AD20" t="s">
        <v>2047</v>
      </c>
      <c r="AE20" t="s">
        <v>2048</v>
      </c>
      <c r="AF20" t="s">
        <v>2048</v>
      </c>
      <c r="AG20" t="s">
        <v>2048</v>
      </c>
      <c r="AH20" t="s">
        <v>2047</v>
      </c>
      <c r="AI20" t="s">
        <v>2047</v>
      </c>
      <c r="AJ20" t="s">
        <v>2048</v>
      </c>
      <c r="AK20" t="s">
        <v>2048</v>
      </c>
      <c r="AL20" t="s">
        <v>2048</v>
      </c>
      <c r="AM20" t="s">
        <v>2048</v>
      </c>
    </row>
    <row r="21" spans="1:40" x14ac:dyDescent="0.2">
      <c r="A21">
        <v>1231</v>
      </c>
      <c r="B21" t="s">
        <v>1270</v>
      </c>
      <c r="C21" t="s">
        <v>18</v>
      </c>
      <c r="D21" t="s">
        <v>29</v>
      </c>
      <c r="E21" t="s">
        <v>63</v>
      </c>
      <c r="F21" t="s">
        <v>21</v>
      </c>
      <c r="G21" t="s">
        <v>25</v>
      </c>
      <c r="H21" s="1">
        <v>761222</v>
      </c>
      <c r="I21" s="3">
        <v>678</v>
      </c>
      <c r="J21" s="3">
        <v>3287095</v>
      </c>
      <c r="K21" s="3">
        <v>48758.559999999998</v>
      </c>
      <c r="L21" s="2">
        <v>28.4</v>
      </c>
      <c r="M21" s="11">
        <v>35.265240640000002</v>
      </c>
      <c r="N21" s="3">
        <v>24</v>
      </c>
      <c r="O21" s="3">
        <v>1740609</v>
      </c>
      <c r="P21" s="3">
        <v>2883320</v>
      </c>
      <c r="Q21" s="10">
        <v>0</v>
      </c>
      <c r="R21" s="3">
        <f>(Таблица1[Размер кредита]-$AA$2)/$AA$3</f>
        <v>2.5712420819422115</v>
      </c>
      <c r="S21" s="3">
        <f>(Таблица1[Кредитный рейтинг]-$AA$7)/($AA$8-$AA$7)</f>
        <v>0.90279627163781628</v>
      </c>
      <c r="T21" s="3">
        <f>(Таблица1[Срок с последнего нарушения кредитного договора (мес,)]-$AA$12)/($AA$13-$AA$12)</f>
        <v>0.40074137090909095</v>
      </c>
      <c r="U21" s="3">
        <f>(Таблица1[Количество кредитных карт]-$AA$18)/($AA$19-$AA$18)</f>
        <v>0.54761904761904767</v>
      </c>
      <c r="V21" s="3">
        <f>(Таблица1[Число нарушений кредитных договоров]-$AA$23)/($AA$24-$AA$23)</f>
        <v>0</v>
      </c>
      <c r="W21" s="3">
        <f>Таблица1[[#This Row],[Годовой доход]]/12</f>
        <v>273924.58333333331</v>
      </c>
      <c r="X21" s="3">
        <f>Таблица1[[#This Row],[Ежемесячный платеж]]/Таблица1[[#This Row],[Ежем доход]]</f>
        <v>0.17799994219820237</v>
      </c>
      <c r="Y21" s="3"/>
      <c r="Z21" s="3"/>
      <c r="AA21" s="3"/>
      <c r="AB21" s="3"/>
    </row>
    <row r="22" spans="1:40" x14ac:dyDescent="0.2">
      <c r="A22">
        <v>1841</v>
      </c>
      <c r="B22" t="s">
        <v>1878</v>
      </c>
      <c r="C22" t="s">
        <v>18</v>
      </c>
      <c r="D22" t="s">
        <v>29</v>
      </c>
      <c r="E22" t="s">
        <v>37</v>
      </c>
      <c r="F22" t="s">
        <v>21</v>
      </c>
      <c r="G22" t="s">
        <v>70</v>
      </c>
      <c r="H22" s="1">
        <v>176660</v>
      </c>
      <c r="I22" s="3">
        <v>705</v>
      </c>
      <c r="J22" s="3">
        <v>1844444</v>
      </c>
      <c r="K22" s="3">
        <v>23347.58</v>
      </c>
      <c r="L22" s="2">
        <v>28.9</v>
      </c>
      <c r="M22" s="11">
        <v>14</v>
      </c>
      <c r="N22" s="3">
        <v>16</v>
      </c>
      <c r="O22" s="3">
        <v>1009394</v>
      </c>
      <c r="P22" s="3">
        <v>2850672</v>
      </c>
      <c r="Q22" s="10">
        <v>0</v>
      </c>
      <c r="R22" s="3">
        <f>(Таблица1[Размер кредита]-$AA$2)/$AA$3</f>
        <v>-0.75683358922905253</v>
      </c>
      <c r="S22" s="3">
        <f>(Таблица1[Кредитный рейтинг]-$AA$7)/($AA$8-$AA$7)</f>
        <v>0.93874833555259651</v>
      </c>
      <c r="T22" s="3">
        <f>(Таблица1[Срок с последнего нарушения кредитного договора (мес,)]-$AA$12)/($AA$13-$AA$12)</f>
        <v>0.15909090909090909</v>
      </c>
      <c r="U22" s="3">
        <f>(Таблица1[Количество кредитных карт]-$AA$18)/($AA$19-$AA$18)</f>
        <v>0.35714285714285715</v>
      </c>
      <c r="V22" s="3">
        <f>(Таблица1[Число нарушений кредитных договоров]-$AA$23)/($AA$24-$AA$23)</f>
        <v>0</v>
      </c>
      <c r="W22" s="3">
        <f>Таблица1[[#This Row],[Годовой доход]]/12</f>
        <v>153703.66666666666</v>
      </c>
      <c r="X22" s="3">
        <f>Таблица1[[#This Row],[Ежемесячный платеж]]/Таблица1[[#This Row],[Ежем доход]]</f>
        <v>0.15189995467468789</v>
      </c>
      <c r="Y22" s="3"/>
      <c r="Z22" s="3" t="s">
        <v>2071</v>
      </c>
      <c r="AA22" s="3"/>
      <c r="AB22" s="3"/>
      <c r="AF22" t="s">
        <v>2050</v>
      </c>
      <c r="AI22" t="s">
        <v>2049</v>
      </c>
      <c r="AN22" t="s">
        <v>2051</v>
      </c>
    </row>
    <row r="23" spans="1:40" x14ac:dyDescent="0.2">
      <c r="A23">
        <v>1905</v>
      </c>
      <c r="B23" t="s">
        <v>1941</v>
      </c>
      <c r="C23" t="s">
        <v>18</v>
      </c>
      <c r="D23" t="s">
        <v>19</v>
      </c>
      <c r="E23" t="s">
        <v>24</v>
      </c>
      <c r="F23" t="s">
        <v>21</v>
      </c>
      <c r="G23" t="s">
        <v>25</v>
      </c>
      <c r="H23" s="1">
        <v>687170</v>
      </c>
      <c r="I23" s="3">
        <v>734</v>
      </c>
      <c r="J23" s="3">
        <v>2132788</v>
      </c>
      <c r="K23" s="3">
        <v>58829.13</v>
      </c>
      <c r="L23" s="2">
        <v>18.5</v>
      </c>
      <c r="M23" s="11">
        <v>69</v>
      </c>
      <c r="N23" s="3">
        <v>20</v>
      </c>
      <c r="O23" s="3">
        <v>826804</v>
      </c>
      <c r="P23" s="3">
        <v>2849242</v>
      </c>
      <c r="Q23" s="10">
        <v>0</v>
      </c>
      <c r="R23" s="3">
        <f>(Таблица1[Размер кредита]-$AA$2)/$AA$3</f>
        <v>2.1496432445193641</v>
      </c>
      <c r="S23" s="3">
        <f>(Таблица1[Кредитный рейтинг]-$AA$7)/($AA$8-$AA$7)</f>
        <v>0.9773635153129161</v>
      </c>
      <c r="T23" s="3">
        <f>(Таблица1[Срок с последнего нарушения кредитного договора (мес,)]-$AA$12)/($AA$13-$AA$12)</f>
        <v>0.78409090909090906</v>
      </c>
      <c r="U23" s="3">
        <f>(Таблица1[Количество кредитных карт]-$AA$18)/($AA$19-$AA$18)</f>
        <v>0.45238095238095238</v>
      </c>
      <c r="V23" s="3">
        <f>(Таблица1[Число нарушений кредитных договоров]-$AA$23)/($AA$24-$AA$23)</f>
        <v>0</v>
      </c>
      <c r="W23" s="3">
        <f>Таблица1[[#This Row],[Годовой доход]]/12</f>
        <v>177732.33333333334</v>
      </c>
      <c r="X23" s="3">
        <f>Таблица1[[#This Row],[Ежемесячный платеж]]/Таблица1[[#This Row],[Ежем доход]]</f>
        <v>0.33099846773331432</v>
      </c>
      <c r="Y23" s="3"/>
      <c r="Z23" s="3" t="s">
        <v>2061</v>
      </c>
      <c r="AA23" s="3">
        <f>MIN(Таблица1[Число нарушений кредитных договоров])</f>
        <v>0</v>
      </c>
      <c r="AB23" s="3"/>
      <c r="AF23">
        <f>MEDIAN(Таблица1[Годовой доход])</f>
        <v>1168044</v>
      </c>
      <c r="AI23">
        <f>AVERAGE(Таблица1[Срок с последнего нарушения кредитного договора (мес,)])</f>
        <v>35.265240640800421</v>
      </c>
      <c r="AN23" t="e">
        <f>MODE(E:E)</f>
        <v>#N/A</v>
      </c>
    </row>
    <row r="24" spans="1:40" x14ac:dyDescent="0.2">
      <c r="A24">
        <v>1614</v>
      </c>
      <c r="B24" t="s">
        <v>1653</v>
      </c>
      <c r="C24" t="s">
        <v>18</v>
      </c>
      <c r="D24" t="s">
        <v>29</v>
      </c>
      <c r="E24" t="s">
        <v>24</v>
      </c>
      <c r="F24" t="s">
        <v>21</v>
      </c>
      <c r="G24" t="s">
        <v>25</v>
      </c>
      <c r="H24" s="1">
        <v>540518</v>
      </c>
      <c r="I24" s="3">
        <v>687</v>
      </c>
      <c r="J24" s="3">
        <v>1556024</v>
      </c>
      <c r="K24" s="3">
        <v>27360.19</v>
      </c>
      <c r="L24" s="2">
        <v>14.6</v>
      </c>
      <c r="M24" s="11">
        <v>35.265240640000002</v>
      </c>
      <c r="N24" s="3">
        <v>10</v>
      </c>
      <c r="O24" s="3">
        <v>2114738</v>
      </c>
      <c r="P24" s="3">
        <v>2817760</v>
      </c>
      <c r="Q24" s="10">
        <v>0</v>
      </c>
      <c r="R24" s="3">
        <f>(Таблица1[Размер кредита]-$AA$2)/$AA$3</f>
        <v>1.3147122135447058</v>
      </c>
      <c r="S24" s="3">
        <f>(Таблица1[Кредитный рейтинг]-$AA$7)/($AA$8-$AA$7)</f>
        <v>0.91478029294274299</v>
      </c>
      <c r="T24" s="3">
        <f>(Таблица1[Срок с последнего нарушения кредитного договора (мес,)]-$AA$12)/($AA$13-$AA$12)</f>
        <v>0.40074137090909095</v>
      </c>
      <c r="U24" s="3">
        <f>(Таблица1[Количество кредитных карт]-$AA$18)/($AA$19-$AA$18)</f>
        <v>0.21428571428571427</v>
      </c>
      <c r="V24" s="3">
        <f>(Таблица1[Число нарушений кредитных договоров]-$AA$23)/($AA$24-$AA$23)</f>
        <v>0</v>
      </c>
      <c r="W24" s="3">
        <f>Таблица1[[#This Row],[Годовой доход]]/12</f>
        <v>129668.66666666667</v>
      </c>
      <c r="X24" s="3">
        <f>Таблица1[[#This Row],[Ежемесячный платеж]]/Таблица1[[#This Row],[Ежем доход]]</f>
        <v>0.21100078147894891</v>
      </c>
      <c r="Y24" s="3"/>
      <c r="Z24" s="3" t="s">
        <v>2062</v>
      </c>
      <c r="AA24" s="3">
        <f>MAX(Таблица1[Число нарушений кредитных договоров])</f>
        <v>7</v>
      </c>
      <c r="AB24" s="3"/>
    </row>
    <row r="25" spans="1:40" x14ac:dyDescent="0.2">
      <c r="A25">
        <v>734</v>
      </c>
      <c r="B25" t="s">
        <v>775</v>
      </c>
      <c r="C25" t="s">
        <v>18</v>
      </c>
      <c r="D25" t="s">
        <v>19</v>
      </c>
      <c r="E25" t="s">
        <v>69</v>
      </c>
      <c r="F25" t="s">
        <v>21</v>
      </c>
      <c r="G25" t="s">
        <v>25</v>
      </c>
      <c r="H25" s="1">
        <v>395846</v>
      </c>
      <c r="I25" s="3">
        <v>751</v>
      </c>
      <c r="J25" s="3">
        <v>3228708</v>
      </c>
      <c r="K25" s="3">
        <v>31749</v>
      </c>
      <c r="L25" s="2">
        <v>18.2</v>
      </c>
      <c r="M25" s="11">
        <v>35.265240640000002</v>
      </c>
      <c r="N25" s="3">
        <v>13</v>
      </c>
      <c r="O25" s="3">
        <v>817589</v>
      </c>
      <c r="P25" s="3">
        <v>2674232</v>
      </c>
      <c r="Q25" s="10">
        <v>0</v>
      </c>
      <c r="R25" s="3">
        <f>(Таблица1[Размер кредита]-$AA$2)/$AA$3</f>
        <v>0.49105387875782425</v>
      </c>
      <c r="S25" s="3">
        <f>(Таблица1[Кредитный рейтинг]-$AA$7)/($AA$8-$AA$7)</f>
        <v>1</v>
      </c>
      <c r="T25" s="3">
        <f>(Таблица1[Срок с последнего нарушения кредитного договора (мес,)]-$AA$12)/($AA$13-$AA$12)</f>
        <v>0.40074137090909095</v>
      </c>
      <c r="U25" s="3">
        <f>(Таблица1[Количество кредитных карт]-$AA$18)/($AA$19-$AA$18)</f>
        <v>0.2857142857142857</v>
      </c>
      <c r="V25" s="3">
        <f>(Таблица1[Число нарушений кредитных договоров]-$AA$23)/($AA$24-$AA$23)</f>
        <v>0</v>
      </c>
      <c r="W25" s="3">
        <f>Таблица1[[#This Row],[Годовой доход]]/12</f>
        <v>269059</v>
      </c>
      <c r="X25" s="3">
        <f>Таблица1[[#This Row],[Ежемесячный платеж]]/Таблица1[[#This Row],[Ежем доход]]</f>
        <v>0.11800014123296378</v>
      </c>
      <c r="Y25" s="3"/>
      <c r="Z25" s="3" t="s">
        <v>2063</v>
      </c>
      <c r="AA25" s="3">
        <f>SUM(Таблица1[min max Число нар кред дог])</f>
        <v>51.857142857143103</v>
      </c>
      <c r="AB25" s="3"/>
      <c r="AC25" s="7" t="s">
        <v>15</v>
      </c>
      <c r="AD25" t="s">
        <v>2041</v>
      </c>
      <c r="AE25" t="s">
        <v>2045</v>
      </c>
      <c r="AF25" t="s">
        <v>2042</v>
      </c>
      <c r="AG25" t="s">
        <v>2050</v>
      </c>
      <c r="AH25" t="s">
        <v>2052</v>
      </c>
      <c r="AI25" t="s">
        <v>2053</v>
      </c>
    </row>
    <row r="26" spans="1:40" x14ac:dyDescent="0.2">
      <c r="A26">
        <v>540</v>
      </c>
      <c r="B26" t="s">
        <v>581</v>
      </c>
      <c r="C26" t="s">
        <v>18</v>
      </c>
      <c r="D26" t="s">
        <v>29</v>
      </c>
      <c r="E26" t="s">
        <v>24</v>
      </c>
      <c r="F26" t="s">
        <v>21</v>
      </c>
      <c r="G26" t="s">
        <v>25</v>
      </c>
      <c r="H26" s="1">
        <v>436524</v>
      </c>
      <c r="I26" s="3">
        <v>0</v>
      </c>
      <c r="J26" s="3">
        <v>1168044</v>
      </c>
      <c r="K26" s="3">
        <v>11100.18</v>
      </c>
      <c r="L26" s="2">
        <v>20</v>
      </c>
      <c r="M26" s="11">
        <v>7</v>
      </c>
      <c r="N26" s="3">
        <v>17</v>
      </c>
      <c r="O26" s="3">
        <v>364192</v>
      </c>
      <c r="P26" s="3">
        <v>2652232</v>
      </c>
      <c r="Q26" s="10">
        <v>0</v>
      </c>
      <c r="R26" s="3">
        <f>(Таблица1[Размер кредита]-$AA$2)/$AA$3</f>
        <v>0.72264515932670259</v>
      </c>
      <c r="S26" s="3">
        <f>(Таблица1[Кредитный рейтинг]-$AA$7)/($AA$8-$AA$7)</f>
        <v>0</v>
      </c>
      <c r="T26" s="3">
        <f>(Таблица1[Срок с последнего нарушения кредитного договора (мес,)]-$AA$12)/($AA$13-$AA$12)</f>
        <v>7.9545454545454544E-2</v>
      </c>
      <c r="U26" s="3">
        <f>(Таблица1[Количество кредитных карт]-$AA$18)/($AA$19-$AA$18)</f>
        <v>0.38095238095238093</v>
      </c>
      <c r="V26" s="3">
        <f>(Таблица1[Число нарушений кредитных договоров]-$AA$23)/($AA$24-$AA$23)</f>
        <v>0</v>
      </c>
      <c r="W26" s="3">
        <f>Таблица1[[#This Row],[Годовой доход]]/12</f>
        <v>97337</v>
      </c>
      <c r="X26" s="3">
        <f>Таблица1[[#This Row],[Ежемесячный платеж]]/Таблица1[[#This Row],[Ежем доход]]</f>
        <v>0.11403864922896741</v>
      </c>
      <c r="Y26" s="3"/>
      <c r="Z26" s="3"/>
      <c r="AA26" s="3"/>
      <c r="AB26" s="3"/>
      <c r="AC26" t="s">
        <v>2054</v>
      </c>
      <c r="AD26">
        <v>265793</v>
      </c>
      <c r="AE26">
        <v>756321.5</v>
      </c>
      <c r="AF26">
        <v>490528.5</v>
      </c>
      <c r="AG26">
        <v>449933</v>
      </c>
      <c r="AH26">
        <v>9.1166408690807863</v>
      </c>
      <c r="AI26">
        <v>566632071380.90381</v>
      </c>
    </row>
    <row r="27" spans="1:40" x14ac:dyDescent="0.2">
      <c r="A27">
        <v>1445</v>
      </c>
      <c r="B27" t="s">
        <v>1484</v>
      </c>
      <c r="C27" t="s">
        <v>35</v>
      </c>
      <c r="D27" t="s">
        <v>29</v>
      </c>
      <c r="E27" t="s">
        <v>41</v>
      </c>
      <c r="F27" t="s">
        <v>21</v>
      </c>
      <c r="G27" t="s">
        <v>67</v>
      </c>
      <c r="H27" s="1">
        <v>560956</v>
      </c>
      <c r="I27" s="3">
        <v>668</v>
      </c>
      <c r="J27" s="3">
        <v>3391253</v>
      </c>
      <c r="K27" s="3">
        <v>35325.56</v>
      </c>
      <c r="L27" s="2">
        <v>30.3</v>
      </c>
      <c r="M27" s="11">
        <v>22</v>
      </c>
      <c r="N27" s="3">
        <v>29</v>
      </c>
      <c r="O27" s="3">
        <v>570912</v>
      </c>
      <c r="P27" s="3">
        <v>2592348</v>
      </c>
      <c r="Q27" s="10">
        <v>0</v>
      </c>
      <c r="R27" s="3">
        <f>(Таблица1[Размер кредита]-$AA$2)/$AA$3</f>
        <v>1.4310714886385338</v>
      </c>
      <c r="S27" s="3">
        <f>(Таблица1[Кредитный рейтинг]-$AA$7)/($AA$8-$AA$7)</f>
        <v>0.88948069241011984</v>
      </c>
      <c r="T27" s="3">
        <f>(Таблица1[Срок с последнего нарушения кредитного договора (мес,)]-$AA$12)/($AA$13-$AA$12)</f>
        <v>0.25</v>
      </c>
      <c r="U27" s="3">
        <f>(Таблица1[Количество кредитных карт]-$AA$18)/($AA$19-$AA$18)</f>
        <v>0.66666666666666663</v>
      </c>
      <c r="V27" s="3">
        <f>(Таблица1[Число нарушений кредитных договоров]-$AA$23)/($AA$24-$AA$23)</f>
        <v>0</v>
      </c>
      <c r="W27" s="3">
        <f>Таблица1[[#This Row],[Годовой доход]]/12</f>
        <v>282604.41666666669</v>
      </c>
      <c r="X27" s="3">
        <f>Таблица1[[#This Row],[Ежемесячный платеж]]/Таблица1[[#This Row],[Ежем доход]]</f>
        <v>0.12500002801324464</v>
      </c>
      <c r="Y27" s="3"/>
      <c r="Z27" s="3"/>
      <c r="AA27" s="3"/>
      <c r="AB27" s="3"/>
      <c r="AC27" t="s">
        <v>2055</v>
      </c>
      <c r="AD27">
        <v>265947</v>
      </c>
      <c r="AE27">
        <v>756701</v>
      </c>
      <c r="AF27">
        <v>490754</v>
      </c>
      <c r="AG27">
        <v>450670</v>
      </c>
      <c r="AH27">
        <v>34.084223701863515</v>
      </c>
      <c r="AI27">
        <v>13614413429131.938</v>
      </c>
    </row>
    <row r="28" spans="1:40" x14ac:dyDescent="0.2">
      <c r="A28">
        <v>1398</v>
      </c>
      <c r="B28" t="s">
        <v>1437</v>
      </c>
      <c r="C28" t="s">
        <v>18</v>
      </c>
      <c r="D28" t="s">
        <v>29</v>
      </c>
      <c r="E28" t="s">
        <v>69</v>
      </c>
      <c r="F28" t="s">
        <v>21</v>
      </c>
      <c r="G28" t="s">
        <v>25</v>
      </c>
      <c r="H28" s="1">
        <v>789096</v>
      </c>
      <c r="I28" s="3">
        <v>681</v>
      </c>
      <c r="J28" s="3">
        <v>2433900</v>
      </c>
      <c r="K28" s="3">
        <v>39956.43</v>
      </c>
      <c r="L28" s="2">
        <v>28.1</v>
      </c>
      <c r="M28" s="11">
        <v>35.265240640000002</v>
      </c>
      <c r="N28" s="3">
        <v>17</v>
      </c>
      <c r="O28" s="3">
        <v>2191726</v>
      </c>
      <c r="P28" s="3">
        <v>2589576</v>
      </c>
      <c r="Q28" s="10">
        <v>0</v>
      </c>
      <c r="R28" s="3">
        <f>(Таблица1[Размер кредита]-$AA$2)/$AA$3</f>
        <v>2.7299365938301339</v>
      </c>
      <c r="S28" s="3">
        <f>(Таблица1[Кредитный рейтинг]-$AA$7)/($AA$8-$AA$7)</f>
        <v>0.90679094540612515</v>
      </c>
      <c r="T28" s="3">
        <f>(Таблица1[Срок с последнего нарушения кредитного договора (мес,)]-$AA$12)/($AA$13-$AA$12)</f>
        <v>0.40074137090909095</v>
      </c>
      <c r="U28" s="3">
        <f>(Таблица1[Количество кредитных карт]-$AA$18)/($AA$19-$AA$18)</f>
        <v>0.38095238095238093</v>
      </c>
      <c r="V28" s="3">
        <f>(Таблица1[Число нарушений кредитных договоров]-$AA$23)/($AA$24-$AA$23)</f>
        <v>0</v>
      </c>
      <c r="W28" s="3">
        <f>Таблица1[[#This Row],[Годовой доход]]/12</f>
        <v>202825</v>
      </c>
      <c r="X28" s="3">
        <f>Таблица1[[#This Row],[Ежемесячный платеж]]/Таблица1[[#This Row],[Ежем доход]]</f>
        <v>0.19699953161592507</v>
      </c>
      <c r="Y28" s="3"/>
      <c r="Z28" s="15">
        <v>18</v>
      </c>
      <c r="AA28" s="3">
        <f>AVERAGE(Таблица1[Доля ежем плат/ежем доход])</f>
        <v>0.17315445376764496</v>
      </c>
      <c r="AB28" s="3"/>
    </row>
    <row r="29" spans="1:40" x14ac:dyDescent="0.2">
      <c r="A29">
        <v>1166</v>
      </c>
      <c r="B29" t="s">
        <v>1205</v>
      </c>
      <c r="C29" t="s">
        <v>35</v>
      </c>
      <c r="D29" t="s">
        <v>29</v>
      </c>
      <c r="E29" t="s">
        <v>52</v>
      </c>
      <c r="F29" t="s">
        <v>21</v>
      </c>
      <c r="G29" t="s">
        <v>25</v>
      </c>
      <c r="H29" s="1">
        <v>778316</v>
      </c>
      <c r="I29" s="3">
        <v>709</v>
      </c>
      <c r="J29" s="3">
        <v>2016546</v>
      </c>
      <c r="K29" s="3">
        <v>52262.16</v>
      </c>
      <c r="L29" s="2">
        <v>22.5</v>
      </c>
      <c r="M29" s="11">
        <v>35.265240640000002</v>
      </c>
      <c r="N29" s="3">
        <v>28</v>
      </c>
      <c r="O29" s="3">
        <v>1009375</v>
      </c>
      <c r="P29" s="3">
        <v>2557412</v>
      </c>
      <c r="Q29" s="10">
        <v>0</v>
      </c>
      <c r="R29" s="3">
        <f>(Таблица1[Размер кредита]-$AA$2)/$AA$3</f>
        <v>2.6685630256966832</v>
      </c>
      <c r="S29" s="3">
        <f>(Таблица1[Кредитный рейтинг]-$AA$7)/($AA$8-$AA$7)</f>
        <v>0.94407456724367511</v>
      </c>
      <c r="T29" s="3">
        <f>(Таблица1[Срок с последнего нарушения кредитного договора (мес,)]-$AA$12)/($AA$13-$AA$12)</f>
        <v>0.40074137090909095</v>
      </c>
      <c r="U29" s="3">
        <f>(Таблица1[Количество кредитных карт]-$AA$18)/($AA$19-$AA$18)</f>
        <v>0.6428571428571429</v>
      </c>
      <c r="V29" s="3">
        <f>(Таблица1[Число нарушений кредитных договоров]-$AA$23)/($AA$24-$AA$23)</f>
        <v>0</v>
      </c>
      <c r="W29" s="3">
        <f>Таблица1[[#This Row],[Годовой доход]]/12</f>
        <v>168045.5</v>
      </c>
      <c r="X29" s="3">
        <f>Таблица1[[#This Row],[Ежемесячный платеж]]/Таблица1[[#This Row],[Ежем доход]]</f>
        <v>0.31100005653230822</v>
      </c>
      <c r="Y29" s="3"/>
      <c r="Z29" s="3"/>
      <c r="AA29" s="3"/>
      <c r="AB29" s="3"/>
      <c r="AC29" s="12">
        <v>145907344</v>
      </c>
      <c r="AD29" t="s">
        <v>2060</v>
      </c>
      <c r="AF29">
        <f>AF27-AF26</f>
        <v>225.5</v>
      </c>
      <c r="AI29">
        <f>AI26-AI27</f>
        <v>-13047781357751.033</v>
      </c>
    </row>
    <row r="30" spans="1:40" x14ac:dyDescent="0.2">
      <c r="A30">
        <v>1519</v>
      </c>
      <c r="B30" t="s">
        <v>1558</v>
      </c>
      <c r="C30" t="s">
        <v>18</v>
      </c>
      <c r="D30" t="s">
        <v>19</v>
      </c>
      <c r="E30" t="s">
        <v>24</v>
      </c>
      <c r="F30" t="s">
        <v>21</v>
      </c>
      <c r="G30" t="s">
        <v>25</v>
      </c>
      <c r="H30" s="1">
        <v>448734</v>
      </c>
      <c r="I30" s="3">
        <v>0</v>
      </c>
      <c r="J30" s="3">
        <v>1168044</v>
      </c>
      <c r="K30" s="3">
        <v>16742.419999999998</v>
      </c>
      <c r="L30" s="2">
        <v>18.399999999999999</v>
      </c>
      <c r="M30" s="11">
        <v>7</v>
      </c>
      <c r="N30" s="3">
        <v>21</v>
      </c>
      <c r="O30" s="3">
        <v>495672</v>
      </c>
      <c r="P30" s="3">
        <v>2539526</v>
      </c>
      <c r="Q30" s="10">
        <v>0</v>
      </c>
      <c r="R30" s="3">
        <f>(Таблица1[Размер кредита]-$AA$2)/$AA$3</f>
        <v>0.79216011915132534</v>
      </c>
      <c r="S30" s="3">
        <f>(Таблица1[Кредитный рейтинг]-$AA$7)/($AA$8-$AA$7)</f>
        <v>0</v>
      </c>
      <c r="T30" s="3">
        <f>(Таблица1[Срок с последнего нарушения кредитного договора (мес,)]-$AA$12)/($AA$13-$AA$12)</f>
        <v>7.9545454545454544E-2</v>
      </c>
      <c r="U30" s="3">
        <f>(Таблица1[Количество кредитных карт]-$AA$18)/($AA$19-$AA$18)</f>
        <v>0.47619047619047616</v>
      </c>
      <c r="V30" s="3">
        <f>(Таблица1[Число нарушений кредитных договоров]-$AA$23)/($AA$24-$AA$23)</f>
        <v>0</v>
      </c>
      <c r="W30" s="3">
        <f>Таблица1[[#This Row],[Годовой доход]]/12</f>
        <v>97337</v>
      </c>
      <c r="X30" s="3">
        <f>Таблица1[[#This Row],[Ежемесячный платеж]]/Таблица1[[#This Row],[Ежем доход]]</f>
        <v>0.17200468475502634</v>
      </c>
      <c r="Y30" s="3"/>
      <c r="Z30" s="3"/>
      <c r="AA30" s="3"/>
      <c r="AB30" s="3"/>
      <c r="AC30" s="12">
        <v>71309216</v>
      </c>
      <c r="AD30">
        <f>AVERAGE(Таблица1[Размер кредита])</f>
        <v>309594.52442179958</v>
      </c>
    </row>
    <row r="31" spans="1:40" x14ac:dyDescent="0.2">
      <c r="A31">
        <v>75</v>
      </c>
      <c r="B31" t="s">
        <v>117</v>
      </c>
      <c r="C31" t="s">
        <v>18</v>
      </c>
      <c r="D31" t="s">
        <v>29</v>
      </c>
      <c r="E31" t="s">
        <v>24</v>
      </c>
      <c r="F31" t="s">
        <v>21</v>
      </c>
      <c r="G31" t="s">
        <v>25</v>
      </c>
      <c r="H31" s="1">
        <v>767536</v>
      </c>
      <c r="I31" s="3">
        <v>724</v>
      </c>
      <c r="J31" s="3">
        <v>6628720</v>
      </c>
      <c r="K31" s="3">
        <v>53747.96</v>
      </c>
      <c r="L31" s="2">
        <v>29.5</v>
      </c>
      <c r="M31" s="11">
        <v>35.265240640000002</v>
      </c>
      <c r="N31" s="3">
        <v>13</v>
      </c>
      <c r="O31" s="3">
        <v>1426425</v>
      </c>
      <c r="P31" s="3">
        <v>2510112</v>
      </c>
      <c r="Q31" s="10">
        <v>0</v>
      </c>
      <c r="R31" s="3">
        <f>(Таблица1[Размер кредита]-$AA$2)/$AA$3</f>
        <v>2.6071894575632326</v>
      </c>
      <c r="S31" s="3">
        <f>(Таблица1[Кредитный рейтинг]-$AA$7)/($AA$8-$AA$7)</f>
        <v>0.96404793608521966</v>
      </c>
      <c r="T31" s="3">
        <f>(Таблица1[Срок с последнего нарушения кредитного договора (мес,)]-$AA$12)/($AA$13-$AA$12)</f>
        <v>0.40074137090909095</v>
      </c>
      <c r="U31" s="3">
        <f>(Таблица1[Количество кредитных карт]-$AA$18)/($AA$19-$AA$18)</f>
        <v>0.2857142857142857</v>
      </c>
      <c r="V31" s="3">
        <f>(Таблица1[Число нарушений кредитных договоров]-$AA$23)/($AA$24-$AA$23)</f>
        <v>0</v>
      </c>
      <c r="W31" s="3">
        <f>Таблица1[[#This Row],[Годовой доход]]/12</f>
        <v>552393.33333333337</v>
      </c>
      <c r="X31" s="3">
        <f>Таблица1[[#This Row],[Ежемесячный платеж]]/Таблица1[[#This Row],[Ежем доход]]</f>
        <v>9.7300160513643652E-2</v>
      </c>
      <c r="Y31" s="3"/>
      <c r="Z31" s="3"/>
      <c r="AA31" s="3"/>
      <c r="AB31" s="3"/>
    </row>
    <row r="32" spans="1:40" x14ac:dyDescent="0.2">
      <c r="A32">
        <v>1353</v>
      </c>
      <c r="B32" t="s">
        <v>1392</v>
      </c>
      <c r="C32" t="s">
        <v>35</v>
      </c>
      <c r="D32" t="s">
        <v>29</v>
      </c>
      <c r="E32" t="s">
        <v>20</v>
      </c>
      <c r="F32" t="s">
        <v>21</v>
      </c>
      <c r="G32" t="s">
        <v>25</v>
      </c>
      <c r="H32" s="1">
        <v>613668</v>
      </c>
      <c r="I32" s="3">
        <v>738</v>
      </c>
      <c r="J32" s="3">
        <v>1608787</v>
      </c>
      <c r="K32" s="3">
        <v>31384.77</v>
      </c>
      <c r="L32" s="2">
        <v>17.600000000000001</v>
      </c>
      <c r="M32" s="11">
        <v>35.265240640000002</v>
      </c>
      <c r="N32" s="3">
        <v>13</v>
      </c>
      <c r="O32" s="3">
        <v>891708</v>
      </c>
      <c r="P32" s="3">
        <v>2335982</v>
      </c>
      <c r="Q32" s="10">
        <v>0</v>
      </c>
      <c r="R32" s="3">
        <f>(Таблица1[Размер кредита]-$AA$2)/$AA$3</f>
        <v>1.7311757115931214</v>
      </c>
      <c r="S32" s="3">
        <f>(Таблица1[Кредитный рейтинг]-$AA$7)/($AA$8-$AA$7)</f>
        <v>0.9826897470039947</v>
      </c>
      <c r="T32" s="3">
        <f>(Таблица1[Срок с последнего нарушения кредитного договора (мес,)]-$AA$12)/($AA$13-$AA$12)</f>
        <v>0.40074137090909095</v>
      </c>
      <c r="U32" s="3">
        <f>(Таблица1[Количество кредитных карт]-$AA$18)/($AA$19-$AA$18)</f>
        <v>0.2857142857142857</v>
      </c>
      <c r="V32" s="3">
        <f>(Таблица1[Число нарушений кредитных договоров]-$AA$23)/($AA$24-$AA$23)</f>
        <v>0</v>
      </c>
      <c r="W32" s="3">
        <f>Таблица1[[#This Row],[Годовой доход]]/12</f>
        <v>134065.58333333334</v>
      </c>
      <c r="X32" s="3">
        <f>Таблица1[[#This Row],[Ежемесячный платеж]]/Таблица1[[#This Row],[Ежем доход]]</f>
        <v>0.23410012636849997</v>
      </c>
      <c r="Y32" s="3"/>
      <c r="Z32" s="3"/>
      <c r="AA32" s="3"/>
      <c r="AB32" s="3"/>
    </row>
    <row r="33" spans="1:33" x14ac:dyDescent="0.2">
      <c r="A33">
        <v>463</v>
      </c>
      <c r="B33" t="s">
        <v>504</v>
      </c>
      <c r="C33" t="s">
        <v>18</v>
      </c>
      <c r="D33" t="s">
        <v>19</v>
      </c>
      <c r="E33" t="s">
        <v>24</v>
      </c>
      <c r="F33" t="s">
        <v>21</v>
      </c>
      <c r="G33" t="s">
        <v>25</v>
      </c>
      <c r="H33" s="1">
        <v>773388</v>
      </c>
      <c r="I33" s="3">
        <v>0</v>
      </c>
      <c r="J33" s="3">
        <v>1168044</v>
      </c>
      <c r="K33" s="3">
        <v>32008.73</v>
      </c>
      <c r="L33" s="2">
        <v>29.2</v>
      </c>
      <c r="M33" s="11">
        <v>35.265240640000002</v>
      </c>
      <c r="N33" s="3">
        <v>8</v>
      </c>
      <c r="O33" s="3">
        <v>1515592</v>
      </c>
      <c r="P33" s="3">
        <v>2321308</v>
      </c>
      <c r="Q33" s="10">
        <v>0</v>
      </c>
      <c r="R33" s="3">
        <f>(Таблица1[Размер кредита]-$AA$2)/$AA$3</f>
        <v>2.6405065374071057</v>
      </c>
      <c r="S33" s="3">
        <f>(Таблица1[Кредитный рейтинг]-$AA$7)/($AA$8-$AA$7)</f>
        <v>0</v>
      </c>
      <c r="T33" s="3">
        <f>(Таблица1[Срок с последнего нарушения кредитного договора (мес,)]-$AA$12)/($AA$13-$AA$12)</f>
        <v>0.40074137090909095</v>
      </c>
      <c r="U33" s="3">
        <f>(Таблица1[Количество кредитных карт]-$AA$18)/($AA$19-$AA$18)</f>
        <v>0.16666666666666666</v>
      </c>
      <c r="V33" s="3">
        <f>(Таблица1[Число нарушений кредитных договоров]-$AA$23)/($AA$24-$AA$23)</f>
        <v>0</v>
      </c>
      <c r="W33" s="3">
        <f>Таблица1[[#This Row],[Годовой доход]]/12</f>
        <v>97337</v>
      </c>
      <c r="X33" s="3">
        <f>Таблица1[[#This Row],[Ежемесячный платеж]]/Таблица1[[#This Row],[Ежем доход]]</f>
        <v>0.32884442709349992</v>
      </c>
      <c r="Y33" s="3"/>
      <c r="Z33" s="3"/>
      <c r="AA33" s="3"/>
      <c r="AB33" s="3"/>
      <c r="AF33" t="s">
        <v>2056</v>
      </c>
      <c r="AG33">
        <f>COUNTIF(Таблица1[Ежемесячный платеж],"&gt;"&amp;AG14)</f>
        <v>65</v>
      </c>
    </row>
    <row r="34" spans="1:33" x14ac:dyDescent="0.2">
      <c r="A34">
        <v>603</v>
      </c>
      <c r="B34" t="s">
        <v>644</v>
      </c>
      <c r="C34" t="s">
        <v>35</v>
      </c>
      <c r="D34" t="s">
        <v>29</v>
      </c>
      <c r="E34" t="s">
        <v>32</v>
      </c>
      <c r="F34" t="s">
        <v>33</v>
      </c>
      <c r="G34" t="s">
        <v>25</v>
      </c>
      <c r="H34" s="1">
        <v>535920</v>
      </c>
      <c r="I34" s="3">
        <v>743</v>
      </c>
      <c r="J34" s="3">
        <v>1253525</v>
      </c>
      <c r="K34" s="3">
        <v>14310.99</v>
      </c>
      <c r="L34" s="2">
        <v>27.5</v>
      </c>
      <c r="M34" s="11">
        <v>35.265240640000002</v>
      </c>
      <c r="N34" s="3">
        <v>16</v>
      </c>
      <c r="O34" s="3">
        <v>478857</v>
      </c>
      <c r="P34" s="3">
        <v>2291212</v>
      </c>
      <c r="Q34" s="10">
        <v>0</v>
      </c>
      <c r="R34" s="3">
        <f>(Таблица1[Размер кредита]-$AA$2)/$AA$3</f>
        <v>1.2885345079530912</v>
      </c>
      <c r="S34" s="3">
        <f>(Таблица1[Кредитный рейтинг]-$AA$7)/($AA$8-$AA$7)</f>
        <v>0.98934753661784292</v>
      </c>
      <c r="T34" s="3">
        <f>(Таблица1[Срок с последнего нарушения кредитного договора (мес,)]-$AA$12)/($AA$13-$AA$12)</f>
        <v>0.40074137090909095</v>
      </c>
      <c r="U34" s="3">
        <f>(Таблица1[Количество кредитных карт]-$AA$18)/($AA$19-$AA$18)</f>
        <v>0.35714285714285715</v>
      </c>
      <c r="V34" s="3">
        <f>(Таблица1[Число нарушений кредитных договоров]-$AA$23)/($AA$24-$AA$23)</f>
        <v>0</v>
      </c>
      <c r="W34" s="3">
        <f>Таблица1[[#This Row],[Годовой доход]]/12</f>
        <v>104460.41666666667</v>
      </c>
      <c r="X34" s="3">
        <f>Таблица1[[#This Row],[Ежемесячный платеж]]/Таблица1[[#This Row],[Ежем доход]]</f>
        <v>0.13699916635089049</v>
      </c>
      <c r="Y34" s="3"/>
      <c r="Z34" s="3"/>
      <c r="AA34" s="3"/>
      <c r="AB34" s="3"/>
      <c r="AG34">
        <f>COUNTIF(Таблица1[Ежемесячный платеж],"&lt;"&amp;AG15)</f>
        <v>0</v>
      </c>
    </row>
    <row r="35" spans="1:33" x14ac:dyDescent="0.2">
      <c r="A35">
        <v>1369</v>
      </c>
      <c r="B35" t="s">
        <v>1408</v>
      </c>
      <c r="C35" t="s">
        <v>18</v>
      </c>
      <c r="D35" t="s">
        <v>29</v>
      </c>
      <c r="E35" t="s">
        <v>47</v>
      </c>
      <c r="F35" t="s">
        <v>21</v>
      </c>
      <c r="G35" t="s">
        <v>75</v>
      </c>
      <c r="H35" s="1">
        <v>244420</v>
      </c>
      <c r="I35" s="3">
        <v>696</v>
      </c>
      <c r="J35" s="3">
        <v>2461184</v>
      </c>
      <c r="K35" s="3">
        <v>31585.22</v>
      </c>
      <c r="L35" s="2">
        <v>27</v>
      </c>
      <c r="M35" s="11">
        <v>2</v>
      </c>
      <c r="N35" s="3">
        <v>27</v>
      </c>
      <c r="O35" s="3">
        <v>227373</v>
      </c>
      <c r="P35" s="3">
        <v>2289430</v>
      </c>
      <c r="Q35" s="10">
        <v>0</v>
      </c>
      <c r="R35" s="3">
        <f>(Таблица1[Размер кредита]-$AA$2)/$AA$3</f>
        <v>-0.37105687524736225</v>
      </c>
      <c r="S35" s="3">
        <f>(Таблица1[Кредитный рейтинг]-$AA$7)/($AA$8-$AA$7)</f>
        <v>0.92676431424766981</v>
      </c>
      <c r="T35" s="3">
        <f>(Таблица1[Срок с последнего нарушения кредитного договора (мес,)]-$AA$12)/($AA$13-$AA$12)</f>
        <v>2.2727272727272728E-2</v>
      </c>
      <c r="U35" s="3">
        <f>(Таблица1[Количество кредитных карт]-$AA$18)/($AA$19-$AA$18)</f>
        <v>0.61904761904761907</v>
      </c>
      <c r="V35" s="3">
        <f>(Таблица1[Число нарушений кредитных договоров]-$AA$23)/($AA$24-$AA$23)</f>
        <v>0</v>
      </c>
      <c r="W35" s="3">
        <f>Таблица1[[#This Row],[Годовой доход]]/12</f>
        <v>205098.66666666666</v>
      </c>
      <c r="X35" s="3">
        <f>Таблица1[[#This Row],[Ежемесячный платеж]]/Таблица1[[#This Row],[Ежем доход]]</f>
        <v>0.15400012351778658</v>
      </c>
      <c r="Y35" s="3"/>
      <c r="Z35" s="3"/>
      <c r="AA35" s="3"/>
      <c r="AB35" s="3"/>
    </row>
    <row r="36" spans="1:33" x14ac:dyDescent="0.2">
      <c r="A36">
        <v>1187</v>
      </c>
      <c r="B36" t="s">
        <v>1226</v>
      </c>
      <c r="C36" t="s">
        <v>18</v>
      </c>
      <c r="D36" t="s">
        <v>19</v>
      </c>
      <c r="E36" t="s">
        <v>24</v>
      </c>
      <c r="F36" t="s">
        <v>27</v>
      </c>
      <c r="G36" t="s">
        <v>75</v>
      </c>
      <c r="H36" s="1">
        <v>309594.52439999999</v>
      </c>
      <c r="I36" s="3">
        <v>751</v>
      </c>
      <c r="J36" s="3">
        <v>3715260</v>
      </c>
      <c r="K36" s="3">
        <v>21486.720000000001</v>
      </c>
      <c r="L36" s="2">
        <v>28.5</v>
      </c>
      <c r="M36" s="11">
        <v>35.265240640000002</v>
      </c>
      <c r="N36" s="3">
        <v>6</v>
      </c>
      <c r="O36" s="3">
        <v>1193827</v>
      </c>
      <c r="P36" s="3">
        <v>2273568</v>
      </c>
      <c r="Q36" s="10">
        <v>0</v>
      </c>
      <c r="R36" s="3">
        <f>(Таблица1[Размер кредита]-$AA$2)/$AA$3</f>
        <v>-1.2411115481956205E-10</v>
      </c>
      <c r="S36" s="3">
        <f>(Таблица1[Кредитный рейтинг]-$AA$7)/($AA$8-$AA$7)</f>
        <v>1</v>
      </c>
      <c r="T36" s="3">
        <f>(Таблица1[Срок с последнего нарушения кредитного договора (мес,)]-$AA$12)/($AA$13-$AA$12)</f>
        <v>0.40074137090909095</v>
      </c>
      <c r="U36" s="3">
        <f>(Таблица1[Количество кредитных карт]-$AA$18)/($AA$19-$AA$18)</f>
        <v>0.11904761904761904</v>
      </c>
      <c r="V36" s="3">
        <f>(Таблица1[Число нарушений кредитных договоров]-$AA$23)/($AA$24-$AA$23)</f>
        <v>0</v>
      </c>
      <c r="W36" s="3">
        <f>Таблица1[[#This Row],[Годовой доход]]/12</f>
        <v>309605</v>
      </c>
      <c r="X36" s="3">
        <f>Таблица1[[#This Row],[Ежемесячный платеж]]/Таблица1[[#This Row],[Ежем доход]]</f>
        <v>6.9400429579625653E-2</v>
      </c>
      <c r="Y36" s="3"/>
      <c r="Z36" s="3"/>
      <c r="AA36" s="3"/>
      <c r="AB36" s="3"/>
    </row>
    <row r="37" spans="1:33" x14ac:dyDescent="0.2">
      <c r="A37">
        <v>185</v>
      </c>
      <c r="B37" t="s">
        <v>227</v>
      </c>
      <c r="C37" t="s">
        <v>18</v>
      </c>
      <c r="D37" t="s">
        <v>19</v>
      </c>
      <c r="E37" t="s">
        <v>24</v>
      </c>
      <c r="F37" t="s">
        <v>21</v>
      </c>
      <c r="G37" t="s">
        <v>25</v>
      </c>
      <c r="H37" s="1">
        <v>441276</v>
      </c>
      <c r="I37" s="3">
        <v>747</v>
      </c>
      <c r="J37" s="3">
        <v>2305669</v>
      </c>
      <c r="K37" s="3">
        <v>24017.52</v>
      </c>
      <c r="L37" s="2">
        <v>17.8</v>
      </c>
      <c r="M37" s="11">
        <v>35.265240640000002</v>
      </c>
      <c r="N37" s="3">
        <v>14</v>
      </c>
      <c r="O37" s="3">
        <v>678851</v>
      </c>
      <c r="P37" s="3">
        <v>2245848</v>
      </c>
      <c r="Q37" s="10">
        <v>0</v>
      </c>
      <c r="R37" s="3">
        <f>(Таблица1[Размер кредита]-$AA$2)/$AA$3</f>
        <v>0.74969963017736663</v>
      </c>
      <c r="S37" s="3">
        <f>(Таблица1[Кредитный рейтинг]-$AA$7)/($AA$8-$AA$7)</f>
        <v>0.9946737683089214</v>
      </c>
      <c r="T37" s="3">
        <f>(Таблица1[Срок с последнего нарушения кредитного договора (мес,)]-$AA$12)/($AA$13-$AA$12)</f>
        <v>0.40074137090909095</v>
      </c>
      <c r="U37" s="3">
        <f>(Таблица1[Количество кредитных карт]-$AA$18)/($AA$19-$AA$18)</f>
        <v>0.30952380952380953</v>
      </c>
      <c r="V37" s="3">
        <f>(Таблица1[Число нарушений кредитных договоров]-$AA$23)/($AA$24-$AA$23)</f>
        <v>0</v>
      </c>
      <c r="W37" s="3">
        <f>Таблица1[[#This Row],[Годовой доход]]/12</f>
        <v>192139.08333333334</v>
      </c>
      <c r="X37" s="3">
        <f>Таблица1[[#This Row],[Ежемесячный платеж]]/Таблица1[[#This Row],[Ежем доход]]</f>
        <v>0.12500070044746231</v>
      </c>
      <c r="Y37" s="3"/>
      <c r="Z37" s="3"/>
      <c r="AA37" s="3"/>
      <c r="AB37" s="3"/>
      <c r="AC37" t="s">
        <v>2058</v>
      </c>
    </row>
    <row r="38" spans="1:33" x14ac:dyDescent="0.2">
      <c r="A38">
        <v>1934</v>
      </c>
      <c r="B38" s="4" t="s">
        <v>1970</v>
      </c>
      <c r="C38" t="s">
        <v>18</v>
      </c>
      <c r="D38" t="s">
        <v>19</v>
      </c>
      <c r="E38" t="s">
        <v>24</v>
      </c>
      <c r="F38" t="s">
        <v>21</v>
      </c>
      <c r="G38" t="s">
        <v>25</v>
      </c>
      <c r="H38" s="1">
        <v>760144</v>
      </c>
      <c r="I38" s="3">
        <v>735</v>
      </c>
      <c r="J38" s="3">
        <v>2607199</v>
      </c>
      <c r="K38" s="3">
        <v>48798.080000000002</v>
      </c>
      <c r="L38" s="2">
        <v>25.2</v>
      </c>
      <c r="M38" s="11">
        <v>35.265240640000002</v>
      </c>
      <c r="N38" s="3">
        <v>9</v>
      </c>
      <c r="O38" s="3">
        <v>1666984</v>
      </c>
      <c r="P38" s="3">
        <v>2188428</v>
      </c>
      <c r="Q38" s="10">
        <v>0</v>
      </c>
      <c r="R38" s="3">
        <f>(Таблица1[Размер кредита]-$AA$2)/$AA$3</f>
        <v>2.5651047251288666</v>
      </c>
      <c r="S38" s="3">
        <f>(Таблица1[Кредитный рейтинг]-$AA$7)/($AA$8-$AA$7)</f>
        <v>0.97869507323568572</v>
      </c>
      <c r="T38" s="3">
        <f>(Таблица1[Срок с последнего нарушения кредитного договора (мес,)]-$AA$12)/($AA$13-$AA$12)</f>
        <v>0.40074137090909095</v>
      </c>
      <c r="U38" s="3">
        <f>(Таблица1[Количество кредитных карт]-$AA$18)/($AA$19-$AA$18)</f>
        <v>0.19047619047619047</v>
      </c>
      <c r="V38" s="3">
        <f>(Таблица1[Число нарушений кредитных договоров]-$AA$23)/($AA$24-$AA$23)</f>
        <v>0</v>
      </c>
      <c r="W38" s="3">
        <f>Таблица1[[#This Row],[Годовой доход]]/12</f>
        <v>217266.58333333334</v>
      </c>
      <c r="X38" s="3">
        <f>Таблица1[[#This Row],[Ежемесячный платеж]]/Таблица1[[#This Row],[Ежем доход]]</f>
        <v>0.22460002477754862</v>
      </c>
      <c r="Y38" s="3"/>
      <c r="Z38" s="3"/>
      <c r="AA38" s="3"/>
      <c r="AB38" s="3"/>
    </row>
    <row r="39" spans="1:33" x14ac:dyDescent="0.2">
      <c r="A39">
        <v>658</v>
      </c>
      <c r="B39" t="s">
        <v>699</v>
      </c>
      <c r="C39" t="s">
        <v>18</v>
      </c>
      <c r="D39" t="s">
        <v>19</v>
      </c>
      <c r="E39" t="s">
        <v>24</v>
      </c>
      <c r="F39" t="s">
        <v>27</v>
      </c>
      <c r="G39" t="s">
        <v>70</v>
      </c>
      <c r="H39" s="1">
        <v>268620</v>
      </c>
      <c r="I39" s="3">
        <v>740</v>
      </c>
      <c r="J39" s="3">
        <v>5316447</v>
      </c>
      <c r="K39" s="3">
        <v>36329.14</v>
      </c>
      <c r="L39" s="2">
        <v>27.6</v>
      </c>
      <c r="M39" s="11">
        <v>35.265240640000002</v>
      </c>
      <c r="N39" s="3">
        <v>14</v>
      </c>
      <c r="O39" s="3">
        <v>1385062</v>
      </c>
      <c r="P39" s="3">
        <v>2187922</v>
      </c>
      <c r="Q39" s="10">
        <v>0</v>
      </c>
      <c r="R39" s="3">
        <f>(Таблица1[Размер кредита]-$AA$2)/$AA$3</f>
        <v>-0.23327947739675856</v>
      </c>
      <c r="S39" s="3">
        <f>(Таблица1[Кредитный рейтинг]-$AA$7)/($AA$8-$AA$7)</f>
        <v>0.98535286284953394</v>
      </c>
      <c r="T39" s="3">
        <f>(Таблица1[Срок с последнего нарушения кредитного договора (мес,)]-$AA$12)/($AA$13-$AA$12)</f>
        <v>0.40074137090909095</v>
      </c>
      <c r="U39" s="3">
        <f>(Таблица1[Количество кредитных карт]-$AA$18)/($AA$19-$AA$18)</f>
        <v>0.30952380952380953</v>
      </c>
      <c r="V39" s="3">
        <f>(Таблица1[Число нарушений кредитных договоров]-$AA$23)/($AA$24-$AA$23)</f>
        <v>0</v>
      </c>
      <c r="W39" s="3">
        <f>Таблица1[[#This Row],[Годовой доход]]/12</f>
        <v>443037.25</v>
      </c>
      <c r="X39" s="3">
        <f>Таблица1[[#This Row],[Ежемесячный платеж]]/Таблица1[[#This Row],[Ежем доход]]</f>
        <v>8.2000192986029952E-2</v>
      </c>
      <c r="Y39" s="3"/>
      <c r="Z39" s="3"/>
      <c r="AA39" s="3"/>
      <c r="AB39" s="3"/>
    </row>
    <row r="40" spans="1:33" x14ac:dyDescent="0.2">
      <c r="A40">
        <v>266</v>
      </c>
      <c r="B40" t="s">
        <v>308</v>
      </c>
      <c r="C40" t="s">
        <v>18</v>
      </c>
      <c r="D40" t="s">
        <v>29</v>
      </c>
      <c r="E40" t="s">
        <v>47</v>
      </c>
      <c r="F40" t="s">
        <v>21</v>
      </c>
      <c r="G40" t="s">
        <v>22</v>
      </c>
      <c r="H40" s="1">
        <v>436172</v>
      </c>
      <c r="I40" s="3">
        <v>744</v>
      </c>
      <c r="J40" s="3">
        <v>1054747</v>
      </c>
      <c r="K40" s="3">
        <v>13623.76</v>
      </c>
      <c r="L40" s="2">
        <v>22.2</v>
      </c>
      <c r="M40" s="11">
        <v>35.265240640000002</v>
      </c>
      <c r="N40" s="3">
        <v>19</v>
      </c>
      <c r="O40" s="3">
        <v>387315</v>
      </c>
      <c r="P40" s="3">
        <v>2156110</v>
      </c>
      <c r="Q40" s="10">
        <v>0</v>
      </c>
      <c r="R40" s="3">
        <f>(Таблица1[Размер кредита]-$AA$2)/$AA$3</f>
        <v>0.72064112444887563</v>
      </c>
      <c r="S40" s="3">
        <f>(Таблица1[Кредитный рейтинг]-$AA$7)/($AA$8-$AA$7)</f>
        <v>0.99067909454061254</v>
      </c>
      <c r="T40" s="3">
        <f>(Таблица1[Срок с последнего нарушения кредитного договора (мес,)]-$AA$12)/($AA$13-$AA$12)</f>
        <v>0.40074137090909095</v>
      </c>
      <c r="U40" s="3">
        <f>(Таблица1[Количество кредитных карт]-$AA$18)/($AA$19-$AA$18)</f>
        <v>0.42857142857142855</v>
      </c>
      <c r="V40" s="3">
        <f>(Таблица1[Число нарушений кредитных договоров]-$AA$23)/($AA$24-$AA$23)</f>
        <v>0</v>
      </c>
      <c r="W40" s="3">
        <f>Таблица1[[#This Row],[Годовой доход]]/12</f>
        <v>87895.583333333328</v>
      </c>
      <c r="X40" s="3">
        <f>Таблица1[[#This Row],[Ежемесячный платеж]]/Таблица1[[#This Row],[Ежем доход]]</f>
        <v>0.15499936951705007</v>
      </c>
      <c r="Y40" s="3"/>
      <c r="Z40" s="3"/>
      <c r="AA40" s="3"/>
      <c r="AB40" s="3"/>
    </row>
    <row r="41" spans="1:33" x14ac:dyDescent="0.2">
      <c r="A41">
        <v>1910</v>
      </c>
      <c r="B41" t="s">
        <v>1946</v>
      </c>
      <c r="C41" t="s">
        <v>35</v>
      </c>
      <c r="D41" t="s">
        <v>19</v>
      </c>
      <c r="E41" t="s">
        <v>41</v>
      </c>
      <c r="F41" t="s">
        <v>27</v>
      </c>
      <c r="G41" t="s">
        <v>22</v>
      </c>
      <c r="H41" s="1">
        <v>178156</v>
      </c>
      <c r="I41" s="3">
        <v>0</v>
      </c>
      <c r="J41" s="3">
        <v>1168044</v>
      </c>
      <c r="K41" s="3">
        <v>12955.91</v>
      </c>
      <c r="L41" s="2">
        <v>20.399999999999999</v>
      </c>
      <c r="M41" s="11">
        <v>35.265240640000002</v>
      </c>
      <c r="N41" s="3">
        <v>19</v>
      </c>
      <c r="O41" s="3">
        <v>271035</v>
      </c>
      <c r="P41" s="3">
        <v>2149510</v>
      </c>
      <c r="Q41" s="10">
        <v>0</v>
      </c>
      <c r="R41" s="3">
        <f>(Таблица1[Размер кредита]-$AA$2)/$AA$3</f>
        <v>-0.74831644099828798</v>
      </c>
      <c r="S41" s="3">
        <f>(Таблица1[Кредитный рейтинг]-$AA$7)/($AA$8-$AA$7)</f>
        <v>0</v>
      </c>
      <c r="T41" s="3">
        <f>(Таблица1[Срок с последнего нарушения кредитного договора (мес,)]-$AA$12)/($AA$13-$AA$12)</f>
        <v>0.40074137090909095</v>
      </c>
      <c r="U41" s="3">
        <f>(Таблица1[Количество кредитных карт]-$AA$18)/($AA$19-$AA$18)</f>
        <v>0.42857142857142855</v>
      </c>
      <c r="V41" s="3">
        <f>(Таблица1[Число нарушений кредитных договоров]-$AA$23)/($AA$24-$AA$23)</f>
        <v>0</v>
      </c>
      <c r="W41" s="3">
        <f>Таблица1[[#This Row],[Годовой доход]]/12</f>
        <v>97337</v>
      </c>
      <c r="X41" s="3">
        <f>Таблица1[[#This Row],[Ежемесячный платеж]]/Таблица1[[#This Row],[Ежем доход]]</f>
        <v>0.13310365020495804</v>
      </c>
      <c r="Y41" s="3"/>
      <c r="Z41" s="3"/>
      <c r="AA41" s="3"/>
      <c r="AB41" s="3"/>
    </row>
    <row r="42" spans="1:33" x14ac:dyDescent="0.2">
      <c r="A42">
        <v>1228</v>
      </c>
      <c r="B42" t="s">
        <v>1267</v>
      </c>
      <c r="C42" t="s">
        <v>18</v>
      </c>
      <c r="D42" t="s">
        <v>19</v>
      </c>
      <c r="E42" t="s">
        <v>50</v>
      </c>
      <c r="F42" t="s">
        <v>21</v>
      </c>
      <c r="G42" t="s">
        <v>25</v>
      </c>
      <c r="H42" s="1">
        <v>377674</v>
      </c>
      <c r="I42" s="3">
        <v>737</v>
      </c>
      <c r="J42" s="3">
        <v>753084</v>
      </c>
      <c r="K42" s="3">
        <v>14873.39</v>
      </c>
      <c r="L42" s="2">
        <v>17.100000000000001</v>
      </c>
      <c r="M42" s="11">
        <v>35.265240640000002</v>
      </c>
      <c r="N42" s="3">
        <v>16</v>
      </c>
      <c r="O42" s="3">
        <v>378670</v>
      </c>
      <c r="P42" s="3">
        <v>2149312</v>
      </c>
      <c r="Q42" s="10">
        <v>0</v>
      </c>
      <c r="R42" s="3">
        <f>(Таблица1[Размер кредита]-$AA$2)/$AA$3</f>
        <v>0.38759557819000728</v>
      </c>
      <c r="S42" s="3">
        <f>(Таблица1[Кредитный рейтинг]-$AA$7)/($AA$8-$AA$7)</f>
        <v>0.98135818908122507</v>
      </c>
      <c r="T42" s="3">
        <f>(Таблица1[Срок с последнего нарушения кредитного договора (мес,)]-$AA$12)/($AA$13-$AA$12)</f>
        <v>0.40074137090909095</v>
      </c>
      <c r="U42" s="3">
        <f>(Таблица1[Количество кредитных карт]-$AA$18)/($AA$19-$AA$18)</f>
        <v>0.35714285714285715</v>
      </c>
      <c r="V42" s="3">
        <f>(Таблица1[Число нарушений кредитных договоров]-$AA$23)/($AA$24-$AA$23)</f>
        <v>0</v>
      </c>
      <c r="W42" s="3">
        <f>Таблица1[[#This Row],[Годовой доход]]/12</f>
        <v>62757</v>
      </c>
      <c r="X42" s="3">
        <f>Таблица1[[#This Row],[Ежемесячный платеж]]/Таблица1[[#This Row],[Ежем доход]]</f>
        <v>0.23699969724492884</v>
      </c>
      <c r="Y42" s="3"/>
      <c r="Z42" s="3"/>
      <c r="AA42" s="3"/>
      <c r="AB42" s="3"/>
    </row>
    <row r="43" spans="1:33" x14ac:dyDescent="0.2">
      <c r="A43">
        <v>1025</v>
      </c>
      <c r="B43" t="s">
        <v>1064</v>
      </c>
      <c r="C43" t="s">
        <v>18</v>
      </c>
      <c r="D43" t="s">
        <v>19</v>
      </c>
      <c r="E43" t="s">
        <v>69</v>
      </c>
      <c r="F43" t="s">
        <v>21</v>
      </c>
      <c r="G43" t="s">
        <v>25</v>
      </c>
      <c r="H43" s="1">
        <v>751300</v>
      </c>
      <c r="I43" s="3">
        <v>716</v>
      </c>
      <c r="J43" s="3">
        <v>3614978</v>
      </c>
      <c r="K43" s="3">
        <v>72600.710000000006</v>
      </c>
      <c r="L43" s="2">
        <v>11.9</v>
      </c>
      <c r="M43" s="11">
        <v>69</v>
      </c>
      <c r="N43" s="3">
        <v>29</v>
      </c>
      <c r="O43" s="3">
        <v>957752</v>
      </c>
      <c r="P43" s="3">
        <v>2128522</v>
      </c>
      <c r="Q43" s="10">
        <v>0</v>
      </c>
      <c r="R43" s="3">
        <f>(Таблица1[Размер кредита]-$AA$2)/$AA$3</f>
        <v>2.5147533488234641</v>
      </c>
      <c r="S43" s="3">
        <f>(Таблица1[Кредитный рейтинг]-$AA$7)/($AA$8-$AA$7)</f>
        <v>0.95339547270306257</v>
      </c>
      <c r="T43" s="3">
        <f>(Таблица1[Срок с последнего нарушения кредитного договора (мес,)]-$AA$12)/($AA$13-$AA$12)</f>
        <v>0.78409090909090906</v>
      </c>
      <c r="U43" s="3">
        <f>(Таблица1[Количество кредитных карт]-$AA$18)/($AA$19-$AA$18)</f>
        <v>0.66666666666666663</v>
      </c>
      <c r="V43" s="3">
        <f>(Таблица1[Число нарушений кредитных договоров]-$AA$23)/($AA$24-$AA$23)</f>
        <v>0</v>
      </c>
      <c r="W43" s="3">
        <f>Таблица1[[#This Row],[Годовой доход]]/12</f>
        <v>301248.16666666669</v>
      </c>
      <c r="X43" s="3">
        <f>Таблица1[[#This Row],[Ежемесячный платеж]]/Таблица1[[#This Row],[Ежем доход]]</f>
        <v>0.24099967413356319</v>
      </c>
      <c r="Y43" s="3"/>
      <c r="Z43" s="3"/>
      <c r="AA43" s="3"/>
      <c r="AB43" s="3"/>
      <c r="AC43" t="s">
        <v>2059</v>
      </c>
      <c r="AD43">
        <v>161</v>
      </c>
    </row>
    <row r="44" spans="1:33" x14ac:dyDescent="0.2">
      <c r="A44">
        <v>1628</v>
      </c>
      <c r="B44" t="s">
        <v>1064</v>
      </c>
      <c r="C44" t="s">
        <v>18</v>
      </c>
      <c r="D44" t="s">
        <v>19</v>
      </c>
      <c r="E44" t="s">
        <v>69</v>
      </c>
      <c r="F44" t="s">
        <v>21</v>
      </c>
      <c r="G44" t="s">
        <v>25</v>
      </c>
      <c r="H44" s="1">
        <v>751300</v>
      </c>
      <c r="I44" s="3">
        <v>716</v>
      </c>
      <c r="J44" s="3">
        <v>3614978</v>
      </c>
      <c r="K44" s="3">
        <v>72600.710000000006</v>
      </c>
      <c r="L44" s="2">
        <v>11.9</v>
      </c>
      <c r="M44" s="11">
        <v>69</v>
      </c>
      <c r="N44" s="3">
        <v>29</v>
      </c>
      <c r="O44" s="3">
        <v>957752</v>
      </c>
      <c r="P44" s="3">
        <v>2128522</v>
      </c>
      <c r="Q44" s="10">
        <v>0</v>
      </c>
      <c r="R44" s="3">
        <f>(Таблица1[Размер кредита]-$AA$2)/$AA$3</f>
        <v>2.5147533488234641</v>
      </c>
      <c r="S44" s="3">
        <f>(Таблица1[Кредитный рейтинг]-$AA$7)/($AA$8-$AA$7)</f>
        <v>0.95339547270306257</v>
      </c>
      <c r="T44" s="3">
        <f>(Таблица1[Срок с последнего нарушения кредитного договора (мес,)]-$AA$12)/($AA$13-$AA$12)</f>
        <v>0.78409090909090906</v>
      </c>
      <c r="U44" s="3">
        <f>(Таблица1[Количество кредитных карт]-$AA$18)/($AA$19-$AA$18)</f>
        <v>0.66666666666666663</v>
      </c>
      <c r="V44" s="3">
        <f>(Таблица1[Число нарушений кредитных договоров]-$AA$23)/($AA$24-$AA$23)</f>
        <v>0</v>
      </c>
      <c r="W44" s="3">
        <f>Таблица1[[#This Row],[Годовой доход]]/12</f>
        <v>301248.16666666669</v>
      </c>
      <c r="X44" s="3">
        <f>Таблица1[[#This Row],[Ежемесячный платеж]]/Таблица1[[#This Row],[Ежем доход]]</f>
        <v>0.24099967413356319</v>
      </c>
      <c r="Y44" s="3"/>
      <c r="Z44" s="3"/>
      <c r="AA44" s="3"/>
      <c r="AB44" s="3"/>
      <c r="AC44" t="s">
        <v>63</v>
      </c>
      <c r="AD44">
        <f>COUNTIF(Таблица1[Стаж работы на текущем месте],AC44)</f>
        <v>141</v>
      </c>
    </row>
    <row r="45" spans="1:33" x14ac:dyDescent="0.2">
      <c r="A45">
        <v>894</v>
      </c>
      <c r="B45" t="s">
        <v>935</v>
      </c>
      <c r="C45" t="s">
        <v>18</v>
      </c>
      <c r="D45" t="s">
        <v>19</v>
      </c>
      <c r="E45" t="s">
        <v>63</v>
      </c>
      <c r="F45" t="s">
        <v>33</v>
      </c>
      <c r="G45" t="s">
        <v>67</v>
      </c>
      <c r="H45" s="1">
        <v>504284</v>
      </c>
      <c r="I45" s="3">
        <v>718</v>
      </c>
      <c r="J45" s="3">
        <v>989919</v>
      </c>
      <c r="K45" s="3">
        <v>12209.02</v>
      </c>
      <c r="L45" s="2">
        <v>11.4</v>
      </c>
      <c r="M45" s="11">
        <v>9</v>
      </c>
      <c r="N45" s="3">
        <v>17</v>
      </c>
      <c r="O45" s="3">
        <v>220400</v>
      </c>
      <c r="P45" s="3">
        <v>2126674</v>
      </c>
      <c r="Q45" s="10">
        <v>0</v>
      </c>
      <c r="R45" s="3">
        <f>(Таблица1[Размер кредита]-$AA$2)/$AA$3</f>
        <v>1.1084218733083928</v>
      </c>
      <c r="S45" s="3">
        <f>(Таблица1[Кредитный рейтинг]-$AA$7)/($AA$8-$AA$7)</f>
        <v>0.95605858854860182</v>
      </c>
      <c r="T45" s="3">
        <f>(Таблица1[Срок с последнего нарушения кредитного договора (мес,)]-$AA$12)/($AA$13-$AA$12)</f>
        <v>0.10227272727272728</v>
      </c>
      <c r="U45" s="3">
        <f>(Таблица1[Количество кредитных карт]-$AA$18)/($AA$19-$AA$18)</f>
        <v>0.38095238095238093</v>
      </c>
      <c r="V45" s="3">
        <f>(Таблица1[Число нарушений кредитных договоров]-$AA$23)/($AA$24-$AA$23)</f>
        <v>0</v>
      </c>
      <c r="W45" s="3">
        <f>Таблица1[[#This Row],[Годовой доход]]/12</f>
        <v>82493.25</v>
      </c>
      <c r="X45" s="3">
        <f>Таблица1[[#This Row],[Ежемесячный платеж]]/Таблица1[[#This Row],[Ежем доход]]</f>
        <v>0.14800023032187481</v>
      </c>
      <c r="Y45" s="3"/>
      <c r="Z45" s="3"/>
      <c r="AA45" s="3"/>
      <c r="AB45" s="3"/>
      <c r="AC45" s="14" t="s">
        <v>24</v>
      </c>
      <c r="AD45">
        <f>COUNTIF(Таблица1[Стаж работы на текущем месте],AC45)</f>
        <v>678</v>
      </c>
    </row>
    <row r="46" spans="1:33" x14ac:dyDescent="0.2">
      <c r="A46">
        <v>739</v>
      </c>
      <c r="B46" t="s">
        <v>780</v>
      </c>
      <c r="C46" t="s">
        <v>18</v>
      </c>
      <c r="D46" t="s">
        <v>19</v>
      </c>
      <c r="E46" t="s">
        <v>41</v>
      </c>
      <c r="F46" t="s">
        <v>33</v>
      </c>
      <c r="G46" t="s">
        <v>25</v>
      </c>
      <c r="H46" s="1">
        <v>107998</v>
      </c>
      <c r="I46" s="3">
        <v>750</v>
      </c>
      <c r="J46" s="3">
        <v>634182</v>
      </c>
      <c r="K46" s="3">
        <v>14210.86</v>
      </c>
      <c r="L46" s="2">
        <v>18.8</v>
      </c>
      <c r="M46" s="11">
        <v>35.265240640000002</v>
      </c>
      <c r="N46" s="3">
        <v>21</v>
      </c>
      <c r="O46" s="3">
        <v>9177</v>
      </c>
      <c r="P46" s="3">
        <v>2125178</v>
      </c>
      <c r="Q46" s="10">
        <v>0</v>
      </c>
      <c r="R46" s="3">
        <f>(Таблица1[Размер кредита]-$AA$2)/$AA$3</f>
        <v>-1.1477456425851744</v>
      </c>
      <c r="S46" s="3">
        <f>(Таблица1[Кредитный рейтинг]-$AA$7)/($AA$8-$AA$7)</f>
        <v>0.99866844207723038</v>
      </c>
      <c r="T46" s="3">
        <f>(Таблица1[Срок с последнего нарушения кредитного договора (мес,)]-$AA$12)/($AA$13-$AA$12)</f>
        <v>0.40074137090909095</v>
      </c>
      <c r="U46" s="3">
        <f>(Таблица1[Количество кредитных карт]-$AA$18)/($AA$19-$AA$18)</f>
        <v>0.47619047619047616</v>
      </c>
      <c r="V46" s="3">
        <f>(Таблица1[Число нарушений кредитных договоров]-$AA$23)/($AA$24-$AA$23)</f>
        <v>0</v>
      </c>
      <c r="W46" s="3">
        <f>Таблица1[[#This Row],[Годовой доход]]/12</f>
        <v>52848.5</v>
      </c>
      <c r="X46" s="3">
        <f>Таблица1[[#This Row],[Ежемесячный платеж]]/Таблица1[[#This Row],[Ежем доход]]</f>
        <v>0.26889807657738629</v>
      </c>
      <c r="Y46" s="3"/>
      <c r="Z46" s="3"/>
      <c r="AA46" s="3"/>
      <c r="AB46" s="3"/>
      <c r="AC46" t="s">
        <v>41</v>
      </c>
      <c r="AD46">
        <f>COUNTIF(Таблица1[Стаж работы на текущем месте],AC46)</f>
        <v>181</v>
      </c>
    </row>
    <row r="47" spans="1:33" x14ac:dyDescent="0.2">
      <c r="A47">
        <v>1767</v>
      </c>
      <c r="B47" t="s">
        <v>1805</v>
      </c>
      <c r="C47" t="s">
        <v>18</v>
      </c>
      <c r="D47" t="s">
        <v>19</v>
      </c>
      <c r="E47" t="s">
        <v>30</v>
      </c>
      <c r="F47" t="s">
        <v>33</v>
      </c>
      <c r="G47" t="s">
        <v>25</v>
      </c>
      <c r="H47" s="1">
        <v>309594.52439999999</v>
      </c>
      <c r="I47" s="3">
        <v>712</v>
      </c>
      <c r="J47" s="3">
        <v>1490683</v>
      </c>
      <c r="K47" s="3">
        <v>18384.97</v>
      </c>
      <c r="L47" s="2">
        <v>24.8</v>
      </c>
      <c r="M47" s="11">
        <v>35.265240640000002</v>
      </c>
      <c r="N47" s="3">
        <v>15</v>
      </c>
      <c r="O47" s="3">
        <v>290852</v>
      </c>
      <c r="P47" s="3">
        <v>2118028</v>
      </c>
      <c r="Q47" s="10">
        <v>0</v>
      </c>
      <c r="R47" s="3">
        <f>(Таблица1[Размер кредита]-$AA$2)/$AA$3</f>
        <v>-1.2411115481956205E-10</v>
      </c>
      <c r="S47" s="3">
        <f>(Таблица1[Кредитный рейтинг]-$AA$7)/($AA$8-$AA$7)</f>
        <v>0.94806924101198398</v>
      </c>
      <c r="T47" s="3">
        <f>(Таблица1[Срок с последнего нарушения кредитного договора (мес,)]-$AA$12)/($AA$13-$AA$12)</f>
        <v>0.40074137090909095</v>
      </c>
      <c r="U47" s="3">
        <f>(Таблица1[Количество кредитных карт]-$AA$18)/($AA$19-$AA$18)</f>
        <v>0.33333333333333331</v>
      </c>
      <c r="V47" s="3">
        <f>(Таблица1[Число нарушений кредитных договоров]-$AA$23)/($AA$24-$AA$23)</f>
        <v>0</v>
      </c>
      <c r="W47" s="3">
        <f>Таблица1[[#This Row],[Годовой доход]]/12</f>
        <v>124223.58333333333</v>
      </c>
      <c r="X47" s="3">
        <f>Таблица1[[#This Row],[Ежемесячный платеж]]/Таблица1[[#This Row],[Ежем доход]]</f>
        <v>0.14799903131651734</v>
      </c>
      <c r="Y47" s="3"/>
      <c r="Z47" s="3"/>
      <c r="AA47" s="3"/>
      <c r="AB47" s="3"/>
      <c r="AC47" t="s">
        <v>30</v>
      </c>
      <c r="AD47">
        <f>COUNTIF(Таблица1[Стаж работы на текущем месте],AC47)</f>
        <v>144</v>
      </c>
    </row>
    <row r="48" spans="1:33" x14ac:dyDescent="0.2">
      <c r="A48">
        <v>661</v>
      </c>
      <c r="B48" t="s">
        <v>702</v>
      </c>
      <c r="C48" t="s">
        <v>18</v>
      </c>
      <c r="D48" t="s">
        <v>19</v>
      </c>
      <c r="E48" t="s">
        <v>24</v>
      </c>
      <c r="F48" t="s">
        <v>21</v>
      </c>
      <c r="G48" t="s">
        <v>25</v>
      </c>
      <c r="H48" s="1">
        <v>222112</v>
      </c>
      <c r="I48" s="3">
        <v>741</v>
      </c>
      <c r="J48" s="3">
        <v>1822328</v>
      </c>
      <c r="K48" s="3">
        <v>6499.52</v>
      </c>
      <c r="L48" s="2">
        <v>20</v>
      </c>
      <c r="M48" s="11">
        <v>37</v>
      </c>
      <c r="N48" s="3">
        <v>26</v>
      </c>
      <c r="O48" s="3">
        <v>237595</v>
      </c>
      <c r="P48" s="3">
        <v>2116224</v>
      </c>
      <c r="Q48" s="10">
        <v>0</v>
      </c>
      <c r="R48" s="3">
        <f>(Таблица1[Размер кредита]-$AA$2)/$AA$3</f>
        <v>-0.498062585629646</v>
      </c>
      <c r="S48" s="3">
        <f>(Таблица1[Кредитный рейтинг]-$AA$7)/($AA$8-$AA$7)</f>
        <v>0.98668442077230356</v>
      </c>
      <c r="T48" s="3">
        <f>(Таблица1[Срок с последнего нарушения кредитного договора (мес,)]-$AA$12)/($AA$13-$AA$12)</f>
        <v>0.42045454545454547</v>
      </c>
      <c r="U48" s="3">
        <f>(Таблица1[Количество кредитных карт]-$AA$18)/($AA$19-$AA$18)</f>
        <v>0.59523809523809523</v>
      </c>
      <c r="V48" s="3">
        <f>(Таблица1[Число нарушений кредитных договоров]-$AA$23)/($AA$24-$AA$23)</f>
        <v>0</v>
      </c>
      <c r="W48" s="3">
        <f>Таблица1[[#This Row],[Годовой доход]]/12</f>
        <v>151860.66666666666</v>
      </c>
      <c r="X48" s="3">
        <f>Таблица1[[#This Row],[Ежемесячный платеж]]/Таблица1[[#This Row],[Ежем доход]]</f>
        <v>4.2799232629910755E-2</v>
      </c>
      <c r="Y48" s="3"/>
      <c r="Z48" s="3"/>
      <c r="AA48" s="3"/>
      <c r="AB48" s="3"/>
      <c r="AC48" t="s">
        <v>47</v>
      </c>
      <c r="AD48">
        <f>COUNTIF(Таблица1[Стаж работы на текущем месте],AC48)</f>
        <v>148</v>
      </c>
    </row>
    <row r="49" spans="1:30" x14ac:dyDescent="0.2">
      <c r="A49">
        <v>331</v>
      </c>
      <c r="B49" t="s">
        <v>373</v>
      </c>
      <c r="C49" t="s">
        <v>18</v>
      </c>
      <c r="D49" t="s">
        <v>19</v>
      </c>
      <c r="E49" t="s">
        <v>41</v>
      </c>
      <c r="F49" t="s">
        <v>21</v>
      </c>
      <c r="G49" t="s">
        <v>25</v>
      </c>
      <c r="H49" s="1">
        <v>447788</v>
      </c>
      <c r="I49" s="3">
        <v>0</v>
      </c>
      <c r="J49" s="3">
        <v>1168044</v>
      </c>
      <c r="K49" s="3">
        <v>6497.05</v>
      </c>
      <c r="L49" s="2">
        <v>21.2</v>
      </c>
      <c r="M49" s="11">
        <v>8</v>
      </c>
      <c r="N49" s="3">
        <v>5</v>
      </c>
      <c r="O49" s="3">
        <v>806379</v>
      </c>
      <c r="P49" s="3">
        <v>2074886</v>
      </c>
      <c r="Q49" s="10">
        <v>0</v>
      </c>
      <c r="R49" s="3">
        <f>(Таблица1[Размер кредита]-$AA$2)/$AA$3</f>
        <v>0.78677427541716538</v>
      </c>
      <c r="S49" s="3">
        <f>(Таблица1[Кредитный рейтинг]-$AA$7)/($AA$8-$AA$7)</f>
        <v>0</v>
      </c>
      <c r="T49" s="3">
        <f>(Таблица1[Срок с последнего нарушения кредитного договора (мес,)]-$AA$12)/($AA$13-$AA$12)</f>
        <v>9.0909090909090912E-2</v>
      </c>
      <c r="U49" s="3">
        <f>(Таблица1[Количество кредитных карт]-$AA$18)/($AA$19-$AA$18)</f>
        <v>9.5238095238095233E-2</v>
      </c>
      <c r="V49" s="3">
        <f>(Таблица1[Число нарушений кредитных договоров]-$AA$23)/($AA$24-$AA$23)</f>
        <v>0</v>
      </c>
      <c r="W49" s="3">
        <f>Таблица1[[#This Row],[Годовой доход]]/12</f>
        <v>97337</v>
      </c>
      <c r="X49" s="3">
        <f>Таблица1[[#This Row],[Ежемесячный платеж]]/Таблица1[[#This Row],[Ежем доход]]</f>
        <v>6.6747999219207502E-2</v>
      </c>
      <c r="Y49" s="3"/>
      <c r="Z49" s="3"/>
      <c r="AA49" s="3"/>
      <c r="AB49" s="3"/>
      <c r="AC49" t="s">
        <v>32</v>
      </c>
      <c r="AD49">
        <f>COUNTIF(Таблица1[Стаж работы на текущем месте],AC49)</f>
        <v>130</v>
      </c>
    </row>
    <row r="50" spans="1:30" x14ac:dyDescent="0.2">
      <c r="A50">
        <v>1692</v>
      </c>
      <c r="B50" t="s">
        <v>1730</v>
      </c>
      <c r="C50" t="s">
        <v>18</v>
      </c>
      <c r="D50" t="s">
        <v>29</v>
      </c>
      <c r="E50" t="s">
        <v>24</v>
      </c>
      <c r="F50" t="s">
        <v>21</v>
      </c>
      <c r="G50" t="s">
        <v>25</v>
      </c>
      <c r="H50" s="1">
        <v>772552</v>
      </c>
      <c r="I50" s="3">
        <v>717</v>
      </c>
      <c r="J50" s="3">
        <v>1620339</v>
      </c>
      <c r="K50" s="3">
        <v>19038.95</v>
      </c>
      <c r="L50" s="2">
        <v>24.3</v>
      </c>
      <c r="M50" s="11">
        <v>35.265240640000002</v>
      </c>
      <c r="N50" s="3">
        <v>10</v>
      </c>
      <c r="O50" s="3">
        <v>1096452</v>
      </c>
      <c r="P50" s="3">
        <v>2057660</v>
      </c>
      <c r="Q50" s="10">
        <v>0</v>
      </c>
      <c r="R50" s="3">
        <f>(Таблица1[Размер кредита]-$AA$2)/$AA$3</f>
        <v>2.6357469545722667</v>
      </c>
      <c r="S50" s="3">
        <f>(Таблица1[Кредитный рейтинг]-$AA$7)/($AA$8-$AA$7)</f>
        <v>0.9547270306258322</v>
      </c>
      <c r="T50" s="3">
        <f>(Таблица1[Срок с последнего нарушения кредитного договора (мес,)]-$AA$12)/($AA$13-$AA$12)</f>
        <v>0.40074137090909095</v>
      </c>
      <c r="U50" s="3">
        <f>(Таблица1[Количество кредитных карт]-$AA$18)/($AA$19-$AA$18)</f>
        <v>0.21428571428571427</v>
      </c>
      <c r="V50" s="3">
        <f>(Таблица1[Число нарушений кредитных договоров]-$AA$23)/($AA$24-$AA$23)</f>
        <v>0</v>
      </c>
      <c r="W50" s="3">
        <f>Таблица1[[#This Row],[Годовой доход]]/12</f>
        <v>135028.25</v>
      </c>
      <c r="X50" s="3">
        <f>Таблица1[[#This Row],[Ежемесячный платеж]]/Таблица1[[#This Row],[Ежем доход]]</f>
        <v>0.14099975375523272</v>
      </c>
      <c r="Y50" s="3"/>
      <c r="Z50" s="3"/>
      <c r="AA50" s="3"/>
      <c r="AB50" s="3"/>
      <c r="AC50" t="s">
        <v>69</v>
      </c>
      <c r="AD50">
        <f>COUNTIF(Таблица1[Стаж работы на текущем месте],AC50)</f>
        <v>122</v>
      </c>
    </row>
    <row r="51" spans="1:30" x14ac:dyDescent="0.2">
      <c r="A51">
        <v>468</v>
      </c>
      <c r="B51" t="s">
        <v>509</v>
      </c>
      <c r="C51" t="s">
        <v>18</v>
      </c>
      <c r="D51" t="s">
        <v>19</v>
      </c>
      <c r="E51" t="s">
        <v>24</v>
      </c>
      <c r="F51" t="s">
        <v>21</v>
      </c>
      <c r="G51" t="s">
        <v>25</v>
      </c>
      <c r="H51" s="1">
        <v>430012</v>
      </c>
      <c r="I51" s="3">
        <v>723</v>
      </c>
      <c r="J51" s="3">
        <v>1392662</v>
      </c>
      <c r="K51" s="3">
        <v>21470</v>
      </c>
      <c r="L51" s="2">
        <v>16</v>
      </c>
      <c r="M51" s="11">
        <v>35.265240640000002</v>
      </c>
      <c r="N51" s="3">
        <v>21</v>
      </c>
      <c r="O51" s="3">
        <v>597360</v>
      </c>
      <c r="P51" s="3">
        <v>2034340</v>
      </c>
      <c r="Q51" s="10">
        <v>1</v>
      </c>
      <c r="R51" s="3">
        <f>(Таблица1[Размер кредита]-$AA$2)/$AA$3</f>
        <v>0.68557051408690384</v>
      </c>
      <c r="S51" s="3">
        <f>(Таблица1[Кредитный рейтинг]-$AA$7)/($AA$8-$AA$7)</f>
        <v>0.96271637816245004</v>
      </c>
      <c r="T51" s="3">
        <f>(Таблица1[Срок с последнего нарушения кредитного договора (мес,)]-$AA$12)/($AA$13-$AA$12)</f>
        <v>0.40074137090909095</v>
      </c>
      <c r="U51" s="3">
        <f>(Таблица1[Количество кредитных карт]-$AA$18)/($AA$19-$AA$18)</f>
        <v>0.47619047619047616</v>
      </c>
      <c r="V51" s="3">
        <f>(Таблица1[Число нарушений кредитных договоров]-$AA$23)/($AA$24-$AA$23)</f>
        <v>0.14285714285714285</v>
      </c>
      <c r="W51" s="3">
        <f>Таблица1[[#This Row],[Годовой доход]]/12</f>
        <v>116055.16666666667</v>
      </c>
      <c r="X51" s="3">
        <f>Таблица1[[#This Row],[Ежемесячный платеж]]/Таблица1[[#This Row],[Ежем доход]]</f>
        <v>0.18499822641818331</v>
      </c>
      <c r="Y51" s="3"/>
      <c r="Z51" s="3"/>
      <c r="AA51" s="3"/>
      <c r="AB51" s="3"/>
      <c r="AC51" t="s">
        <v>52</v>
      </c>
      <c r="AD51">
        <f>COUNTIF(Таблица1[Стаж работы на текущем месте],AC51)</f>
        <v>123</v>
      </c>
    </row>
    <row r="52" spans="1:30" x14ac:dyDescent="0.2">
      <c r="A52">
        <v>798</v>
      </c>
      <c r="B52" t="s">
        <v>839</v>
      </c>
      <c r="C52" t="s">
        <v>35</v>
      </c>
      <c r="D52" t="s">
        <v>19</v>
      </c>
      <c r="E52" t="s">
        <v>50</v>
      </c>
      <c r="F52" t="s">
        <v>27</v>
      </c>
      <c r="G52" t="s">
        <v>25</v>
      </c>
      <c r="H52" s="1">
        <v>116710</v>
      </c>
      <c r="I52" s="3">
        <v>0</v>
      </c>
      <c r="J52" s="3">
        <v>1168044</v>
      </c>
      <c r="K52" s="3">
        <v>10125.67</v>
      </c>
      <c r="L52" s="2">
        <v>13.1</v>
      </c>
      <c r="M52" s="11">
        <v>68</v>
      </c>
      <c r="N52" s="3">
        <v>12</v>
      </c>
      <c r="O52" s="3">
        <v>914812</v>
      </c>
      <c r="P52" s="3">
        <v>2021470</v>
      </c>
      <c r="Q52" s="10">
        <v>0</v>
      </c>
      <c r="R52" s="3">
        <f>(Таблица1[Размер кредита]-$AA$2)/$AA$3</f>
        <v>-1.0981457793589571</v>
      </c>
      <c r="S52" s="3">
        <f>(Таблица1[Кредитный рейтинг]-$AA$7)/($AA$8-$AA$7)</f>
        <v>0</v>
      </c>
      <c r="T52" s="3">
        <f>(Таблица1[Срок с последнего нарушения кредитного договора (мес,)]-$AA$12)/($AA$13-$AA$12)</f>
        <v>0.77272727272727271</v>
      </c>
      <c r="U52" s="3">
        <f>(Таблица1[Количество кредитных карт]-$AA$18)/($AA$19-$AA$18)</f>
        <v>0.26190476190476192</v>
      </c>
      <c r="V52" s="3">
        <f>(Таблица1[Число нарушений кредитных договоров]-$AA$23)/($AA$24-$AA$23)</f>
        <v>0</v>
      </c>
      <c r="W52" s="3">
        <f>Таблица1[[#This Row],[Годовой доход]]/12</f>
        <v>97337</v>
      </c>
      <c r="X52" s="3">
        <f>Таблица1[[#This Row],[Ежемесячный платеж]]/Таблица1[[#This Row],[Ежем доход]]</f>
        <v>0.10402693734140152</v>
      </c>
      <c r="Y52" s="3"/>
      <c r="Z52" s="3"/>
      <c r="AA52" s="3"/>
      <c r="AB52" s="3"/>
      <c r="AC52" t="s">
        <v>20</v>
      </c>
      <c r="AD52">
        <f>COUNTIF(Таблица1[Стаж работы на текущем месте],AC52)</f>
        <v>93</v>
      </c>
    </row>
    <row r="53" spans="1:30" x14ac:dyDescent="0.2">
      <c r="A53">
        <v>535</v>
      </c>
      <c r="B53" t="s">
        <v>576</v>
      </c>
      <c r="C53" t="s">
        <v>18</v>
      </c>
      <c r="D53" t="s">
        <v>19</v>
      </c>
      <c r="E53" t="s">
        <v>32</v>
      </c>
      <c r="F53" t="s">
        <v>21</v>
      </c>
      <c r="G53" t="s">
        <v>67</v>
      </c>
      <c r="H53" s="1">
        <v>224598</v>
      </c>
      <c r="I53" s="3">
        <v>0</v>
      </c>
      <c r="J53" s="3">
        <v>1168044</v>
      </c>
      <c r="K53" s="3">
        <v>16325.94</v>
      </c>
      <c r="L53" s="2">
        <v>30.5</v>
      </c>
      <c r="M53" s="11">
        <v>7</v>
      </c>
      <c r="N53" s="3">
        <v>22</v>
      </c>
      <c r="O53" s="3">
        <v>107616</v>
      </c>
      <c r="P53" s="3">
        <v>2009788</v>
      </c>
      <c r="Q53" s="10">
        <v>1</v>
      </c>
      <c r="R53" s="3">
        <f>(Таблица1[Размер кредита]-$AA$2)/$AA$3</f>
        <v>-0.4839090893049931</v>
      </c>
      <c r="S53" s="3">
        <f>(Таблица1[Кредитный рейтинг]-$AA$7)/($AA$8-$AA$7)</f>
        <v>0</v>
      </c>
      <c r="T53" s="3">
        <f>(Таблица1[Срок с последнего нарушения кредитного договора (мес,)]-$AA$12)/($AA$13-$AA$12)</f>
        <v>7.9545454545454544E-2</v>
      </c>
      <c r="U53" s="3">
        <f>(Таблица1[Количество кредитных карт]-$AA$18)/($AA$19-$AA$18)</f>
        <v>0.5</v>
      </c>
      <c r="V53" s="3">
        <f>(Таблица1[Число нарушений кредитных договоров]-$AA$23)/($AA$24-$AA$23)</f>
        <v>0.14285714285714285</v>
      </c>
      <c r="W53" s="3">
        <f>Таблица1[[#This Row],[Годовой доход]]/12</f>
        <v>97337</v>
      </c>
      <c r="X53" s="3">
        <f>Таблица1[[#This Row],[Ежемесячный платеж]]/Таблица1[[#This Row],[Ежем доход]]</f>
        <v>0.16772594183095843</v>
      </c>
      <c r="Y53" s="3"/>
      <c r="Z53" s="3"/>
      <c r="AA53" s="3"/>
      <c r="AB53" s="3"/>
      <c r="AC53" t="s">
        <v>50</v>
      </c>
      <c r="AD53">
        <f>COUNTIF(Таблица1[Стаж работы на текущем месте],AC53)</f>
        <v>79</v>
      </c>
    </row>
    <row r="54" spans="1:30" x14ac:dyDescent="0.2">
      <c r="A54">
        <v>18</v>
      </c>
      <c r="B54" s="4" t="s">
        <v>53</v>
      </c>
      <c r="C54" t="s">
        <v>18</v>
      </c>
      <c r="D54" t="s">
        <v>29</v>
      </c>
      <c r="E54" t="s">
        <v>24</v>
      </c>
      <c r="F54" t="s">
        <v>21</v>
      </c>
      <c r="G54" t="s">
        <v>25</v>
      </c>
      <c r="H54" s="1">
        <v>666204</v>
      </c>
      <c r="I54" s="3">
        <v>723</v>
      </c>
      <c r="J54" s="3">
        <v>1821967</v>
      </c>
      <c r="K54" s="3">
        <v>17612.240000000002</v>
      </c>
      <c r="L54" s="2">
        <v>22</v>
      </c>
      <c r="M54" s="11">
        <v>34</v>
      </c>
      <c r="N54" s="3">
        <v>15</v>
      </c>
      <c r="O54" s="3">
        <v>813694</v>
      </c>
      <c r="P54" s="3">
        <v>2004618</v>
      </c>
      <c r="Q54" s="10">
        <v>0</v>
      </c>
      <c r="R54" s="3">
        <f>(Таблица1[Размер кредита]-$AA$2)/$AA$3</f>
        <v>2.0302779171087959</v>
      </c>
      <c r="S54" s="3">
        <f>(Таблица1[Кредитный рейтинг]-$AA$7)/($AA$8-$AA$7)</f>
        <v>0.96271637816245004</v>
      </c>
      <c r="T54" s="3">
        <f>(Таблица1[Срок с последнего нарушения кредитного договора (мес,)]-$AA$12)/($AA$13-$AA$12)</f>
        <v>0.38636363636363635</v>
      </c>
      <c r="U54" s="3">
        <f>(Таблица1[Количество кредитных карт]-$AA$18)/($AA$19-$AA$18)</f>
        <v>0.33333333333333331</v>
      </c>
      <c r="V54" s="3">
        <f>(Таблица1[Число нарушений кредитных договоров]-$AA$23)/($AA$24-$AA$23)</f>
        <v>0</v>
      </c>
      <c r="W54" s="3">
        <f>Таблица1[[#This Row],[Годовой доход]]/12</f>
        <v>151830.58333333334</v>
      </c>
      <c r="X54" s="3">
        <f>Таблица1[[#This Row],[Ежемесячный платеж]]/Таблица1[[#This Row],[Ежем доход]]</f>
        <v>0.1159992908762892</v>
      </c>
      <c r="Y54" s="3"/>
      <c r="Z54" s="3"/>
      <c r="AA54" s="3"/>
      <c r="AB54" s="3"/>
    </row>
    <row r="55" spans="1:30" x14ac:dyDescent="0.2">
      <c r="A55">
        <v>307</v>
      </c>
      <c r="B55" t="s">
        <v>349</v>
      </c>
      <c r="C55" t="s">
        <v>35</v>
      </c>
      <c r="D55" t="s">
        <v>29</v>
      </c>
      <c r="E55" t="s">
        <v>52</v>
      </c>
      <c r="F55" t="s">
        <v>27</v>
      </c>
      <c r="G55" t="s">
        <v>25</v>
      </c>
      <c r="H55" s="1">
        <v>765006</v>
      </c>
      <c r="I55" s="3">
        <v>736</v>
      </c>
      <c r="J55" s="3">
        <v>6606775</v>
      </c>
      <c r="K55" s="3">
        <v>5780.94</v>
      </c>
      <c r="L55" s="2">
        <v>24.1</v>
      </c>
      <c r="M55" s="11">
        <v>43</v>
      </c>
      <c r="N55" s="3">
        <v>11</v>
      </c>
      <c r="O55" s="3">
        <v>369170</v>
      </c>
      <c r="P55" s="3">
        <v>1978966</v>
      </c>
      <c r="Q55" s="10">
        <v>0</v>
      </c>
      <c r="R55" s="3">
        <f>(Таблица1[Размер кредита]-$AA$2)/$AA$3</f>
        <v>2.5927854568788513</v>
      </c>
      <c r="S55" s="3">
        <f>(Таблица1[Кредитный рейтинг]-$AA$7)/($AA$8-$AA$7)</f>
        <v>0.98002663115845534</v>
      </c>
      <c r="T55" s="3">
        <f>(Таблица1[Срок с последнего нарушения кредитного договора (мес,)]-$AA$12)/($AA$13-$AA$12)</f>
        <v>0.48863636363636365</v>
      </c>
      <c r="U55" s="3">
        <f>(Таблица1[Количество кредитных карт]-$AA$18)/($AA$19-$AA$18)</f>
        <v>0.23809523809523808</v>
      </c>
      <c r="V55" s="3">
        <f>(Таблица1[Число нарушений кредитных договоров]-$AA$23)/($AA$24-$AA$23)</f>
        <v>0</v>
      </c>
      <c r="W55" s="3">
        <f>Таблица1[[#This Row],[Годовой доход]]/12</f>
        <v>550564.58333333337</v>
      </c>
      <c r="X55" s="3">
        <f>Таблица1[[#This Row],[Ежемесячный платеж]]/Таблица1[[#This Row],[Ежем доход]]</f>
        <v>1.0500021568768421E-2</v>
      </c>
      <c r="Y55" s="3"/>
      <c r="Z55" s="3"/>
      <c r="AA55" s="3"/>
      <c r="AB55" s="3"/>
    </row>
    <row r="56" spans="1:30" x14ac:dyDescent="0.2">
      <c r="A56">
        <v>1771</v>
      </c>
      <c r="B56" t="s">
        <v>1809</v>
      </c>
      <c r="C56" t="s">
        <v>18</v>
      </c>
      <c r="D56" t="s">
        <v>29</v>
      </c>
      <c r="E56" t="s">
        <v>24</v>
      </c>
      <c r="F56" t="s">
        <v>21</v>
      </c>
      <c r="G56" t="s">
        <v>25</v>
      </c>
      <c r="H56" s="1">
        <v>755150</v>
      </c>
      <c r="I56" s="3">
        <v>723</v>
      </c>
      <c r="J56" s="3">
        <v>1490664</v>
      </c>
      <c r="K56" s="3">
        <v>24720.33</v>
      </c>
      <c r="L56" s="2">
        <v>25.8</v>
      </c>
      <c r="M56" s="11">
        <v>42</v>
      </c>
      <c r="N56" s="3">
        <v>14</v>
      </c>
      <c r="O56" s="3">
        <v>949924</v>
      </c>
      <c r="P56" s="3">
        <v>1964138</v>
      </c>
      <c r="Q56" s="10">
        <v>0</v>
      </c>
      <c r="R56" s="3">
        <f>(Таблица1[Размер кредита]-$AA$2)/$AA$3</f>
        <v>2.5366724802996963</v>
      </c>
      <c r="S56" s="3">
        <f>(Таблица1[Кредитный рейтинг]-$AA$7)/($AA$8-$AA$7)</f>
        <v>0.96271637816245004</v>
      </c>
      <c r="T56" s="3">
        <f>(Таблица1[Срок с последнего нарушения кредитного договора (мес,)]-$AA$12)/($AA$13-$AA$12)</f>
        <v>0.47727272727272729</v>
      </c>
      <c r="U56" s="3">
        <f>(Таблица1[Количество кредитных карт]-$AA$18)/($AA$19-$AA$18)</f>
        <v>0.30952380952380953</v>
      </c>
      <c r="V56" s="3">
        <f>(Таблица1[Число нарушений кредитных договоров]-$AA$23)/($AA$24-$AA$23)</f>
        <v>0</v>
      </c>
      <c r="W56" s="3">
        <f>Таблица1[[#This Row],[Годовой доход]]/12</f>
        <v>124222</v>
      </c>
      <c r="X56" s="3">
        <f>Таблица1[[#This Row],[Ежемесячный платеж]]/Таблица1[[#This Row],[Ежем доход]]</f>
        <v>0.19900122361578465</v>
      </c>
      <c r="Y56" s="3"/>
      <c r="Z56" s="3"/>
      <c r="AA56" s="3"/>
      <c r="AB56" s="3"/>
    </row>
    <row r="57" spans="1:30" x14ac:dyDescent="0.2">
      <c r="A57">
        <v>1442</v>
      </c>
      <c r="B57" t="s">
        <v>1481</v>
      </c>
      <c r="C57" t="s">
        <v>35</v>
      </c>
      <c r="D57" t="s">
        <v>19</v>
      </c>
      <c r="E57" t="s">
        <v>63</v>
      </c>
      <c r="F57" t="s">
        <v>27</v>
      </c>
      <c r="G57" t="s">
        <v>25</v>
      </c>
      <c r="H57" s="1">
        <v>534556</v>
      </c>
      <c r="I57" s="3">
        <v>0</v>
      </c>
      <c r="J57" s="3">
        <v>1168044</v>
      </c>
      <c r="K57" s="3">
        <v>11249.52</v>
      </c>
      <c r="L57" s="2">
        <v>17.899999999999999</v>
      </c>
      <c r="M57" s="11">
        <v>35.265240640000002</v>
      </c>
      <c r="N57" s="3">
        <v>19</v>
      </c>
      <c r="O57" s="3">
        <v>451136</v>
      </c>
      <c r="P57" s="3">
        <v>1949112</v>
      </c>
      <c r="Q57" s="10">
        <v>0</v>
      </c>
      <c r="R57" s="3">
        <f>(Таблица1[Размер кредита]-$AA$2)/$AA$3</f>
        <v>1.2807688728015116</v>
      </c>
      <c r="S57" s="3">
        <f>(Таблица1[Кредитный рейтинг]-$AA$7)/($AA$8-$AA$7)</f>
        <v>0</v>
      </c>
      <c r="T57" s="3">
        <f>(Таблица1[Срок с последнего нарушения кредитного договора (мес,)]-$AA$12)/($AA$13-$AA$12)</f>
        <v>0.40074137090909095</v>
      </c>
      <c r="U57" s="3">
        <f>(Таблица1[Количество кредитных карт]-$AA$18)/($AA$19-$AA$18)</f>
        <v>0.42857142857142855</v>
      </c>
      <c r="V57" s="3">
        <f>(Таблица1[Число нарушений кредитных договоров]-$AA$23)/($AA$24-$AA$23)</f>
        <v>0</v>
      </c>
      <c r="W57" s="3">
        <f>Таблица1[[#This Row],[Годовой доход]]/12</f>
        <v>97337</v>
      </c>
      <c r="X57" s="3">
        <f>Таблица1[[#This Row],[Ежемесячный платеж]]/Таблица1[[#This Row],[Ежем доход]]</f>
        <v>0.11557290650009761</v>
      </c>
      <c r="Y57" s="3"/>
      <c r="Z57" s="3"/>
      <c r="AA57" s="3"/>
      <c r="AB57" s="3"/>
    </row>
    <row r="58" spans="1:30" x14ac:dyDescent="0.2">
      <c r="A58">
        <v>1059</v>
      </c>
      <c r="B58" t="s">
        <v>1098</v>
      </c>
      <c r="C58" t="s">
        <v>18</v>
      </c>
      <c r="D58" t="s">
        <v>29</v>
      </c>
      <c r="E58" t="s">
        <v>20</v>
      </c>
      <c r="F58" t="s">
        <v>21</v>
      </c>
      <c r="G58" t="s">
        <v>25</v>
      </c>
      <c r="H58" s="1">
        <v>309594.52439999999</v>
      </c>
      <c r="I58" s="3">
        <v>723</v>
      </c>
      <c r="J58" s="3">
        <v>1729323</v>
      </c>
      <c r="K58" s="3">
        <v>22625.39</v>
      </c>
      <c r="L58" s="2">
        <v>22.2</v>
      </c>
      <c r="M58" s="11">
        <v>43</v>
      </c>
      <c r="N58" s="3">
        <v>19</v>
      </c>
      <c r="O58" s="3">
        <v>197562</v>
      </c>
      <c r="P58" s="3">
        <v>1906322</v>
      </c>
      <c r="Q58" s="10">
        <v>0</v>
      </c>
      <c r="R58" s="3">
        <f>(Таблица1[Размер кредита]-$AA$2)/$AA$3</f>
        <v>-1.2411115481956205E-10</v>
      </c>
      <c r="S58" s="3">
        <f>(Таблица1[Кредитный рейтинг]-$AA$7)/($AA$8-$AA$7)</f>
        <v>0.96271637816245004</v>
      </c>
      <c r="T58" s="3">
        <f>(Таблица1[Срок с последнего нарушения кредитного договора (мес,)]-$AA$12)/($AA$13-$AA$12)</f>
        <v>0.48863636363636365</v>
      </c>
      <c r="U58" s="3">
        <f>(Таблица1[Количество кредитных карт]-$AA$18)/($AA$19-$AA$18)</f>
        <v>0.42857142857142855</v>
      </c>
      <c r="V58" s="3">
        <f>(Таблица1[Число нарушений кредитных договоров]-$AA$23)/($AA$24-$AA$23)</f>
        <v>0</v>
      </c>
      <c r="W58" s="3">
        <f>Таблица1[[#This Row],[Годовой доход]]/12</f>
        <v>144110.25</v>
      </c>
      <c r="X58" s="3">
        <f>Таблица1[[#This Row],[Ежемесячный платеж]]/Таблица1[[#This Row],[Ежем доход]]</f>
        <v>0.15700056033488249</v>
      </c>
      <c r="Y58" s="3"/>
      <c r="Z58" s="3"/>
      <c r="AA58" s="3"/>
      <c r="AB58" s="3"/>
    </row>
    <row r="59" spans="1:30" x14ac:dyDescent="0.2">
      <c r="A59">
        <v>1082</v>
      </c>
      <c r="B59" t="s">
        <v>1121</v>
      </c>
      <c r="C59" t="s">
        <v>35</v>
      </c>
      <c r="D59" t="s">
        <v>29</v>
      </c>
      <c r="E59" t="s">
        <v>37</v>
      </c>
      <c r="F59" t="s">
        <v>33</v>
      </c>
      <c r="G59" t="s">
        <v>25</v>
      </c>
      <c r="H59" s="1">
        <v>683848</v>
      </c>
      <c r="I59" s="3">
        <v>0</v>
      </c>
      <c r="J59" s="3">
        <v>1168044</v>
      </c>
      <c r="K59" s="3">
        <v>31104.9</v>
      </c>
      <c r="L59" s="2">
        <v>13.2</v>
      </c>
      <c r="M59" s="11">
        <v>71</v>
      </c>
      <c r="N59" s="3">
        <v>28</v>
      </c>
      <c r="O59" s="3">
        <v>791407</v>
      </c>
      <c r="P59" s="3">
        <v>1905134</v>
      </c>
      <c r="Q59" s="10">
        <v>0</v>
      </c>
      <c r="R59" s="3">
        <f>(Таблица1[Размер кредита]-$AA$2)/$AA$3</f>
        <v>2.1307301653598723</v>
      </c>
      <c r="S59" s="3">
        <f>(Таблица1[Кредитный рейтинг]-$AA$7)/($AA$8-$AA$7)</f>
        <v>0</v>
      </c>
      <c r="T59" s="3">
        <f>(Таблица1[Срок с последнего нарушения кредитного договора (мес,)]-$AA$12)/($AA$13-$AA$12)</f>
        <v>0.80681818181818177</v>
      </c>
      <c r="U59" s="3">
        <f>(Таблица1[Количество кредитных карт]-$AA$18)/($AA$19-$AA$18)</f>
        <v>0.6428571428571429</v>
      </c>
      <c r="V59" s="3">
        <f>(Таблица1[Число нарушений кредитных договоров]-$AA$23)/($AA$24-$AA$23)</f>
        <v>0</v>
      </c>
      <c r="W59" s="3">
        <f>Таблица1[[#This Row],[Годовой доход]]/12</f>
        <v>97337</v>
      </c>
      <c r="X59" s="3">
        <f>Таблица1[[#This Row],[Ежемесячный платеж]]/Таблица1[[#This Row],[Ежем доход]]</f>
        <v>0.31955885223501856</v>
      </c>
      <c r="Y59" s="3"/>
      <c r="Z59" s="3"/>
      <c r="AA59" s="3"/>
      <c r="AB59" s="3"/>
    </row>
    <row r="60" spans="1:30" x14ac:dyDescent="0.2">
      <c r="A60">
        <v>1381</v>
      </c>
      <c r="B60" t="s">
        <v>1420</v>
      </c>
      <c r="C60" t="s">
        <v>18</v>
      </c>
      <c r="D60" t="s">
        <v>29</v>
      </c>
      <c r="E60" t="s">
        <v>32</v>
      </c>
      <c r="F60" t="s">
        <v>21</v>
      </c>
      <c r="G60" t="s">
        <v>25</v>
      </c>
      <c r="H60" s="1">
        <v>309594.52439999999</v>
      </c>
      <c r="I60" s="3">
        <v>726</v>
      </c>
      <c r="J60" s="3">
        <v>1465774</v>
      </c>
      <c r="K60" s="3">
        <v>38843.22</v>
      </c>
      <c r="L60" s="2">
        <v>22.6</v>
      </c>
      <c r="M60" s="11">
        <v>5</v>
      </c>
      <c r="N60" s="3">
        <v>17</v>
      </c>
      <c r="O60" s="3">
        <v>634847</v>
      </c>
      <c r="P60" s="3">
        <v>1904386</v>
      </c>
      <c r="Q60" s="10">
        <v>0</v>
      </c>
      <c r="R60" s="3">
        <f>(Таблица1[Размер кредита]-$AA$2)/$AA$3</f>
        <v>-1.2411115481956205E-10</v>
      </c>
      <c r="S60" s="3">
        <f>(Таблица1[Кредитный рейтинг]-$AA$7)/($AA$8-$AA$7)</f>
        <v>0.96671105193075901</v>
      </c>
      <c r="T60" s="3">
        <f>(Таблица1[Срок с последнего нарушения кредитного договора (мес,)]-$AA$12)/($AA$13-$AA$12)</f>
        <v>5.6818181818181816E-2</v>
      </c>
      <c r="U60" s="3">
        <f>(Таблица1[Количество кредитных карт]-$AA$18)/($AA$19-$AA$18)</f>
        <v>0.38095238095238093</v>
      </c>
      <c r="V60" s="3">
        <f>(Таблица1[Число нарушений кредитных договоров]-$AA$23)/($AA$24-$AA$23)</f>
        <v>0</v>
      </c>
      <c r="W60" s="3">
        <f>Таблица1[[#This Row],[Годовой доход]]/12</f>
        <v>122147.83333333333</v>
      </c>
      <c r="X60" s="3">
        <f>Таблица1[[#This Row],[Ежемесячный платеж]]/Таблица1[[#This Row],[Ежем доход]]</f>
        <v>0.31800171104140201</v>
      </c>
      <c r="Y60" s="3"/>
      <c r="Z60" s="3"/>
      <c r="AA60" s="3"/>
      <c r="AB60" s="3"/>
    </row>
    <row r="61" spans="1:30" x14ac:dyDescent="0.2">
      <c r="A61">
        <v>1547</v>
      </c>
      <c r="B61" t="s">
        <v>1586</v>
      </c>
      <c r="C61" t="s">
        <v>18</v>
      </c>
      <c r="D61" t="s">
        <v>19</v>
      </c>
      <c r="E61" t="s">
        <v>24</v>
      </c>
      <c r="F61" t="s">
        <v>21</v>
      </c>
      <c r="G61" t="s">
        <v>25</v>
      </c>
      <c r="H61" s="1">
        <v>618398</v>
      </c>
      <c r="I61" s="3">
        <v>714</v>
      </c>
      <c r="J61" s="3">
        <v>4100941</v>
      </c>
      <c r="K61" s="3">
        <v>16403.650000000001</v>
      </c>
      <c r="L61" s="2">
        <v>26.1</v>
      </c>
      <c r="M61" s="11">
        <v>35.265240640000002</v>
      </c>
      <c r="N61" s="3">
        <v>30</v>
      </c>
      <c r="O61" s="3">
        <v>637165</v>
      </c>
      <c r="P61" s="3">
        <v>1901482</v>
      </c>
      <c r="Q61" s="10">
        <v>0</v>
      </c>
      <c r="R61" s="3">
        <f>(Таблица1[Размер кредита]-$AA$2)/$AA$3</f>
        <v>1.7581049302639213</v>
      </c>
      <c r="S61" s="3">
        <f>(Таблица1[Кредитный рейтинг]-$AA$7)/($AA$8-$AA$7)</f>
        <v>0.95073235685752333</v>
      </c>
      <c r="T61" s="3">
        <f>(Таблица1[Срок с последнего нарушения кредитного договора (мес,)]-$AA$12)/($AA$13-$AA$12)</f>
        <v>0.40074137090909095</v>
      </c>
      <c r="U61" s="3">
        <f>(Таблица1[Количество кредитных карт]-$AA$18)/($AA$19-$AA$18)</f>
        <v>0.69047619047619047</v>
      </c>
      <c r="V61" s="3">
        <f>(Таблица1[Число нарушений кредитных договоров]-$AA$23)/($AA$24-$AA$23)</f>
        <v>0</v>
      </c>
      <c r="W61" s="3">
        <f>Таблица1[[#This Row],[Годовой доход]]/12</f>
        <v>341745.08333333331</v>
      </c>
      <c r="X61" s="3">
        <f>Таблица1[[#This Row],[Ежемесячный платеж]]/Таблица1[[#This Row],[Ежем доход]]</f>
        <v>4.7999666418024556E-2</v>
      </c>
      <c r="Y61" s="3"/>
      <c r="Z61" s="3"/>
      <c r="AA61" s="3"/>
      <c r="AB61" s="3"/>
    </row>
    <row r="62" spans="1:30" x14ac:dyDescent="0.2">
      <c r="A62">
        <v>928</v>
      </c>
      <c r="B62" t="s">
        <v>969</v>
      </c>
      <c r="C62" t="s">
        <v>18</v>
      </c>
      <c r="D62" t="s">
        <v>19</v>
      </c>
      <c r="E62" t="s">
        <v>69</v>
      </c>
      <c r="F62" t="s">
        <v>33</v>
      </c>
      <c r="G62" t="s">
        <v>102</v>
      </c>
      <c r="H62" s="1">
        <v>174548</v>
      </c>
      <c r="I62" s="3">
        <v>0</v>
      </c>
      <c r="J62" s="3">
        <v>1168044</v>
      </c>
      <c r="K62" s="3">
        <v>6339.54</v>
      </c>
      <c r="L62" s="2">
        <v>19.8</v>
      </c>
      <c r="M62" s="11">
        <v>35.265240640000002</v>
      </c>
      <c r="N62" s="3">
        <v>13</v>
      </c>
      <c r="O62" s="3">
        <v>4902</v>
      </c>
      <c r="P62" s="3">
        <v>1891032</v>
      </c>
      <c r="Q62" s="10">
        <v>0</v>
      </c>
      <c r="R62" s="3">
        <f>(Таблица1[Размер кредита]-$AA$2)/$AA$3</f>
        <v>-0.76885779849601432</v>
      </c>
      <c r="S62" s="3">
        <f>(Таблица1[Кредитный рейтинг]-$AA$7)/($AA$8-$AA$7)</f>
        <v>0</v>
      </c>
      <c r="T62" s="3">
        <f>(Таблица1[Срок с последнего нарушения кредитного договора (мес,)]-$AA$12)/($AA$13-$AA$12)</f>
        <v>0.40074137090909095</v>
      </c>
      <c r="U62" s="3">
        <f>(Таблица1[Количество кредитных карт]-$AA$18)/($AA$19-$AA$18)</f>
        <v>0.2857142857142857</v>
      </c>
      <c r="V62" s="3">
        <f>(Таблица1[Число нарушений кредитных договоров]-$AA$23)/($AA$24-$AA$23)</f>
        <v>0</v>
      </c>
      <c r="W62" s="3">
        <f>Таблица1[[#This Row],[Годовой доход]]/12</f>
        <v>97337</v>
      </c>
      <c r="X62" s="3">
        <f>Таблица1[[#This Row],[Ежемесячный платеж]]/Таблица1[[#This Row],[Ежем доход]]</f>
        <v>6.5129806753855157E-2</v>
      </c>
      <c r="Y62" s="3"/>
      <c r="Z62" s="3"/>
      <c r="AA62" s="3"/>
      <c r="AB62" s="3"/>
    </row>
    <row r="63" spans="1:30" x14ac:dyDescent="0.2">
      <c r="A63">
        <v>1950</v>
      </c>
      <c r="B63" t="s">
        <v>1986</v>
      </c>
      <c r="C63" t="s">
        <v>35</v>
      </c>
      <c r="D63" t="s">
        <v>29</v>
      </c>
      <c r="E63" t="s">
        <v>24</v>
      </c>
      <c r="F63" t="s">
        <v>21</v>
      </c>
      <c r="G63" t="s">
        <v>25</v>
      </c>
      <c r="H63" s="1">
        <v>788634</v>
      </c>
      <c r="I63" s="3">
        <v>683</v>
      </c>
      <c r="J63" s="3">
        <v>1731926</v>
      </c>
      <c r="K63" s="3">
        <v>25834.49</v>
      </c>
      <c r="L63" s="2">
        <v>30.9</v>
      </c>
      <c r="M63" s="11">
        <v>35.265240640000002</v>
      </c>
      <c r="N63" s="3">
        <v>18</v>
      </c>
      <c r="O63" s="3">
        <v>881524</v>
      </c>
      <c r="P63" s="3">
        <v>1883244</v>
      </c>
      <c r="Q63" s="10">
        <v>0</v>
      </c>
      <c r="R63" s="3">
        <f>(Таблица1[Размер кредита]-$AA$2)/$AA$3</f>
        <v>2.7273062980529863</v>
      </c>
      <c r="S63" s="3">
        <f>(Таблица1[Кредитный рейтинг]-$AA$7)/($AA$8-$AA$7)</f>
        <v>0.9094540612516645</v>
      </c>
      <c r="T63" s="3">
        <f>(Таблица1[Срок с последнего нарушения кредитного договора (мес,)]-$AA$12)/($AA$13-$AA$12)</f>
        <v>0.40074137090909095</v>
      </c>
      <c r="U63" s="3">
        <f>(Таблица1[Количество кредитных карт]-$AA$18)/($AA$19-$AA$18)</f>
        <v>0.40476190476190477</v>
      </c>
      <c r="V63" s="3">
        <f>(Таблица1[Число нарушений кредитных договоров]-$AA$23)/($AA$24-$AA$23)</f>
        <v>0</v>
      </c>
      <c r="W63" s="3">
        <f>Таблица1[[#This Row],[Годовой доход]]/12</f>
        <v>144327.16666666666</v>
      </c>
      <c r="X63" s="3">
        <f>Таблица1[[#This Row],[Ежемесячный платеж]]/Таблица1[[#This Row],[Ежем доход]]</f>
        <v>0.17899949535950152</v>
      </c>
      <c r="Y63" s="3"/>
      <c r="Z63" s="3"/>
      <c r="AA63" s="3"/>
      <c r="AB63" s="3"/>
    </row>
    <row r="64" spans="1:30" x14ac:dyDescent="0.2">
      <c r="A64">
        <v>1914</v>
      </c>
      <c r="B64" t="s">
        <v>1950</v>
      </c>
      <c r="C64" t="s">
        <v>18</v>
      </c>
      <c r="D64" t="s">
        <v>19</v>
      </c>
      <c r="E64" t="s">
        <v>24</v>
      </c>
      <c r="F64" t="s">
        <v>21</v>
      </c>
      <c r="G64" t="s">
        <v>25</v>
      </c>
      <c r="H64" s="1">
        <v>698236</v>
      </c>
      <c r="I64" s="3">
        <v>747</v>
      </c>
      <c r="J64" s="3">
        <v>3203514</v>
      </c>
      <c r="K64" s="3">
        <v>24159.83</v>
      </c>
      <c r="L64" s="2">
        <v>21.6</v>
      </c>
      <c r="M64" s="11">
        <v>35.265240640000002</v>
      </c>
      <c r="N64" s="3">
        <v>17</v>
      </c>
      <c r="O64" s="3">
        <v>446424</v>
      </c>
      <c r="P64" s="3">
        <v>1872838</v>
      </c>
      <c r="Q64" s="10">
        <v>0</v>
      </c>
      <c r="R64" s="3">
        <f>(Таблица1[Размер кредита]-$AA$2)/$AA$3</f>
        <v>2.2126450909910491</v>
      </c>
      <c r="S64" s="3">
        <f>(Таблица1[Кредитный рейтинг]-$AA$7)/($AA$8-$AA$7)</f>
        <v>0.9946737683089214</v>
      </c>
      <c r="T64" s="3">
        <f>(Таблица1[Срок с последнего нарушения кредитного договора (мес,)]-$AA$12)/($AA$13-$AA$12)</f>
        <v>0.40074137090909095</v>
      </c>
      <c r="U64" s="3">
        <f>(Таблица1[Количество кредитных карт]-$AA$18)/($AA$19-$AA$18)</f>
        <v>0.38095238095238093</v>
      </c>
      <c r="V64" s="3">
        <f>(Таблица1[Число нарушений кредитных договоров]-$AA$23)/($AA$24-$AA$23)</f>
        <v>0</v>
      </c>
      <c r="W64" s="3">
        <f>Таблица1[[#This Row],[Годовой доход]]/12</f>
        <v>266959.5</v>
      </c>
      <c r="X64" s="3">
        <f>Таблица1[[#This Row],[Ежемесячный платеж]]/Таблица1[[#This Row],[Ежем доход]]</f>
        <v>9.0499982207038907E-2</v>
      </c>
      <c r="Y64" s="3"/>
      <c r="Z64" s="3"/>
      <c r="AA64" s="3"/>
      <c r="AB64" s="3"/>
    </row>
    <row r="65" spans="1:28" x14ac:dyDescent="0.2">
      <c r="A65">
        <v>501</v>
      </c>
      <c r="B65" t="s">
        <v>542</v>
      </c>
      <c r="C65" t="s">
        <v>18</v>
      </c>
      <c r="D65" t="s">
        <v>19</v>
      </c>
      <c r="E65" t="s">
        <v>30</v>
      </c>
      <c r="F65" t="s">
        <v>21</v>
      </c>
      <c r="G65" t="s">
        <v>25</v>
      </c>
      <c r="H65" s="1">
        <v>222574</v>
      </c>
      <c r="I65" s="3">
        <v>0</v>
      </c>
      <c r="J65" s="3">
        <v>1168044</v>
      </c>
      <c r="K65" s="3">
        <v>19798.95</v>
      </c>
      <c r="L65" s="2">
        <v>25.7</v>
      </c>
      <c r="M65" s="11">
        <v>35.265240640000002</v>
      </c>
      <c r="N65" s="3">
        <v>11</v>
      </c>
      <c r="O65" s="3">
        <v>81396</v>
      </c>
      <c r="P65" s="3">
        <v>1847802</v>
      </c>
      <c r="Q65" s="10">
        <v>0</v>
      </c>
      <c r="R65" s="3">
        <f>(Таблица1[Размер кредита]-$AA$2)/$AA$3</f>
        <v>-0.4954322898524981</v>
      </c>
      <c r="S65" s="3">
        <f>(Таблица1[Кредитный рейтинг]-$AA$7)/($AA$8-$AA$7)</f>
        <v>0</v>
      </c>
      <c r="T65" s="3">
        <f>(Таблица1[Срок с последнего нарушения кредитного договора (мес,)]-$AA$12)/($AA$13-$AA$12)</f>
        <v>0.40074137090909095</v>
      </c>
      <c r="U65" s="3">
        <f>(Таблица1[Количество кредитных карт]-$AA$18)/($AA$19-$AA$18)</f>
        <v>0.23809523809523808</v>
      </c>
      <c r="V65" s="3">
        <f>(Таблица1[Число нарушений кредитных договоров]-$AA$23)/($AA$24-$AA$23)</f>
        <v>0</v>
      </c>
      <c r="W65" s="3">
        <f>Таблица1[[#This Row],[Годовой доход]]/12</f>
        <v>97337</v>
      </c>
      <c r="X65" s="3">
        <f>Таблица1[[#This Row],[Ежемесячный платеж]]/Таблица1[[#This Row],[Ежем доход]]</f>
        <v>0.20340620730040992</v>
      </c>
      <c r="Y65" s="3"/>
      <c r="Z65" s="3"/>
      <c r="AA65" s="3"/>
      <c r="AB65" s="3"/>
    </row>
    <row r="66" spans="1:28" x14ac:dyDescent="0.2">
      <c r="A66">
        <v>1415</v>
      </c>
      <c r="B66" t="s">
        <v>1454</v>
      </c>
      <c r="C66" t="s">
        <v>18</v>
      </c>
      <c r="D66" t="s">
        <v>29</v>
      </c>
      <c r="E66" t="s">
        <v>24</v>
      </c>
      <c r="F66" t="s">
        <v>21</v>
      </c>
      <c r="G66" t="s">
        <v>25</v>
      </c>
      <c r="H66" s="1">
        <v>583352</v>
      </c>
      <c r="I66" s="3">
        <v>0</v>
      </c>
      <c r="J66" s="3">
        <v>1168044</v>
      </c>
      <c r="K66" s="3">
        <v>15582.47</v>
      </c>
      <c r="L66" s="2">
        <v>24.5</v>
      </c>
      <c r="M66" s="11">
        <v>66</v>
      </c>
      <c r="N66" s="3">
        <v>16</v>
      </c>
      <c r="O66" s="3">
        <v>641307</v>
      </c>
      <c r="P66" s="3">
        <v>1847208</v>
      </c>
      <c r="Q66" s="10">
        <v>0</v>
      </c>
      <c r="R66" s="3">
        <f>(Таблица1[Размер кредита]-$AA$2)/$AA$3</f>
        <v>1.5585782077402743</v>
      </c>
      <c r="S66" s="3">
        <f>(Таблица1[Кредитный рейтинг]-$AA$7)/($AA$8-$AA$7)</f>
        <v>0</v>
      </c>
      <c r="T66" s="3">
        <f>(Таблица1[Срок с последнего нарушения кредитного договора (мес,)]-$AA$12)/($AA$13-$AA$12)</f>
        <v>0.75</v>
      </c>
      <c r="U66" s="3">
        <f>(Таблица1[Количество кредитных карт]-$AA$18)/($AA$19-$AA$18)</f>
        <v>0.35714285714285715</v>
      </c>
      <c r="V66" s="3">
        <f>(Таблица1[Число нарушений кредитных договоров]-$AA$23)/($AA$24-$AA$23)</f>
        <v>0</v>
      </c>
      <c r="W66" s="3">
        <f>Таблица1[[#This Row],[Годовой доход]]/12</f>
        <v>97337</v>
      </c>
      <c r="X66" s="3">
        <f>Таблица1[[#This Row],[Ежемесячный платеж]]/Таблица1[[#This Row],[Ежем доход]]</f>
        <v>0.1600878391567441</v>
      </c>
      <c r="Y66" s="3"/>
      <c r="Z66" s="3"/>
      <c r="AA66" s="3"/>
      <c r="AB66" s="3"/>
    </row>
    <row r="67" spans="1:28" x14ac:dyDescent="0.2">
      <c r="A67">
        <v>88</v>
      </c>
      <c r="B67" t="s">
        <v>130</v>
      </c>
      <c r="C67" t="s">
        <v>18</v>
      </c>
      <c r="D67" t="s">
        <v>19</v>
      </c>
      <c r="E67" t="s">
        <v>30</v>
      </c>
      <c r="F67" t="s">
        <v>33</v>
      </c>
      <c r="G67" t="s">
        <v>25</v>
      </c>
      <c r="H67" s="1">
        <v>309594.52439999999</v>
      </c>
      <c r="I67" s="3">
        <v>734</v>
      </c>
      <c r="J67" s="3">
        <v>1355802</v>
      </c>
      <c r="K67" s="3">
        <v>15365.68</v>
      </c>
      <c r="L67" s="2">
        <v>44.5</v>
      </c>
      <c r="M67" s="11">
        <v>31</v>
      </c>
      <c r="N67" s="3">
        <v>8</v>
      </c>
      <c r="O67" s="3">
        <v>25441</v>
      </c>
      <c r="P67" s="3">
        <v>1841796</v>
      </c>
      <c r="Q67" s="10">
        <v>0</v>
      </c>
      <c r="R67" s="3">
        <f>(Таблица1[Размер кредита]-$AA$2)/$AA$3</f>
        <v>-1.2411115481956205E-10</v>
      </c>
      <c r="S67" s="3">
        <f>(Таблица1[Кредитный рейтинг]-$AA$7)/($AA$8-$AA$7)</f>
        <v>0.9773635153129161</v>
      </c>
      <c r="T67" s="3">
        <f>(Таблица1[Срок с последнего нарушения кредитного договора (мес,)]-$AA$12)/($AA$13-$AA$12)</f>
        <v>0.35227272727272729</v>
      </c>
      <c r="U67" s="3">
        <f>(Таблица1[Количество кредитных карт]-$AA$18)/($AA$19-$AA$18)</f>
        <v>0.16666666666666666</v>
      </c>
      <c r="V67" s="3">
        <f>(Таблица1[Число нарушений кредитных договоров]-$AA$23)/($AA$24-$AA$23)</f>
        <v>0</v>
      </c>
      <c r="W67" s="3">
        <f>Таблица1[[#This Row],[Годовой доход]]/12</f>
        <v>112983.5</v>
      </c>
      <c r="X67" s="3">
        <f>Таблица1[[#This Row],[Ежемесячный платеж]]/Таблица1[[#This Row],[Ежем доход]]</f>
        <v>0.13599932733540737</v>
      </c>
      <c r="Y67" s="3"/>
      <c r="Z67" s="3"/>
      <c r="AA67" s="3"/>
      <c r="AB67" s="3"/>
    </row>
    <row r="68" spans="1:28" x14ac:dyDescent="0.2">
      <c r="A68">
        <v>568</v>
      </c>
      <c r="B68" t="s">
        <v>609</v>
      </c>
      <c r="C68" t="s">
        <v>18</v>
      </c>
      <c r="D68" t="s">
        <v>19</v>
      </c>
      <c r="E68" t="s">
        <v>20</v>
      </c>
      <c r="F68" t="s">
        <v>27</v>
      </c>
      <c r="G68" t="s">
        <v>25</v>
      </c>
      <c r="H68" s="1">
        <v>447172</v>
      </c>
      <c r="I68" s="3">
        <v>0</v>
      </c>
      <c r="J68" s="3">
        <v>1168044</v>
      </c>
      <c r="K68" s="3">
        <v>21546.38</v>
      </c>
      <c r="L68" s="2">
        <v>16.5</v>
      </c>
      <c r="M68" s="11">
        <v>35.265240640000002</v>
      </c>
      <c r="N68" s="3">
        <v>12</v>
      </c>
      <c r="O68" s="3">
        <v>673512</v>
      </c>
      <c r="P68" s="3">
        <v>1830642</v>
      </c>
      <c r="Q68" s="10">
        <v>0</v>
      </c>
      <c r="R68" s="3">
        <f>(Таблица1[Размер кредита]-$AA$2)/$AA$3</f>
        <v>0.78326721438096825</v>
      </c>
      <c r="S68" s="3">
        <f>(Таблица1[Кредитный рейтинг]-$AA$7)/($AA$8-$AA$7)</f>
        <v>0</v>
      </c>
      <c r="T68" s="3">
        <f>(Таблица1[Срок с последнего нарушения кредитного договора (мес,)]-$AA$12)/($AA$13-$AA$12)</f>
        <v>0.40074137090909095</v>
      </c>
      <c r="U68" s="3">
        <f>(Таблица1[Количество кредитных карт]-$AA$18)/($AA$19-$AA$18)</f>
        <v>0.26190476190476192</v>
      </c>
      <c r="V68" s="3">
        <f>(Таблица1[Число нарушений кредитных договоров]-$AA$23)/($AA$24-$AA$23)</f>
        <v>0</v>
      </c>
      <c r="W68" s="3">
        <f>Таблица1[[#This Row],[Годовой доход]]/12</f>
        <v>97337</v>
      </c>
      <c r="X68" s="3">
        <f>Таблица1[[#This Row],[Ежемесячный платеж]]/Таблица1[[#This Row],[Ежем доход]]</f>
        <v>0.22135857895764202</v>
      </c>
      <c r="Y68" s="3"/>
      <c r="Z68" s="3"/>
      <c r="AA68" s="3"/>
      <c r="AB68" s="3"/>
    </row>
    <row r="69" spans="1:28" x14ac:dyDescent="0.2">
      <c r="A69">
        <v>860</v>
      </c>
      <c r="B69" t="s">
        <v>901</v>
      </c>
      <c r="C69" t="s">
        <v>18</v>
      </c>
      <c r="D69" t="s">
        <v>19</v>
      </c>
      <c r="E69" t="s">
        <v>24</v>
      </c>
      <c r="F69" t="s">
        <v>27</v>
      </c>
      <c r="G69" t="s">
        <v>25</v>
      </c>
      <c r="H69" s="1">
        <v>79772</v>
      </c>
      <c r="I69" s="3">
        <v>703</v>
      </c>
      <c r="J69" s="3">
        <v>1569381</v>
      </c>
      <c r="K69" s="3">
        <v>33349.18</v>
      </c>
      <c r="L69" s="2">
        <v>20.6</v>
      </c>
      <c r="M69" s="11">
        <v>35.265240640000002</v>
      </c>
      <c r="N69" s="3">
        <v>19</v>
      </c>
      <c r="O69" s="3">
        <v>1175549</v>
      </c>
      <c r="P69" s="3">
        <v>1824614</v>
      </c>
      <c r="Q69" s="10">
        <v>1</v>
      </c>
      <c r="R69" s="3">
        <f>(Таблица1[Размер кредита]-$AA$2)/$AA$3</f>
        <v>-1.308444189350924</v>
      </c>
      <c r="S69" s="3">
        <f>(Таблица1[Кредитный рейтинг]-$AA$7)/($AA$8-$AA$7)</f>
        <v>0.93608521970705727</v>
      </c>
      <c r="T69" s="3">
        <f>(Таблица1[Срок с последнего нарушения кредитного договора (мес,)]-$AA$12)/($AA$13-$AA$12)</f>
        <v>0.40074137090909095</v>
      </c>
      <c r="U69" s="3">
        <f>(Таблица1[Количество кредитных карт]-$AA$18)/($AA$19-$AA$18)</f>
        <v>0.42857142857142855</v>
      </c>
      <c r="V69" s="3">
        <f>(Таблица1[Число нарушений кредитных договоров]-$AA$23)/($AA$24-$AA$23)</f>
        <v>0.14285714285714285</v>
      </c>
      <c r="W69" s="3">
        <f>Таблица1[[#This Row],[Годовой доход]]/12</f>
        <v>130781.75</v>
      </c>
      <c r="X69" s="3">
        <f>Таблица1[[#This Row],[Ежемесячный платеж]]/Таблица1[[#This Row],[Ежем доход]]</f>
        <v>0.25499872879816948</v>
      </c>
      <c r="Y69" s="3"/>
      <c r="Z69" s="3"/>
      <c r="AA69" s="3"/>
      <c r="AB69" s="3"/>
    </row>
    <row r="70" spans="1:28" x14ac:dyDescent="0.2">
      <c r="A70">
        <v>500</v>
      </c>
      <c r="B70" t="s">
        <v>541</v>
      </c>
      <c r="C70" t="s">
        <v>18</v>
      </c>
      <c r="D70" t="s">
        <v>19</v>
      </c>
      <c r="E70" t="s">
        <v>24</v>
      </c>
      <c r="F70" t="s">
        <v>21</v>
      </c>
      <c r="G70" t="s">
        <v>25</v>
      </c>
      <c r="H70" s="1">
        <v>462792</v>
      </c>
      <c r="I70" s="3">
        <v>749</v>
      </c>
      <c r="J70" s="3">
        <v>2207743</v>
      </c>
      <c r="K70" s="3">
        <v>19869.63</v>
      </c>
      <c r="L70" s="2">
        <v>24.3</v>
      </c>
      <c r="M70" s="11">
        <v>35.265240640000002</v>
      </c>
      <c r="N70" s="3">
        <v>11</v>
      </c>
      <c r="O70" s="3">
        <v>710334</v>
      </c>
      <c r="P70" s="3">
        <v>1815682</v>
      </c>
      <c r="Q70" s="10">
        <v>0</v>
      </c>
      <c r="R70" s="3">
        <f>(Таблица1[Размер кредита]-$AA$2)/$AA$3</f>
        <v>0.87219626208453971</v>
      </c>
      <c r="S70" s="3">
        <f>(Таблица1[Кредитный рейтинг]-$AA$7)/($AA$8-$AA$7)</f>
        <v>0.99733688415446076</v>
      </c>
      <c r="T70" s="3">
        <f>(Таблица1[Срок с последнего нарушения кредитного договора (мес,)]-$AA$12)/($AA$13-$AA$12)</f>
        <v>0.40074137090909095</v>
      </c>
      <c r="U70" s="3">
        <f>(Таблица1[Количество кредитных карт]-$AA$18)/($AA$19-$AA$18)</f>
        <v>0.23809523809523808</v>
      </c>
      <c r="V70" s="3">
        <f>(Таблица1[Число нарушений кредитных договоров]-$AA$23)/($AA$24-$AA$23)</f>
        <v>0</v>
      </c>
      <c r="W70" s="3">
        <f>Таблица1[[#This Row],[Годовой доход]]/12</f>
        <v>183978.58333333334</v>
      </c>
      <c r="X70" s="3">
        <f>Таблица1[[#This Row],[Ежемесячный платеж]]/Таблица1[[#This Row],[Ежем доход]]</f>
        <v>0.10799969018132999</v>
      </c>
      <c r="Y70" s="3"/>
      <c r="Z70" s="3"/>
      <c r="AA70" s="3"/>
      <c r="AB70" s="3"/>
    </row>
    <row r="71" spans="1:28" x14ac:dyDescent="0.2">
      <c r="A71">
        <v>1922</v>
      </c>
      <c r="B71" t="s">
        <v>1958</v>
      </c>
      <c r="C71" t="s">
        <v>18</v>
      </c>
      <c r="D71" t="s">
        <v>19</v>
      </c>
      <c r="E71" t="s">
        <v>24</v>
      </c>
      <c r="F71" t="s">
        <v>27</v>
      </c>
      <c r="G71" t="s">
        <v>25</v>
      </c>
      <c r="H71" s="1">
        <v>453508</v>
      </c>
      <c r="I71" s="3">
        <v>0</v>
      </c>
      <c r="J71" s="3">
        <v>1168044</v>
      </c>
      <c r="K71" s="3">
        <v>35435.760000000002</v>
      </c>
      <c r="L71" s="2">
        <v>33.5</v>
      </c>
      <c r="M71" s="11">
        <v>35.265240640000002</v>
      </c>
      <c r="N71" s="3">
        <v>16</v>
      </c>
      <c r="O71" s="3">
        <v>477869</v>
      </c>
      <c r="P71" s="3">
        <v>1808202</v>
      </c>
      <c r="Q71" s="10">
        <v>0</v>
      </c>
      <c r="R71" s="3">
        <f>(Таблица1[Размер кредита]-$AA$2)/$AA$3</f>
        <v>0.81933984218185352</v>
      </c>
      <c r="S71" s="3">
        <f>(Таблица1[Кредитный рейтинг]-$AA$7)/($AA$8-$AA$7)</f>
        <v>0</v>
      </c>
      <c r="T71" s="3">
        <f>(Таблица1[Срок с последнего нарушения кредитного договора (мес,)]-$AA$12)/($AA$13-$AA$12)</f>
        <v>0.40074137090909095</v>
      </c>
      <c r="U71" s="3">
        <f>(Таблица1[Количество кредитных карт]-$AA$18)/($AA$19-$AA$18)</f>
        <v>0.35714285714285715</v>
      </c>
      <c r="V71" s="3">
        <f>(Таблица1[Число нарушений кредитных договоров]-$AA$23)/($AA$24-$AA$23)</f>
        <v>0</v>
      </c>
      <c r="W71" s="3">
        <f>Таблица1[[#This Row],[Годовой доход]]/12</f>
        <v>97337</v>
      </c>
      <c r="X71" s="3">
        <f>Таблица1[[#This Row],[Ежемесячный платеж]]/Таблица1[[#This Row],[Ежем доход]]</f>
        <v>0.36405231309779429</v>
      </c>
      <c r="Y71" s="3"/>
      <c r="Z71" s="3"/>
      <c r="AA71" s="3"/>
      <c r="AB71" s="3"/>
    </row>
    <row r="72" spans="1:28" x14ac:dyDescent="0.2">
      <c r="A72">
        <v>1711</v>
      </c>
      <c r="B72" t="s">
        <v>1749</v>
      </c>
      <c r="C72" t="s">
        <v>18</v>
      </c>
      <c r="D72" t="s">
        <v>19</v>
      </c>
      <c r="E72" t="s">
        <v>24</v>
      </c>
      <c r="F72" t="s">
        <v>21</v>
      </c>
      <c r="G72" t="s">
        <v>25</v>
      </c>
      <c r="H72" s="1">
        <v>629860</v>
      </c>
      <c r="I72" s="3">
        <v>0</v>
      </c>
      <c r="J72" s="3">
        <v>1168044</v>
      </c>
      <c r="K72" s="3">
        <v>35438.99</v>
      </c>
      <c r="L72" s="2">
        <v>17</v>
      </c>
      <c r="M72" s="11">
        <v>35.265240640000002</v>
      </c>
      <c r="N72" s="3">
        <v>13</v>
      </c>
      <c r="O72" s="3">
        <v>984884</v>
      </c>
      <c r="P72" s="3">
        <v>1798720</v>
      </c>
      <c r="Q72" s="10">
        <v>0</v>
      </c>
      <c r="R72" s="3">
        <f>(Таблица1[Размер кредита]-$AA$2)/$AA$3</f>
        <v>1.8233613159731619</v>
      </c>
      <c r="S72" s="3">
        <f>(Таблица1[Кредитный рейтинг]-$AA$7)/($AA$8-$AA$7)</f>
        <v>0</v>
      </c>
      <c r="T72" s="3">
        <f>(Таблица1[Срок с последнего нарушения кредитного договора (мес,)]-$AA$12)/($AA$13-$AA$12)</f>
        <v>0.40074137090909095</v>
      </c>
      <c r="U72" s="3">
        <f>(Таблица1[Количество кредитных карт]-$AA$18)/($AA$19-$AA$18)</f>
        <v>0.2857142857142857</v>
      </c>
      <c r="V72" s="3">
        <f>(Таблица1[Число нарушений кредитных договоров]-$AA$23)/($AA$24-$AA$23)</f>
        <v>0</v>
      </c>
      <c r="W72" s="3">
        <f>Таблица1[[#This Row],[Годовой доход]]/12</f>
        <v>97337</v>
      </c>
      <c r="X72" s="3">
        <f>Таблица1[[#This Row],[Ежемесячный платеж]]/Таблица1[[#This Row],[Ежем доход]]</f>
        <v>0.36408549677923091</v>
      </c>
      <c r="Y72" s="3"/>
      <c r="Z72" s="3"/>
      <c r="AA72" s="3"/>
      <c r="AB72" s="3"/>
    </row>
    <row r="73" spans="1:28" x14ac:dyDescent="0.2">
      <c r="A73">
        <v>1298</v>
      </c>
      <c r="B73" t="s">
        <v>1337</v>
      </c>
      <c r="C73" t="s">
        <v>18</v>
      </c>
      <c r="D73" t="s">
        <v>19</v>
      </c>
      <c r="E73" t="s">
        <v>32</v>
      </c>
      <c r="F73" t="s">
        <v>21</v>
      </c>
      <c r="G73" t="s">
        <v>22</v>
      </c>
      <c r="H73" s="1">
        <v>109318</v>
      </c>
      <c r="I73" s="3">
        <v>736</v>
      </c>
      <c r="J73" s="3">
        <v>1888220</v>
      </c>
      <c r="K73" s="3">
        <v>32556.12</v>
      </c>
      <c r="L73" s="2">
        <v>17.3</v>
      </c>
      <c r="M73" s="11">
        <v>35.265240640000002</v>
      </c>
      <c r="N73" s="3">
        <v>12</v>
      </c>
      <c r="O73" s="3">
        <v>1133122</v>
      </c>
      <c r="P73" s="3">
        <v>1789942</v>
      </c>
      <c r="Q73" s="10">
        <v>0</v>
      </c>
      <c r="R73" s="3">
        <f>(Таблица1[Размер кредита]-$AA$2)/$AA$3</f>
        <v>-1.1402305117933234</v>
      </c>
      <c r="S73" s="3">
        <f>(Таблица1[Кредитный рейтинг]-$AA$7)/($AA$8-$AA$7)</f>
        <v>0.98002663115845534</v>
      </c>
      <c r="T73" s="3">
        <f>(Таблица1[Срок с последнего нарушения кредитного договора (мес,)]-$AA$12)/($AA$13-$AA$12)</f>
        <v>0.40074137090909095</v>
      </c>
      <c r="U73" s="3">
        <f>(Таблица1[Количество кредитных карт]-$AA$18)/($AA$19-$AA$18)</f>
        <v>0.26190476190476192</v>
      </c>
      <c r="V73" s="3">
        <f>(Таблица1[Число нарушений кредитных договоров]-$AA$23)/($AA$24-$AA$23)</f>
        <v>0</v>
      </c>
      <c r="W73" s="3">
        <f>Таблица1[[#This Row],[Годовой доход]]/12</f>
        <v>157351.66666666666</v>
      </c>
      <c r="X73" s="3">
        <f>Таблица1[[#This Row],[Ежемесячный платеж]]/Таблица1[[#This Row],[Ежем доход]]</f>
        <v>0.20690038237069833</v>
      </c>
      <c r="Y73" s="3"/>
      <c r="Z73" s="3"/>
      <c r="AA73" s="3"/>
      <c r="AB73" s="3"/>
    </row>
    <row r="74" spans="1:28" x14ac:dyDescent="0.2">
      <c r="A74">
        <v>1525</v>
      </c>
      <c r="B74" t="s">
        <v>1564</v>
      </c>
      <c r="C74" t="s">
        <v>35</v>
      </c>
      <c r="D74" t="s">
        <v>19</v>
      </c>
      <c r="E74" t="s">
        <v>20</v>
      </c>
      <c r="F74" t="s">
        <v>21</v>
      </c>
      <c r="G74" t="s">
        <v>25</v>
      </c>
      <c r="H74" s="1">
        <v>756602</v>
      </c>
      <c r="I74" s="3">
        <v>0</v>
      </c>
      <c r="J74" s="3">
        <v>1168044</v>
      </c>
      <c r="K74" s="3">
        <v>48618.34</v>
      </c>
      <c r="L74" s="2">
        <v>30.2</v>
      </c>
      <c r="M74" s="11">
        <v>35.265240640000002</v>
      </c>
      <c r="N74" s="3">
        <v>13</v>
      </c>
      <c r="O74" s="3">
        <v>1265723</v>
      </c>
      <c r="P74" s="3">
        <v>1787280</v>
      </c>
      <c r="Q74" s="10">
        <v>0</v>
      </c>
      <c r="R74" s="3">
        <f>(Таблица1[Размер кредита]-$AA$2)/$AA$3</f>
        <v>2.5449391241707326</v>
      </c>
      <c r="S74" s="3">
        <f>(Таблица1[Кредитный рейтинг]-$AA$7)/($AA$8-$AA$7)</f>
        <v>0</v>
      </c>
      <c r="T74" s="3">
        <f>(Таблица1[Срок с последнего нарушения кредитного договора (мес,)]-$AA$12)/($AA$13-$AA$12)</f>
        <v>0.40074137090909095</v>
      </c>
      <c r="U74" s="3">
        <f>(Таблица1[Количество кредитных карт]-$AA$18)/($AA$19-$AA$18)</f>
        <v>0.2857142857142857</v>
      </c>
      <c r="V74" s="3">
        <f>(Таблица1[Число нарушений кредитных договоров]-$AA$23)/($AA$24-$AA$23)</f>
        <v>0</v>
      </c>
      <c r="W74" s="3">
        <f>Таблица1[[#This Row],[Годовой доход]]/12</f>
        <v>97337</v>
      </c>
      <c r="X74" s="3">
        <f>Таблица1[[#This Row],[Ежемесячный платеж]]/Таблица1[[#This Row],[Ежем доход]]</f>
        <v>0.49948467694710125</v>
      </c>
      <c r="Y74" s="3"/>
      <c r="Z74" s="3"/>
      <c r="AA74" s="3"/>
      <c r="AB74" s="3"/>
    </row>
    <row r="75" spans="1:28" x14ac:dyDescent="0.2">
      <c r="A75">
        <v>1263</v>
      </c>
      <c r="B75" t="s">
        <v>1302</v>
      </c>
      <c r="C75" t="s">
        <v>18</v>
      </c>
      <c r="D75" t="s">
        <v>19</v>
      </c>
      <c r="E75" t="s">
        <v>63</v>
      </c>
      <c r="F75" t="s">
        <v>21</v>
      </c>
      <c r="G75" t="s">
        <v>25</v>
      </c>
      <c r="H75" s="1">
        <v>786940</v>
      </c>
      <c r="I75" s="3">
        <v>0</v>
      </c>
      <c r="J75" s="3">
        <v>1168044</v>
      </c>
      <c r="K75" s="3">
        <v>36821.43</v>
      </c>
      <c r="L75" s="2">
        <v>33</v>
      </c>
      <c r="M75" s="11">
        <v>35.265240640000002</v>
      </c>
      <c r="N75" s="3">
        <v>19</v>
      </c>
      <c r="O75" s="3">
        <v>1061967</v>
      </c>
      <c r="P75" s="3">
        <v>1779514</v>
      </c>
      <c r="Q75" s="10">
        <v>0</v>
      </c>
      <c r="R75" s="3">
        <f>(Таблица1[Размер кредита]-$AA$2)/$AA$3</f>
        <v>2.717661880203444</v>
      </c>
      <c r="S75" s="3">
        <f>(Таблица1[Кредитный рейтинг]-$AA$7)/($AA$8-$AA$7)</f>
        <v>0</v>
      </c>
      <c r="T75" s="3">
        <f>(Таблица1[Срок с последнего нарушения кредитного договора (мес,)]-$AA$12)/($AA$13-$AA$12)</f>
        <v>0.40074137090909095</v>
      </c>
      <c r="U75" s="3">
        <f>(Таблица1[Количество кредитных карт]-$AA$18)/($AA$19-$AA$18)</f>
        <v>0.42857142857142855</v>
      </c>
      <c r="V75" s="3">
        <f>(Таблица1[Число нарушений кредитных договоров]-$AA$23)/($AA$24-$AA$23)</f>
        <v>0</v>
      </c>
      <c r="W75" s="3">
        <f>Таблица1[[#This Row],[Годовой доход]]/12</f>
        <v>97337</v>
      </c>
      <c r="X75" s="3">
        <f>Таблица1[[#This Row],[Ежемесячный платеж]]/Таблица1[[#This Row],[Ежем доход]]</f>
        <v>0.37828811243412064</v>
      </c>
      <c r="Y75" s="3"/>
      <c r="Z75" s="3"/>
      <c r="AA75" s="3"/>
      <c r="AB75" s="3"/>
    </row>
    <row r="76" spans="1:28" x14ac:dyDescent="0.2">
      <c r="A76">
        <v>1367</v>
      </c>
      <c r="B76" t="s">
        <v>1406</v>
      </c>
      <c r="C76" t="s">
        <v>18</v>
      </c>
      <c r="D76" t="s">
        <v>19</v>
      </c>
      <c r="E76" t="s">
        <v>24</v>
      </c>
      <c r="F76" t="s">
        <v>21</v>
      </c>
      <c r="G76" t="s">
        <v>25</v>
      </c>
      <c r="H76" s="1">
        <v>217470</v>
      </c>
      <c r="I76" s="3">
        <v>747</v>
      </c>
      <c r="J76" s="3">
        <v>1877219</v>
      </c>
      <c r="K76" s="3">
        <v>12201.99</v>
      </c>
      <c r="L76" s="2">
        <v>30</v>
      </c>
      <c r="M76" s="11">
        <v>12</v>
      </c>
      <c r="N76" s="3">
        <v>22</v>
      </c>
      <c r="O76" s="3">
        <v>407968</v>
      </c>
      <c r="P76" s="3">
        <v>1769240</v>
      </c>
      <c r="Q76" s="10">
        <v>0</v>
      </c>
      <c r="R76" s="3">
        <f>(Таблица1[Размер кредита]-$AA$2)/$AA$3</f>
        <v>-0.5244907955809891</v>
      </c>
      <c r="S76" s="3">
        <f>(Таблица1[Кредитный рейтинг]-$AA$7)/($AA$8-$AA$7)</f>
        <v>0.9946737683089214</v>
      </c>
      <c r="T76" s="3">
        <f>(Таблица1[Срок с последнего нарушения кредитного договора (мес,)]-$AA$12)/($AA$13-$AA$12)</f>
        <v>0.13636363636363635</v>
      </c>
      <c r="U76" s="3">
        <f>(Таблица1[Количество кредитных карт]-$AA$18)/($AA$19-$AA$18)</f>
        <v>0.5</v>
      </c>
      <c r="V76" s="3">
        <f>(Таблица1[Число нарушений кредитных договоров]-$AA$23)/($AA$24-$AA$23)</f>
        <v>0</v>
      </c>
      <c r="W76" s="3">
        <f>Таблица1[[#This Row],[Годовой доход]]/12</f>
        <v>156434.91666666666</v>
      </c>
      <c r="X76" s="3">
        <f>Таблица1[[#This Row],[Ежемесячный платеж]]/Таблица1[[#This Row],[Ежем доход]]</f>
        <v>7.8000425096911977E-2</v>
      </c>
      <c r="Y76" s="3"/>
      <c r="Z76" s="3"/>
      <c r="AA76" s="3"/>
      <c r="AB76" s="3"/>
    </row>
    <row r="77" spans="1:28" x14ac:dyDescent="0.2">
      <c r="A77">
        <v>1730</v>
      </c>
      <c r="B77" t="s">
        <v>1768</v>
      </c>
      <c r="C77" t="s">
        <v>35</v>
      </c>
      <c r="D77" t="s">
        <v>29</v>
      </c>
      <c r="E77" t="s">
        <v>24</v>
      </c>
      <c r="F77" t="s">
        <v>21</v>
      </c>
      <c r="G77" t="s">
        <v>25</v>
      </c>
      <c r="H77" s="1">
        <v>300674</v>
      </c>
      <c r="I77" s="3">
        <v>737</v>
      </c>
      <c r="J77" s="3">
        <v>1813854</v>
      </c>
      <c r="K77" s="3">
        <v>32845.68</v>
      </c>
      <c r="L77" s="2">
        <v>28.2</v>
      </c>
      <c r="M77" s="11">
        <v>35.265240640000002</v>
      </c>
      <c r="N77" s="3">
        <v>16</v>
      </c>
      <c r="O77" s="3">
        <v>608095</v>
      </c>
      <c r="P77" s="3">
        <v>1747174</v>
      </c>
      <c r="Q77" s="10">
        <v>0</v>
      </c>
      <c r="R77" s="3">
        <f>(Таблица1[Размер кредита]-$AA$2)/$AA$3</f>
        <v>-5.078705133464078E-2</v>
      </c>
      <c r="S77" s="3">
        <f>(Таблица1[Кредитный рейтинг]-$AA$7)/($AA$8-$AA$7)</f>
        <v>0.98135818908122507</v>
      </c>
      <c r="T77" s="3">
        <f>(Таблица1[Срок с последнего нарушения кредитного договора (мес,)]-$AA$12)/($AA$13-$AA$12)</f>
        <v>0.40074137090909095</v>
      </c>
      <c r="U77" s="3">
        <f>(Таблица1[Количество кредитных карт]-$AA$18)/($AA$19-$AA$18)</f>
        <v>0.35714285714285715</v>
      </c>
      <c r="V77" s="3">
        <f>(Таблица1[Число нарушений кредитных договоров]-$AA$23)/($AA$24-$AA$23)</f>
        <v>0</v>
      </c>
      <c r="W77" s="3">
        <f>Таблица1[[#This Row],[Годовой доход]]/12</f>
        <v>151154.5</v>
      </c>
      <c r="X77" s="3">
        <f>Таблица1[[#This Row],[Ежемесячный платеж]]/Таблица1[[#This Row],[Ежем доход]]</f>
        <v>0.21729872415310164</v>
      </c>
      <c r="Y77" s="3"/>
      <c r="Z77" s="3"/>
      <c r="AA77" s="3"/>
      <c r="AB77" s="3"/>
    </row>
    <row r="78" spans="1:28" x14ac:dyDescent="0.2">
      <c r="A78">
        <v>427</v>
      </c>
      <c r="B78" t="s">
        <v>468</v>
      </c>
      <c r="C78" t="s">
        <v>18</v>
      </c>
      <c r="D78" t="s">
        <v>29</v>
      </c>
      <c r="E78" t="s">
        <v>24</v>
      </c>
      <c r="F78" t="s">
        <v>21</v>
      </c>
      <c r="G78" t="s">
        <v>25</v>
      </c>
      <c r="H78" s="1">
        <v>309594.52439999999</v>
      </c>
      <c r="I78" s="3">
        <v>615</v>
      </c>
      <c r="J78" s="3">
        <v>1282462</v>
      </c>
      <c r="K78" s="3">
        <v>40611.360000000001</v>
      </c>
      <c r="L78" s="2">
        <v>22.9</v>
      </c>
      <c r="M78" s="11">
        <v>35.265240640000002</v>
      </c>
      <c r="N78" s="3">
        <v>21</v>
      </c>
      <c r="O78" s="3">
        <v>1238287</v>
      </c>
      <c r="P78" s="3">
        <v>1740046</v>
      </c>
      <c r="Q78" s="10">
        <v>0</v>
      </c>
      <c r="R78" s="3">
        <f>(Таблица1[Размер кредита]-$AA$2)/$AA$3</f>
        <v>-1.2411115481956205E-10</v>
      </c>
      <c r="S78" s="3">
        <f>(Таблица1[Кредитный рейтинг]-$AA$7)/($AA$8-$AA$7)</f>
        <v>0.81890812250332889</v>
      </c>
      <c r="T78" s="3">
        <f>(Таблица1[Срок с последнего нарушения кредитного договора (мес,)]-$AA$12)/($AA$13-$AA$12)</f>
        <v>0.40074137090909095</v>
      </c>
      <c r="U78" s="3">
        <f>(Таблица1[Количество кредитных карт]-$AA$18)/($AA$19-$AA$18)</f>
        <v>0.47619047619047616</v>
      </c>
      <c r="V78" s="3">
        <f>(Таблица1[Число нарушений кредитных договоров]-$AA$23)/($AA$24-$AA$23)</f>
        <v>0</v>
      </c>
      <c r="W78" s="3">
        <f>Таблица1[[#This Row],[Годовой доход]]/12</f>
        <v>106871.83333333333</v>
      </c>
      <c r="X78" s="3">
        <f>Таблица1[[#This Row],[Ежемесячный платеж]]/Таблица1[[#This Row],[Ежем доход]]</f>
        <v>0.38000059261015146</v>
      </c>
      <c r="Y78" s="3"/>
      <c r="Z78" s="3"/>
      <c r="AA78" s="3"/>
      <c r="AB78" s="3"/>
    </row>
    <row r="79" spans="1:28" x14ac:dyDescent="0.2">
      <c r="A79">
        <v>69</v>
      </c>
      <c r="B79" t="s">
        <v>111</v>
      </c>
      <c r="C79" t="s">
        <v>18</v>
      </c>
      <c r="D79" t="s">
        <v>19</v>
      </c>
      <c r="E79" t="s">
        <v>52</v>
      </c>
      <c r="F79" t="s">
        <v>21</v>
      </c>
      <c r="G79" t="s">
        <v>25</v>
      </c>
      <c r="H79" s="1">
        <v>289388</v>
      </c>
      <c r="I79" s="3">
        <v>0</v>
      </c>
      <c r="J79" s="3">
        <v>1168044</v>
      </c>
      <c r="K79" s="3">
        <v>9758.4</v>
      </c>
      <c r="L79" s="2">
        <v>16</v>
      </c>
      <c r="M79" s="11">
        <v>35.265240640000002</v>
      </c>
      <c r="N79" s="3">
        <v>12</v>
      </c>
      <c r="O79" s="3">
        <v>439033</v>
      </c>
      <c r="P79" s="3">
        <v>1735030</v>
      </c>
      <c r="Q79" s="10">
        <v>0</v>
      </c>
      <c r="R79" s="3">
        <f>(Таблица1[Размер кредита]-$AA$2)/$AA$3</f>
        <v>-0.11504141960496778</v>
      </c>
      <c r="S79" s="3">
        <f>(Таблица1[Кредитный рейтинг]-$AA$7)/($AA$8-$AA$7)</f>
        <v>0</v>
      </c>
      <c r="T79" s="3">
        <f>(Таблица1[Срок с последнего нарушения кредитного договора (мес,)]-$AA$12)/($AA$13-$AA$12)</f>
        <v>0.40074137090909095</v>
      </c>
      <c r="U79" s="3">
        <f>(Таблица1[Количество кредитных карт]-$AA$18)/($AA$19-$AA$18)</f>
        <v>0.26190476190476192</v>
      </c>
      <c r="V79" s="3">
        <f>(Таблица1[Число нарушений кредитных договоров]-$AA$23)/($AA$24-$AA$23)</f>
        <v>0</v>
      </c>
      <c r="W79" s="3">
        <f>Таблица1[[#This Row],[Годовой доход]]/12</f>
        <v>97337</v>
      </c>
      <c r="X79" s="3">
        <f>Таблица1[[#This Row],[Ежемесячный платеж]]/Таблица1[[#This Row],[Ежем доход]]</f>
        <v>0.10025375756392738</v>
      </c>
      <c r="Y79" s="3"/>
      <c r="Z79" s="3"/>
      <c r="AA79" s="3"/>
      <c r="AB79" s="3"/>
    </row>
    <row r="80" spans="1:28" x14ac:dyDescent="0.2">
      <c r="A80">
        <v>452</v>
      </c>
      <c r="B80" t="s">
        <v>493</v>
      </c>
      <c r="C80" t="s">
        <v>18</v>
      </c>
      <c r="D80" t="s">
        <v>29</v>
      </c>
      <c r="E80" t="s">
        <v>30</v>
      </c>
      <c r="F80" t="s">
        <v>21</v>
      </c>
      <c r="G80" t="s">
        <v>25</v>
      </c>
      <c r="H80" s="1">
        <v>762696</v>
      </c>
      <c r="I80" s="3">
        <v>656</v>
      </c>
      <c r="J80" s="3">
        <v>6906766</v>
      </c>
      <c r="K80" s="3">
        <v>86334.48</v>
      </c>
      <c r="L80" s="2">
        <v>31.2</v>
      </c>
      <c r="M80" s="11">
        <v>35.265240640000002</v>
      </c>
      <c r="N80" s="3">
        <v>13</v>
      </c>
      <c r="O80" s="3">
        <v>1376474</v>
      </c>
      <c r="P80" s="3">
        <v>1728650</v>
      </c>
      <c r="Q80" s="10">
        <v>0</v>
      </c>
      <c r="R80" s="3">
        <f>(Таблица1[Размер кредита]-$AA$2)/$AA$3</f>
        <v>2.5796339779931117</v>
      </c>
      <c r="S80" s="3">
        <f>(Таблица1[Кредитный рейтинг]-$AA$7)/($AA$8-$AA$7)</f>
        <v>0.87350199733688416</v>
      </c>
      <c r="T80" s="3">
        <f>(Таблица1[Срок с последнего нарушения кредитного договора (мес,)]-$AA$12)/($AA$13-$AA$12)</f>
        <v>0.40074137090909095</v>
      </c>
      <c r="U80" s="3">
        <f>(Таблица1[Количество кредитных карт]-$AA$18)/($AA$19-$AA$18)</f>
        <v>0.2857142857142857</v>
      </c>
      <c r="V80" s="3">
        <f>(Таблица1[Число нарушений кредитных договоров]-$AA$23)/($AA$24-$AA$23)</f>
        <v>0</v>
      </c>
      <c r="W80" s="3">
        <f>Таблица1[[#This Row],[Годовой доход]]/12</f>
        <v>575563.83333333337</v>
      </c>
      <c r="X80" s="3">
        <f>Таблица1[[#This Row],[Ежемесячный платеж]]/Таблица1[[#This Row],[Ежем доход]]</f>
        <v>0.14999983494445879</v>
      </c>
      <c r="Y80" s="3"/>
      <c r="Z80" s="3"/>
      <c r="AA80" s="3"/>
      <c r="AB80" s="3"/>
    </row>
    <row r="81" spans="1:28" x14ac:dyDescent="0.2">
      <c r="A81">
        <v>1722</v>
      </c>
      <c r="B81" t="s">
        <v>1760</v>
      </c>
      <c r="C81" t="s">
        <v>18</v>
      </c>
      <c r="D81" t="s">
        <v>19</v>
      </c>
      <c r="E81" t="s">
        <v>63</v>
      </c>
      <c r="F81" t="s">
        <v>33</v>
      </c>
      <c r="G81" t="s">
        <v>25</v>
      </c>
      <c r="H81" s="1">
        <v>113784</v>
      </c>
      <c r="I81" s="3">
        <v>723</v>
      </c>
      <c r="J81" s="3">
        <v>786125</v>
      </c>
      <c r="K81" s="3">
        <v>13429.77</v>
      </c>
      <c r="L81" s="2">
        <v>9</v>
      </c>
      <c r="M81" s="11">
        <v>35.265240640000002</v>
      </c>
      <c r="N81" s="3">
        <v>32</v>
      </c>
      <c r="O81" s="3">
        <v>188499</v>
      </c>
      <c r="P81" s="3">
        <v>1705198</v>
      </c>
      <c r="Q81" s="10">
        <v>0</v>
      </c>
      <c r="R81" s="3">
        <f>(Таблица1[Размер кредита]-$AA$2)/$AA$3</f>
        <v>-1.1148043192808939</v>
      </c>
      <c r="S81" s="3">
        <f>(Таблица1[Кредитный рейтинг]-$AA$7)/($AA$8-$AA$7)</f>
        <v>0.96271637816245004</v>
      </c>
      <c r="T81" s="3">
        <f>(Таблица1[Срок с последнего нарушения кредитного договора (мес,)]-$AA$12)/($AA$13-$AA$12)</f>
        <v>0.40074137090909095</v>
      </c>
      <c r="U81" s="3">
        <f>(Таблица1[Количество кредитных карт]-$AA$18)/($AA$19-$AA$18)</f>
        <v>0.73809523809523814</v>
      </c>
      <c r="V81" s="3">
        <f>(Таблица1[Число нарушений кредитных договоров]-$AA$23)/($AA$24-$AA$23)</f>
        <v>0</v>
      </c>
      <c r="W81" s="3">
        <f>Таблица1[[#This Row],[Годовой доход]]/12</f>
        <v>65510.416666666664</v>
      </c>
      <c r="X81" s="3">
        <f>Таблица1[[#This Row],[Ежемесячный платеж]]/Таблица1[[#This Row],[Ежем доход]]</f>
        <v>0.20500205438066466</v>
      </c>
      <c r="Y81" s="3"/>
      <c r="Z81" s="3"/>
      <c r="AA81" s="3"/>
      <c r="AB81" s="3"/>
    </row>
    <row r="82" spans="1:28" x14ac:dyDescent="0.2">
      <c r="A82">
        <v>515</v>
      </c>
      <c r="B82" t="s">
        <v>556</v>
      </c>
      <c r="C82" t="s">
        <v>18</v>
      </c>
      <c r="D82" t="s">
        <v>19</v>
      </c>
      <c r="E82" t="s">
        <v>41</v>
      </c>
      <c r="F82" t="s">
        <v>21</v>
      </c>
      <c r="G82" t="s">
        <v>25</v>
      </c>
      <c r="H82" s="1">
        <v>309594.52439999999</v>
      </c>
      <c r="I82" s="3">
        <v>747</v>
      </c>
      <c r="J82" s="3">
        <v>4995328</v>
      </c>
      <c r="K82" s="3">
        <v>30471.439999999999</v>
      </c>
      <c r="L82" s="2">
        <v>14.3</v>
      </c>
      <c r="M82" s="11">
        <v>35.265240640000002</v>
      </c>
      <c r="N82" s="3">
        <v>11</v>
      </c>
      <c r="O82" s="3">
        <v>1046672</v>
      </c>
      <c r="P82" s="3">
        <v>1702162</v>
      </c>
      <c r="Q82" s="10">
        <v>0</v>
      </c>
      <c r="R82" s="3">
        <f>(Таблица1[Размер кредита]-$AA$2)/$AA$3</f>
        <v>-1.2411115481956205E-10</v>
      </c>
      <c r="S82" s="3">
        <f>(Таблица1[Кредитный рейтинг]-$AA$7)/($AA$8-$AA$7)</f>
        <v>0.9946737683089214</v>
      </c>
      <c r="T82" s="3">
        <f>(Таблица1[Срок с последнего нарушения кредитного договора (мес,)]-$AA$12)/($AA$13-$AA$12)</f>
        <v>0.40074137090909095</v>
      </c>
      <c r="U82" s="3">
        <f>(Таблица1[Количество кредитных карт]-$AA$18)/($AA$19-$AA$18)</f>
        <v>0.23809523809523808</v>
      </c>
      <c r="V82" s="3">
        <f>(Таблица1[Число нарушений кредитных договоров]-$AA$23)/($AA$24-$AA$23)</f>
        <v>0</v>
      </c>
      <c r="W82" s="3">
        <f>Таблица1[[#This Row],[Годовой доход]]/12</f>
        <v>416277.33333333331</v>
      </c>
      <c r="X82" s="3">
        <f>Таблица1[[#This Row],[Ежемесячный платеж]]/Таблица1[[#This Row],[Ежем доход]]</f>
        <v>7.3199853943524823E-2</v>
      </c>
      <c r="Y82" s="3"/>
      <c r="Z82" s="3"/>
      <c r="AA82" s="3"/>
      <c r="AB82" s="3"/>
    </row>
    <row r="83" spans="1:28" x14ac:dyDescent="0.2">
      <c r="A83">
        <v>453</v>
      </c>
      <c r="B83" t="s">
        <v>494</v>
      </c>
      <c r="C83" t="s">
        <v>18</v>
      </c>
      <c r="D83" t="s">
        <v>29</v>
      </c>
      <c r="E83" t="s">
        <v>24</v>
      </c>
      <c r="F83" t="s">
        <v>27</v>
      </c>
      <c r="G83" t="s">
        <v>25</v>
      </c>
      <c r="H83" s="1">
        <v>267872</v>
      </c>
      <c r="I83" s="3">
        <v>0</v>
      </c>
      <c r="J83" s="3">
        <v>1168044</v>
      </c>
      <c r="K83" s="3">
        <v>19439.849999999999</v>
      </c>
      <c r="L83" s="2">
        <v>20.5</v>
      </c>
      <c r="M83" s="11">
        <v>35.265240640000002</v>
      </c>
      <c r="N83" s="3">
        <v>10</v>
      </c>
      <c r="O83" s="3">
        <v>673512</v>
      </c>
      <c r="P83" s="3">
        <v>1687994</v>
      </c>
      <c r="Q83" s="10">
        <v>0</v>
      </c>
      <c r="R83" s="3">
        <f>(Таблица1[Размер кредита]-$AA$2)/$AA$3</f>
        <v>-0.23753805151214086</v>
      </c>
      <c r="S83" s="3">
        <f>(Таблица1[Кредитный рейтинг]-$AA$7)/($AA$8-$AA$7)</f>
        <v>0</v>
      </c>
      <c r="T83" s="3">
        <f>(Таблица1[Срок с последнего нарушения кредитного договора (мес,)]-$AA$12)/($AA$13-$AA$12)</f>
        <v>0.40074137090909095</v>
      </c>
      <c r="U83" s="3">
        <f>(Таблица1[Количество кредитных карт]-$AA$18)/($AA$19-$AA$18)</f>
        <v>0.21428571428571427</v>
      </c>
      <c r="V83" s="3">
        <f>(Таблица1[Число нарушений кредитных договоров]-$AA$23)/($AA$24-$AA$23)</f>
        <v>0</v>
      </c>
      <c r="W83" s="3">
        <f>Таблица1[[#This Row],[Годовой доход]]/12</f>
        <v>97337</v>
      </c>
      <c r="X83" s="3">
        <f>Таблица1[[#This Row],[Ежемесячный платеж]]/Таблица1[[#This Row],[Ежем доход]]</f>
        <v>0.19971696271715789</v>
      </c>
      <c r="Y83" s="3"/>
      <c r="Z83" s="3"/>
      <c r="AA83" s="3"/>
      <c r="AB83" s="3"/>
    </row>
    <row r="84" spans="1:28" x14ac:dyDescent="0.2">
      <c r="A84">
        <v>1182</v>
      </c>
      <c r="B84" t="s">
        <v>1221</v>
      </c>
      <c r="C84" t="s">
        <v>18</v>
      </c>
      <c r="D84" t="s">
        <v>19</v>
      </c>
      <c r="E84" t="s">
        <v>24</v>
      </c>
      <c r="F84" t="s">
        <v>21</v>
      </c>
      <c r="G84" t="s">
        <v>25</v>
      </c>
      <c r="H84" s="1">
        <v>272646</v>
      </c>
      <c r="I84" s="3">
        <v>744</v>
      </c>
      <c r="J84" s="3">
        <v>1506928</v>
      </c>
      <c r="K84" s="3">
        <v>26120.06</v>
      </c>
      <c r="L84" s="2">
        <v>21.3</v>
      </c>
      <c r="M84" s="11">
        <v>40</v>
      </c>
      <c r="N84" s="3">
        <v>10</v>
      </c>
      <c r="O84" s="3">
        <v>965903</v>
      </c>
      <c r="P84" s="3">
        <v>1686894</v>
      </c>
      <c r="Q84" s="10">
        <v>0</v>
      </c>
      <c r="R84" s="3">
        <f>(Таблица1[Размер кредита]-$AA$2)/$AA$3</f>
        <v>-0.21035832848161268</v>
      </c>
      <c r="S84" s="3">
        <f>(Таблица1[Кредитный рейтинг]-$AA$7)/($AA$8-$AA$7)</f>
        <v>0.99067909454061254</v>
      </c>
      <c r="T84" s="3">
        <f>(Таблица1[Срок с последнего нарушения кредитного договора (мес,)]-$AA$12)/($AA$13-$AA$12)</f>
        <v>0.45454545454545453</v>
      </c>
      <c r="U84" s="3">
        <f>(Таблица1[Количество кредитных карт]-$AA$18)/($AA$19-$AA$18)</f>
        <v>0.21428571428571427</v>
      </c>
      <c r="V84" s="3">
        <f>(Таблица1[Число нарушений кредитных договоров]-$AA$23)/($AA$24-$AA$23)</f>
        <v>0</v>
      </c>
      <c r="W84" s="3">
        <f>Таблица1[[#This Row],[Годовой доход]]/12</f>
        <v>125577.33333333333</v>
      </c>
      <c r="X84" s="3">
        <f>Таблица1[[#This Row],[Ежемесячный платеж]]/Таблица1[[#This Row],[Ежем доход]]</f>
        <v>0.20799979826507969</v>
      </c>
      <c r="Y84" s="3"/>
      <c r="Z84" s="3"/>
      <c r="AA84" s="3"/>
      <c r="AB84" s="3"/>
    </row>
    <row r="85" spans="1:28" x14ac:dyDescent="0.2">
      <c r="A85">
        <v>1378</v>
      </c>
      <c r="B85" t="s">
        <v>1417</v>
      </c>
      <c r="C85" t="s">
        <v>18</v>
      </c>
      <c r="D85" t="s">
        <v>19</v>
      </c>
      <c r="E85" t="s">
        <v>24</v>
      </c>
      <c r="F85" t="s">
        <v>21</v>
      </c>
      <c r="G85" t="s">
        <v>25</v>
      </c>
      <c r="H85" s="1">
        <v>505912</v>
      </c>
      <c r="I85" s="3">
        <v>747</v>
      </c>
      <c r="J85" s="3">
        <v>1238952</v>
      </c>
      <c r="K85" s="3">
        <v>13835.04</v>
      </c>
      <c r="L85" s="2">
        <v>21.9</v>
      </c>
      <c r="M85" s="11">
        <v>35.265240640000002</v>
      </c>
      <c r="N85" s="3">
        <v>26</v>
      </c>
      <c r="O85" s="3">
        <v>674785</v>
      </c>
      <c r="P85" s="3">
        <v>1676642</v>
      </c>
      <c r="Q85" s="10">
        <v>0</v>
      </c>
      <c r="R85" s="3">
        <f>(Таблица1[Размер кредита]-$AA$2)/$AA$3</f>
        <v>1.1176905346183426</v>
      </c>
      <c r="S85" s="3">
        <f>(Таблица1[Кредитный рейтинг]-$AA$7)/($AA$8-$AA$7)</f>
        <v>0.9946737683089214</v>
      </c>
      <c r="T85" s="3">
        <f>(Таблица1[Срок с последнего нарушения кредитного договора (мес,)]-$AA$12)/($AA$13-$AA$12)</f>
        <v>0.40074137090909095</v>
      </c>
      <c r="U85" s="3">
        <f>(Таблица1[Количество кредитных карт]-$AA$18)/($AA$19-$AA$18)</f>
        <v>0.59523809523809523</v>
      </c>
      <c r="V85" s="3">
        <f>(Таблица1[Число нарушений кредитных договоров]-$AA$23)/($AA$24-$AA$23)</f>
        <v>0</v>
      </c>
      <c r="W85" s="3">
        <f>Таблица1[[#This Row],[Годовой доход]]/12</f>
        <v>103246</v>
      </c>
      <c r="X85" s="3">
        <f>Таблица1[[#This Row],[Ежемесячный платеж]]/Таблица1[[#This Row],[Ежем доход]]</f>
        <v>0.13400073610599927</v>
      </c>
      <c r="Y85" s="3"/>
      <c r="Z85" s="3"/>
      <c r="AA85" s="3"/>
      <c r="AB85" s="3"/>
    </row>
    <row r="86" spans="1:28" x14ac:dyDescent="0.2">
      <c r="A86">
        <v>12</v>
      </c>
      <c r="B86" t="s">
        <v>44</v>
      </c>
      <c r="C86" t="s">
        <v>18</v>
      </c>
      <c r="D86" t="s">
        <v>19</v>
      </c>
      <c r="E86" t="s">
        <v>24</v>
      </c>
      <c r="F86" t="s">
        <v>21</v>
      </c>
      <c r="G86" t="s">
        <v>22</v>
      </c>
      <c r="H86" s="1">
        <v>541970</v>
      </c>
      <c r="I86" s="3">
        <v>0</v>
      </c>
      <c r="J86" s="3">
        <v>1168044</v>
      </c>
      <c r="K86" s="3">
        <v>23568.55</v>
      </c>
      <c r="L86" s="2">
        <v>23.2</v>
      </c>
      <c r="M86" s="11">
        <v>35.265240640000002</v>
      </c>
      <c r="N86" s="3">
        <v>23</v>
      </c>
      <c r="O86" s="3">
        <v>60705</v>
      </c>
      <c r="P86" s="3">
        <v>1634468</v>
      </c>
      <c r="Q86" s="10">
        <v>0</v>
      </c>
      <c r="R86" s="3">
        <f>(Таблица1[Размер кредита]-$AA$2)/$AA$3</f>
        <v>1.3229788574157422</v>
      </c>
      <c r="S86" s="3">
        <f>(Таблица1[Кредитный рейтинг]-$AA$7)/($AA$8-$AA$7)</f>
        <v>0</v>
      </c>
      <c r="T86" s="3">
        <f>(Таблица1[Срок с последнего нарушения кредитного договора (мес,)]-$AA$12)/($AA$13-$AA$12)</f>
        <v>0.40074137090909095</v>
      </c>
      <c r="U86" s="3">
        <f>(Таблица1[Количество кредитных карт]-$AA$18)/($AA$19-$AA$18)</f>
        <v>0.52380952380952384</v>
      </c>
      <c r="V86" s="3">
        <f>(Таблица1[Число нарушений кредитных договоров]-$AA$23)/($AA$24-$AA$23)</f>
        <v>0</v>
      </c>
      <c r="W86" s="3">
        <f>Таблица1[[#This Row],[Годовой доход]]/12</f>
        <v>97337</v>
      </c>
      <c r="X86" s="3">
        <f>Таблица1[[#This Row],[Ежемесячный платеж]]/Таблица1[[#This Row],[Ежем доход]]</f>
        <v>0.24213351551825102</v>
      </c>
      <c r="Y86" s="3"/>
      <c r="Z86" s="3"/>
      <c r="AA86" s="3"/>
      <c r="AB86" s="3"/>
    </row>
    <row r="87" spans="1:28" x14ac:dyDescent="0.2">
      <c r="A87">
        <v>720</v>
      </c>
      <c r="B87" t="s">
        <v>761</v>
      </c>
      <c r="C87" t="s">
        <v>18</v>
      </c>
      <c r="D87" t="s">
        <v>19</v>
      </c>
      <c r="E87" t="s">
        <v>24</v>
      </c>
      <c r="F87" t="s">
        <v>21</v>
      </c>
      <c r="G87" t="s">
        <v>25</v>
      </c>
      <c r="H87" s="1">
        <v>434016</v>
      </c>
      <c r="I87" s="3">
        <v>0</v>
      </c>
      <c r="J87" s="3">
        <v>1168044</v>
      </c>
      <c r="K87" s="3">
        <v>36280.5</v>
      </c>
      <c r="L87" s="2">
        <v>26.1</v>
      </c>
      <c r="M87" s="11">
        <v>21</v>
      </c>
      <c r="N87" s="3">
        <v>10</v>
      </c>
      <c r="O87" s="3">
        <v>1194188</v>
      </c>
      <c r="P87" s="3">
        <v>1632532</v>
      </c>
      <c r="Q87" s="10">
        <v>0</v>
      </c>
      <c r="R87" s="3">
        <f>(Таблица1[Размер кредита]-$AA$2)/$AA$3</f>
        <v>0.70836641082218554</v>
      </c>
      <c r="S87" s="3">
        <f>(Таблица1[Кредитный рейтинг]-$AA$7)/($AA$8-$AA$7)</f>
        <v>0</v>
      </c>
      <c r="T87" s="3">
        <f>(Таблица1[Срок с последнего нарушения кредитного договора (мес,)]-$AA$12)/($AA$13-$AA$12)</f>
        <v>0.23863636363636365</v>
      </c>
      <c r="U87" s="3">
        <f>(Таблица1[Количество кредитных карт]-$AA$18)/($AA$19-$AA$18)</f>
        <v>0.21428571428571427</v>
      </c>
      <c r="V87" s="3">
        <f>(Таблица1[Число нарушений кредитных договоров]-$AA$23)/($AA$24-$AA$23)</f>
        <v>0</v>
      </c>
      <c r="W87" s="3">
        <f>Таблица1[[#This Row],[Годовой доход]]/12</f>
        <v>97337</v>
      </c>
      <c r="X87" s="3">
        <f>Таблица1[[#This Row],[Ежемесячный платеж]]/Таблица1[[#This Row],[Ежем доход]]</f>
        <v>0.37273082178411088</v>
      </c>
      <c r="Y87" s="3"/>
      <c r="Z87" s="3"/>
      <c r="AA87" s="3"/>
      <c r="AB87" s="3"/>
    </row>
    <row r="88" spans="1:28" x14ac:dyDescent="0.2">
      <c r="A88">
        <v>431</v>
      </c>
      <c r="B88" t="s">
        <v>472</v>
      </c>
      <c r="C88" t="s">
        <v>18</v>
      </c>
      <c r="D88" t="s">
        <v>29</v>
      </c>
      <c r="E88" t="s">
        <v>63</v>
      </c>
      <c r="F88" t="s">
        <v>21</v>
      </c>
      <c r="G88" t="s">
        <v>25</v>
      </c>
      <c r="H88" s="1">
        <v>309594.52439999999</v>
      </c>
      <c r="I88" s="3">
        <v>710</v>
      </c>
      <c r="J88" s="3">
        <v>1733788</v>
      </c>
      <c r="K88" s="3">
        <v>39443.43</v>
      </c>
      <c r="L88" s="2">
        <v>35.6</v>
      </c>
      <c r="M88" s="11">
        <v>69</v>
      </c>
      <c r="N88" s="3">
        <v>23</v>
      </c>
      <c r="O88" s="3">
        <v>761254</v>
      </c>
      <c r="P88" s="3">
        <v>1620344</v>
      </c>
      <c r="Q88" s="10">
        <v>0</v>
      </c>
      <c r="R88" s="3">
        <f>(Таблица1[Размер кредита]-$AA$2)/$AA$3</f>
        <v>-1.2411115481956205E-10</v>
      </c>
      <c r="S88" s="3">
        <f>(Таблица1[Кредитный рейтинг]-$AA$7)/($AA$8-$AA$7)</f>
        <v>0.94540612516644473</v>
      </c>
      <c r="T88" s="3">
        <f>(Таблица1[Срок с последнего нарушения кредитного договора (мес,)]-$AA$12)/($AA$13-$AA$12)</f>
        <v>0.78409090909090906</v>
      </c>
      <c r="U88" s="3">
        <f>(Таблица1[Количество кредитных карт]-$AA$18)/($AA$19-$AA$18)</f>
        <v>0.52380952380952384</v>
      </c>
      <c r="V88" s="3">
        <f>(Таблица1[Число нарушений кредитных договоров]-$AA$23)/($AA$24-$AA$23)</f>
        <v>0</v>
      </c>
      <c r="W88" s="3">
        <f>Таблица1[[#This Row],[Годовой доход]]/12</f>
        <v>144482.33333333334</v>
      </c>
      <c r="X88" s="3">
        <f>Таблица1[[#This Row],[Ежемесячный платеж]]/Таблица1[[#This Row],[Ежем доход]]</f>
        <v>0.27299829044842849</v>
      </c>
      <c r="Y88" s="3"/>
      <c r="Z88" s="3"/>
      <c r="AA88" s="3"/>
      <c r="AB88" s="3"/>
    </row>
    <row r="89" spans="1:28" x14ac:dyDescent="0.2">
      <c r="A89">
        <v>137</v>
      </c>
      <c r="B89" t="s">
        <v>179</v>
      </c>
      <c r="C89" t="s">
        <v>18</v>
      </c>
      <c r="D89" t="s">
        <v>19</v>
      </c>
      <c r="E89" t="s">
        <v>52</v>
      </c>
      <c r="F89" t="s">
        <v>21</v>
      </c>
      <c r="G89" t="s">
        <v>25</v>
      </c>
      <c r="H89" s="1">
        <v>462088</v>
      </c>
      <c r="I89" s="3">
        <v>0</v>
      </c>
      <c r="J89" s="3">
        <v>1168044</v>
      </c>
      <c r="K89" s="3">
        <v>17759.3</v>
      </c>
      <c r="L89" s="2">
        <v>14.8</v>
      </c>
      <c r="M89" s="11">
        <v>35.265240640000002</v>
      </c>
      <c r="N89" s="3">
        <v>13</v>
      </c>
      <c r="O89" s="3">
        <v>627418</v>
      </c>
      <c r="P89" s="3">
        <v>1603712</v>
      </c>
      <c r="Q89" s="10">
        <v>0</v>
      </c>
      <c r="R89" s="3">
        <f>(Таблица1[Размер кредита]-$AA$2)/$AA$3</f>
        <v>0.86818819232888578</v>
      </c>
      <c r="S89" s="3">
        <f>(Таблица1[Кредитный рейтинг]-$AA$7)/($AA$8-$AA$7)</f>
        <v>0</v>
      </c>
      <c r="T89" s="3">
        <f>(Таблица1[Срок с последнего нарушения кредитного договора (мес,)]-$AA$12)/($AA$13-$AA$12)</f>
        <v>0.40074137090909095</v>
      </c>
      <c r="U89" s="3">
        <f>(Таблица1[Количество кредитных карт]-$AA$18)/($AA$19-$AA$18)</f>
        <v>0.2857142857142857</v>
      </c>
      <c r="V89" s="3">
        <f>(Таблица1[Число нарушений кредитных договоров]-$AA$23)/($AA$24-$AA$23)</f>
        <v>0</v>
      </c>
      <c r="W89" s="3">
        <f>Таблица1[[#This Row],[Годовой доход]]/12</f>
        <v>97337</v>
      </c>
      <c r="X89" s="3">
        <f>Таблица1[[#This Row],[Ежемесячный платеж]]/Таблица1[[#This Row],[Ежем доход]]</f>
        <v>0.18245168846379073</v>
      </c>
      <c r="Y89" s="3"/>
      <c r="Z89" s="3"/>
      <c r="AA89" s="3"/>
      <c r="AB89" s="3"/>
    </row>
    <row r="90" spans="1:28" x14ac:dyDescent="0.2">
      <c r="A90">
        <v>751</v>
      </c>
      <c r="B90" t="s">
        <v>792</v>
      </c>
      <c r="C90" t="s">
        <v>18</v>
      </c>
      <c r="D90" t="s">
        <v>29</v>
      </c>
      <c r="E90" t="s">
        <v>41</v>
      </c>
      <c r="F90" t="s">
        <v>21</v>
      </c>
      <c r="G90" t="s">
        <v>25</v>
      </c>
      <c r="H90" s="1">
        <v>626362</v>
      </c>
      <c r="I90" s="3">
        <v>0</v>
      </c>
      <c r="J90" s="3">
        <v>1168044</v>
      </c>
      <c r="K90" s="3">
        <v>28106.13</v>
      </c>
      <c r="L90" s="2">
        <v>22</v>
      </c>
      <c r="M90" s="11">
        <v>35.265240640000002</v>
      </c>
      <c r="N90" s="3">
        <v>13</v>
      </c>
      <c r="O90" s="3">
        <v>526034</v>
      </c>
      <c r="P90" s="3">
        <v>1602854</v>
      </c>
      <c r="Q90" s="10">
        <v>0</v>
      </c>
      <c r="R90" s="3">
        <f>(Таблица1[Размер кредита]-$AA$2)/$AA$3</f>
        <v>1.8034462193747565</v>
      </c>
      <c r="S90" s="3">
        <f>(Таблица1[Кредитный рейтинг]-$AA$7)/($AA$8-$AA$7)</f>
        <v>0</v>
      </c>
      <c r="T90" s="3">
        <f>(Таблица1[Срок с последнего нарушения кредитного договора (мес,)]-$AA$12)/($AA$13-$AA$12)</f>
        <v>0.40074137090909095</v>
      </c>
      <c r="U90" s="3">
        <f>(Таблица1[Количество кредитных карт]-$AA$18)/($AA$19-$AA$18)</f>
        <v>0.2857142857142857</v>
      </c>
      <c r="V90" s="3">
        <f>(Таблица1[Число нарушений кредитных договоров]-$AA$23)/($AA$24-$AA$23)</f>
        <v>0</v>
      </c>
      <c r="W90" s="3">
        <f>Таблица1[[#This Row],[Годовой доход]]/12</f>
        <v>97337</v>
      </c>
      <c r="X90" s="3">
        <f>Таблица1[[#This Row],[Ежемесячный платеж]]/Таблица1[[#This Row],[Ежем доход]]</f>
        <v>0.28875073199297285</v>
      </c>
      <c r="Y90" s="3"/>
      <c r="Z90" s="3"/>
      <c r="AA90" s="3"/>
      <c r="AB90" s="3"/>
    </row>
    <row r="91" spans="1:28" x14ac:dyDescent="0.2">
      <c r="A91">
        <v>1952</v>
      </c>
      <c r="B91" t="s">
        <v>1988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s="1">
        <v>309594.52439999999</v>
      </c>
      <c r="I91" s="3">
        <v>750</v>
      </c>
      <c r="J91" s="3">
        <v>2705220</v>
      </c>
      <c r="K91" s="3">
        <v>13751.63</v>
      </c>
      <c r="L91" s="2">
        <v>18.899999999999999</v>
      </c>
      <c r="M91" s="11">
        <v>54</v>
      </c>
      <c r="N91" s="3">
        <v>8</v>
      </c>
      <c r="O91" s="3">
        <v>721829</v>
      </c>
      <c r="P91" s="3">
        <v>1592008</v>
      </c>
      <c r="Q91" s="10">
        <v>0</v>
      </c>
      <c r="R91" s="3">
        <f>(Таблица1[Размер кредита]-$AA$2)/$AA$3</f>
        <v>-1.2411115481956205E-10</v>
      </c>
      <c r="S91" s="3">
        <f>(Таблица1[Кредитный рейтинг]-$AA$7)/($AA$8-$AA$7)</f>
        <v>0.99866844207723038</v>
      </c>
      <c r="T91" s="3">
        <f>(Таблица1[Срок с последнего нарушения кредитного договора (мес,)]-$AA$12)/($AA$13-$AA$12)</f>
        <v>0.61363636363636365</v>
      </c>
      <c r="U91" s="3">
        <f>(Таблица1[Количество кредитных карт]-$AA$18)/($AA$19-$AA$18)</f>
        <v>0.16666666666666666</v>
      </c>
      <c r="V91" s="3">
        <f>(Таблица1[Число нарушений кредитных договоров]-$AA$23)/($AA$24-$AA$23)</f>
        <v>0</v>
      </c>
      <c r="W91" s="3">
        <f>Таблица1[[#This Row],[Годовой доход]]/12</f>
        <v>225435</v>
      </c>
      <c r="X91" s="3">
        <f>Таблица1[[#This Row],[Ежемесячный платеж]]/Таблица1[[#This Row],[Ежем доход]]</f>
        <v>6.1000421407501053E-2</v>
      </c>
      <c r="Y91" s="3"/>
      <c r="Z91" s="3"/>
      <c r="AA91" s="3"/>
      <c r="AB91" s="3"/>
    </row>
    <row r="92" spans="1:28" x14ac:dyDescent="0.2">
      <c r="A92">
        <v>1848</v>
      </c>
      <c r="B92" t="s">
        <v>1885</v>
      </c>
      <c r="C92" t="s">
        <v>18</v>
      </c>
      <c r="D92" t="s">
        <v>19</v>
      </c>
      <c r="E92" t="s">
        <v>24</v>
      </c>
      <c r="F92" t="s">
        <v>21</v>
      </c>
      <c r="G92" t="s">
        <v>25</v>
      </c>
      <c r="H92" s="1">
        <v>440572</v>
      </c>
      <c r="I92" s="3">
        <v>0</v>
      </c>
      <c r="J92" s="3">
        <v>1168044</v>
      </c>
      <c r="K92" s="3">
        <v>26634.58</v>
      </c>
      <c r="L92" s="2">
        <v>17.3</v>
      </c>
      <c r="M92" s="11">
        <v>35.265240640000002</v>
      </c>
      <c r="N92" s="3">
        <v>10</v>
      </c>
      <c r="O92" s="3">
        <v>1229167</v>
      </c>
      <c r="P92" s="3">
        <v>1581382</v>
      </c>
      <c r="Q92" s="10">
        <v>0</v>
      </c>
      <c r="R92" s="3">
        <f>(Таблица1[Размер кредита]-$AA$2)/$AA$3</f>
        <v>0.7456915604217127</v>
      </c>
      <c r="S92" s="3">
        <f>(Таблица1[Кредитный рейтинг]-$AA$7)/($AA$8-$AA$7)</f>
        <v>0</v>
      </c>
      <c r="T92" s="3">
        <f>(Таблица1[Срок с последнего нарушения кредитного договора (мес,)]-$AA$12)/($AA$13-$AA$12)</f>
        <v>0.40074137090909095</v>
      </c>
      <c r="U92" s="3">
        <f>(Таблица1[Количество кредитных карт]-$AA$18)/($AA$19-$AA$18)</f>
        <v>0.21428571428571427</v>
      </c>
      <c r="V92" s="3">
        <f>(Таблица1[Число нарушений кредитных договоров]-$AA$23)/($AA$24-$AA$23)</f>
        <v>0</v>
      </c>
      <c r="W92" s="3">
        <f>Таблица1[[#This Row],[Годовой доход]]/12</f>
        <v>97337</v>
      </c>
      <c r="X92" s="3">
        <f>Таблица1[[#This Row],[Ежемесячный платеж]]/Таблица1[[#This Row],[Ежем доход]]</f>
        <v>0.27363263712668362</v>
      </c>
      <c r="Y92" s="3"/>
      <c r="Z92" s="3"/>
      <c r="AA92" s="3"/>
      <c r="AB92" s="3"/>
    </row>
    <row r="93" spans="1:28" x14ac:dyDescent="0.2">
      <c r="A93">
        <v>76</v>
      </c>
      <c r="B93" t="s">
        <v>118</v>
      </c>
      <c r="C93" t="s">
        <v>35</v>
      </c>
      <c r="D93" t="s">
        <v>19</v>
      </c>
      <c r="E93" t="s">
        <v>32</v>
      </c>
      <c r="F93" t="s">
        <v>27</v>
      </c>
      <c r="G93" t="s">
        <v>67</v>
      </c>
      <c r="H93" s="1">
        <v>133034</v>
      </c>
      <c r="I93" s="3">
        <v>0</v>
      </c>
      <c r="J93" s="3">
        <v>1168044</v>
      </c>
      <c r="K93" s="3">
        <v>30520.46</v>
      </c>
      <c r="L93" s="2">
        <v>13.8</v>
      </c>
      <c r="M93" s="11">
        <v>35.265240640000002</v>
      </c>
      <c r="N93" s="3">
        <v>23</v>
      </c>
      <c r="O93" s="3">
        <v>113278</v>
      </c>
      <c r="P93" s="3">
        <v>1561406</v>
      </c>
      <c r="Q93" s="10">
        <v>0</v>
      </c>
      <c r="R93" s="3">
        <f>(Таблица1[Размер кредита]-$AA$2)/$AA$3</f>
        <v>-1.0052086618997318</v>
      </c>
      <c r="S93" s="3">
        <f>(Таблица1[Кредитный рейтинг]-$AA$7)/($AA$8-$AA$7)</f>
        <v>0</v>
      </c>
      <c r="T93" s="3">
        <f>(Таблица1[Срок с последнего нарушения кредитного договора (мес,)]-$AA$12)/($AA$13-$AA$12)</f>
        <v>0.40074137090909095</v>
      </c>
      <c r="U93" s="3">
        <f>(Таблица1[Количество кредитных карт]-$AA$18)/($AA$19-$AA$18)</f>
        <v>0.52380952380952384</v>
      </c>
      <c r="V93" s="3">
        <f>(Таблица1[Число нарушений кредитных договоров]-$AA$23)/($AA$24-$AA$23)</f>
        <v>0</v>
      </c>
      <c r="W93" s="3">
        <f>Таблица1[[#This Row],[Годовой доход]]/12</f>
        <v>97337</v>
      </c>
      <c r="X93" s="3">
        <f>Таблица1[[#This Row],[Ежемесячный платеж]]/Таблица1[[#This Row],[Ежем доход]]</f>
        <v>0.31355455787624437</v>
      </c>
      <c r="Y93" s="3"/>
      <c r="Z93" s="3"/>
      <c r="AA93" s="3"/>
      <c r="AB93" s="3"/>
    </row>
    <row r="94" spans="1:28" x14ac:dyDescent="0.2">
      <c r="A94">
        <v>330</v>
      </c>
      <c r="B94" t="s">
        <v>372</v>
      </c>
      <c r="C94" t="s">
        <v>18</v>
      </c>
      <c r="D94" t="s">
        <v>19</v>
      </c>
      <c r="E94" t="s">
        <v>24</v>
      </c>
      <c r="F94" t="s">
        <v>27</v>
      </c>
      <c r="G94" t="s">
        <v>25</v>
      </c>
      <c r="H94" s="1">
        <v>309594.52439999999</v>
      </c>
      <c r="I94" s="3">
        <v>743</v>
      </c>
      <c r="J94" s="3">
        <v>773300</v>
      </c>
      <c r="K94" s="3">
        <v>16174.89</v>
      </c>
      <c r="L94" s="2">
        <v>14.1</v>
      </c>
      <c r="M94" s="11">
        <v>35.265240640000002</v>
      </c>
      <c r="N94" s="3">
        <v>19</v>
      </c>
      <c r="O94" s="3">
        <v>450908</v>
      </c>
      <c r="P94" s="3">
        <v>1549284</v>
      </c>
      <c r="Q94" s="10">
        <v>0</v>
      </c>
      <c r="R94" s="3">
        <f>(Таблица1[Размер кредита]-$AA$2)/$AA$3</f>
        <v>-1.2411115481956205E-10</v>
      </c>
      <c r="S94" s="3">
        <f>(Таблица1[Кредитный рейтинг]-$AA$7)/($AA$8-$AA$7)</f>
        <v>0.98934753661784292</v>
      </c>
      <c r="T94" s="3">
        <f>(Таблица1[Срок с последнего нарушения кредитного договора (мес,)]-$AA$12)/($AA$13-$AA$12)</f>
        <v>0.40074137090909095</v>
      </c>
      <c r="U94" s="3">
        <f>(Таблица1[Количество кредитных карт]-$AA$18)/($AA$19-$AA$18)</f>
        <v>0.42857142857142855</v>
      </c>
      <c r="V94" s="3">
        <f>(Таблица1[Число нарушений кредитных договоров]-$AA$23)/($AA$24-$AA$23)</f>
        <v>0</v>
      </c>
      <c r="W94" s="3">
        <f>Таблица1[[#This Row],[Годовой доход]]/12</f>
        <v>64441.666666666664</v>
      </c>
      <c r="X94" s="3">
        <f>Таблица1[[#This Row],[Ежемесячный платеж]]/Таблица1[[#This Row],[Ежем доход]]</f>
        <v>0.25100049140049141</v>
      </c>
      <c r="Y94" s="3"/>
      <c r="Z94" s="3"/>
      <c r="AA94" s="3"/>
      <c r="AB94" s="3"/>
    </row>
    <row r="95" spans="1:28" x14ac:dyDescent="0.2">
      <c r="A95">
        <v>377</v>
      </c>
      <c r="B95" t="s">
        <v>419</v>
      </c>
      <c r="C95" t="s">
        <v>18</v>
      </c>
      <c r="D95" t="s">
        <v>29</v>
      </c>
      <c r="E95" t="s">
        <v>69</v>
      </c>
      <c r="F95" t="s">
        <v>21</v>
      </c>
      <c r="G95" t="s">
        <v>25</v>
      </c>
      <c r="H95" s="1">
        <v>469678</v>
      </c>
      <c r="I95" s="3">
        <v>667</v>
      </c>
      <c r="J95" s="3">
        <v>2250246</v>
      </c>
      <c r="K95" s="3">
        <v>51380.56</v>
      </c>
      <c r="L95" s="2">
        <v>14.6</v>
      </c>
      <c r="M95" s="11">
        <v>35.265240640000002</v>
      </c>
      <c r="N95" s="3">
        <v>43</v>
      </c>
      <c r="O95" s="3">
        <v>979526</v>
      </c>
      <c r="P95" s="3">
        <v>1543102</v>
      </c>
      <c r="Q95" s="10">
        <v>0</v>
      </c>
      <c r="R95" s="3">
        <f>(Таблица1[Размер кредита]-$AA$2)/$AA$3</f>
        <v>0.91140019438202968</v>
      </c>
      <c r="S95" s="3">
        <f>(Таблица1[Кредитный рейтинг]-$AA$7)/($AA$8-$AA$7)</f>
        <v>0.88814913448735022</v>
      </c>
      <c r="T95" s="3">
        <f>(Таблица1[Срок с последнего нарушения кредитного договора (мес,)]-$AA$12)/($AA$13-$AA$12)</f>
        <v>0.40074137090909095</v>
      </c>
      <c r="U95" s="3">
        <f>(Таблица1[Количество кредитных карт]-$AA$18)/($AA$19-$AA$18)</f>
        <v>1</v>
      </c>
      <c r="V95" s="3">
        <f>(Таблица1[Число нарушений кредитных договоров]-$AA$23)/($AA$24-$AA$23)</f>
        <v>0</v>
      </c>
      <c r="W95" s="3">
        <f>Таблица1[[#This Row],[Годовой доход]]/12</f>
        <v>187520.5</v>
      </c>
      <c r="X95" s="3">
        <f>Таблица1[[#This Row],[Ежемесячный платеж]]/Таблица1[[#This Row],[Ежем доход]]</f>
        <v>0.27399969603323371</v>
      </c>
      <c r="Y95" s="3"/>
      <c r="Z95" s="3"/>
      <c r="AA95" s="3"/>
      <c r="AB95" s="3"/>
    </row>
    <row r="96" spans="1:28" x14ac:dyDescent="0.2">
      <c r="A96">
        <v>1038</v>
      </c>
      <c r="B96" t="s">
        <v>1077</v>
      </c>
      <c r="C96" t="s">
        <v>18</v>
      </c>
      <c r="D96" t="s">
        <v>19</v>
      </c>
      <c r="E96" t="s">
        <v>50</v>
      </c>
      <c r="F96" t="s">
        <v>21</v>
      </c>
      <c r="G96" t="s">
        <v>22</v>
      </c>
      <c r="H96" s="1">
        <v>351516</v>
      </c>
      <c r="I96" s="3">
        <v>0</v>
      </c>
      <c r="J96" s="3">
        <v>1168044</v>
      </c>
      <c r="K96" s="3">
        <v>38737.39</v>
      </c>
      <c r="L96" s="2">
        <v>16</v>
      </c>
      <c r="M96" s="11">
        <v>35.265240640000002</v>
      </c>
      <c r="N96" s="3">
        <v>26</v>
      </c>
      <c r="O96" s="3">
        <v>562419</v>
      </c>
      <c r="P96" s="3">
        <v>1528736</v>
      </c>
      <c r="Q96" s="10">
        <v>0</v>
      </c>
      <c r="R96" s="3">
        <f>(Таблица1[Размер кредита]-$AA$2)/$AA$3</f>
        <v>0.23867073633149113</v>
      </c>
      <c r="S96" s="3">
        <f>(Таблица1[Кредитный рейтинг]-$AA$7)/($AA$8-$AA$7)</f>
        <v>0</v>
      </c>
      <c r="T96" s="3">
        <f>(Таблица1[Срок с последнего нарушения кредитного договора (мес,)]-$AA$12)/($AA$13-$AA$12)</f>
        <v>0.40074137090909095</v>
      </c>
      <c r="U96" s="3">
        <f>(Таблица1[Количество кредитных карт]-$AA$18)/($AA$19-$AA$18)</f>
        <v>0.59523809523809523</v>
      </c>
      <c r="V96" s="3">
        <f>(Таблица1[Число нарушений кредитных договоров]-$AA$23)/($AA$24-$AA$23)</f>
        <v>0</v>
      </c>
      <c r="W96" s="3">
        <f>Таблица1[[#This Row],[Годовой доход]]/12</f>
        <v>97337</v>
      </c>
      <c r="X96" s="3">
        <f>Таблица1[[#This Row],[Ежемесячный платеж]]/Таблица1[[#This Row],[Ежем доход]]</f>
        <v>0.39797189146984191</v>
      </c>
      <c r="Y96" s="3"/>
      <c r="Z96" s="3"/>
      <c r="AA96" s="3"/>
      <c r="AB96" s="3"/>
    </row>
    <row r="97" spans="1:28" x14ac:dyDescent="0.2">
      <c r="A97">
        <v>1557</v>
      </c>
      <c r="B97" t="s">
        <v>1596</v>
      </c>
      <c r="C97" t="s">
        <v>35</v>
      </c>
      <c r="D97" t="s">
        <v>29</v>
      </c>
      <c r="E97" t="s">
        <v>24</v>
      </c>
      <c r="F97" t="s">
        <v>21</v>
      </c>
      <c r="G97" t="s">
        <v>25</v>
      </c>
      <c r="H97" s="1">
        <v>262790</v>
      </c>
      <c r="I97" s="3">
        <v>728</v>
      </c>
      <c r="J97" s="3">
        <v>756504</v>
      </c>
      <c r="K97" s="3">
        <v>10339.040000000001</v>
      </c>
      <c r="L97" s="2">
        <v>16</v>
      </c>
      <c r="M97" s="11">
        <v>21</v>
      </c>
      <c r="N97" s="3">
        <v>14</v>
      </c>
      <c r="O97" s="3">
        <v>718694</v>
      </c>
      <c r="P97" s="3">
        <v>1524138</v>
      </c>
      <c r="Q97" s="10">
        <v>0</v>
      </c>
      <c r="R97" s="3">
        <f>(Таблица1[Размер кредита]-$AA$2)/$AA$3</f>
        <v>-0.26647130506076766</v>
      </c>
      <c r="S97" s="3">
        <f>(Таблица1[Кредитный рейтинг]-$AA$7)/($AA$8-$AA$7)</f>
        <v>0.96937416777629826</v>
      </c>
      <c r="T97" s="3">
        <f>(Таблица1[Срок с последнего нарушения кредитного договора (мес,)]-$AA$12)/($AA$13-$AA$12)</f>
        <v>0.23863636363636365</v>
      </c>
      <c r="U97" s="3">
        <f>(Таблица1[Количество кредитных карт]-$AA$18)/($AA$19-$AA$18)</f>
        <v>0.30952380952380953</v>
      </c>
      <c r="V97" s="3">
        <f>(Таблица1[Число нарушений кредитных договоров]-$AA$23)/($AA$24-$AA$23)</f>
        <v>0</v>
      </c>
      <c r="W97" s="3">
        <f>Таблица1[[#This Row],[Годовой доход]]/12</f>
        <v>63042</v>
      </c>
      <c r="X97" s="3">
        <f>Таблица1[[#This Row],[Ежемесячный платеж]]/Таблица1[[#This Row],[Ежем доход]]</f>
        <v>0.16400241109101871</v>
      </c>
      <c r="Y97" s="3"/>
      <c r="Z97" s="3"/>
      <c r="AA97" s="3"/>
      <c r="AB97" s="3"/>
    </row>
    <row r="98" spans="1:28" x14ac:dyDescent="0.2">
      <c r="A98">
        <v>244</v>
      </c>
      <c r="B98" t="s">
        <v>286</v>
      </c>
      <c r="C98" t="s">
        <v>18</v>
      </c>
      <c r="D98" t="s">
        <v>19</v>
      </c>
      <c r="E98" t="s">
        <v>20</v>
      </c>
      <c r="F98" t="s">
        <v>27</v>
      </c>
      <c r="G98" t="s">
        <v>25</v>
      </c>
      <c r="H98" s="1">
        <v>429264</v>
      </c>
      <c r="I98" s="3">
        <v>735</v>
      </c>
      <c r="J98" s="3">
        <v>1816571</v>
      </c>
      <c r="K98" s="3">
        <v>34060.730000000003</v>
      </c>
      <c r="L98" s="2">
        <v>11.1</v>
      </c>
      <c r="M98" s="11">
        <v>37</v>
      </c>
      <c r="N98" s="3">
        <v>20</v>
      </c>
      <c r="O98" s="3">
        <v>387353</v>
      </c>
      <c r="P98" s="3">
        <v>1520398</v>
      </c>
      <c r="Q98" s="10">
        <v>0</v>
      </c>
      <c r="R98" s="3">
        <f>(Таблица1[Размер кредита]-$AA$2)/$AA$3</f>
        <v>0.68131193997152151</v>
      </c>
      <c r="S98" s="3">
        <f>(Таблица1[Кредитный рейтинг]-$AA$7)/($AA$8-$AA$7)</f>
        <v>0.97869507323568572</v>
      </c>
      <c r="T98" s="3">
        <f>(Таблица1[Срок с последнего нарушения кредитного договора (мес,)]-$AA$12)/($AA$13-$AA$12)</f>
        <v>0.42045454545454547</v>
      </c>
      <c r="U98" s="3">
        <f>(Таблица1[Количество кредитных карт]-$AA$18)/($AA$19-$AA$18)</f>
        <v>0.45238095238095238</v>
      </c>
      <c r="V98" s="3">
        <f>(Таблица1[Число нарушений кредитных договоров]-$AA$23)/($AA$24-$AA$23)</f>
        <v>0</v>
      </c>
      <c r="W98" s="3">
        <f>Таблица1[[#This Row],[Годовой доход]]/12</f>
        <v>151380.91666666666</v>
      </c>
      <c r="X98" s="3">
        <f>Таблица1[[#This Row],[Ежемесячный платеж]]/Таблица1[[#This Row],[Ежем доход]]</f>
        <v>0.22500015688899583</v>
      </c>
      <c r="Y98" s="3"/>
      <c r="Z98" s="3"/>
      <c r="AA98" s="3"/>
      <c r="AB98" s="3"/>
    </row>
    <row r="99" spans="1:28" x14ac:dyDescent="0.2">
      <c r="A99">
        <v>253</v>
      </c>
      <c r="B99" t="s">
        <v>295</v>
      </c>
      <c r="C99" t="s">
        <v>18</v>
      </c>
      <c r="D99" t="s">
        <v>29</v>
      </c>
      <c r="E99" t="s">
        <v>41</v>
      </c>
      <c r="F99" t="s">
        <v>21</v>
      </c>
      <c r="G99" t="s">
        <v>25</v>
      </c>
      <c r="H99" s="1">
        <v>449768</v>
      </c>
      <c r="I99" s="3">
        <v>0</v>
      </c>
      <c r="J99" s="3">
        <v>1168044</v>
      </c>
      <c r="K99" s="3">
        <v>31269.06</v>
      </c>
      <c r="L99" s="2">
        <v>22.2</v>
      </c>
      <c r="M99" s="11">
        <v>35.265240640000002</v>
      </c>
      <c r="N99" s="3">
        <v>10</v>
      </c>
      <c r="O99" s="3">
        <v>403028</v>
      </c>
      <c r="P99" s="3">
        <v>1515118</v>
      </c>
      <c r="Q99" s="10">
        <v>0</v>
      </c>
      <c r="R99" s="3">
        <f>(Таблица1[Размер кредита]-$AA$2)/$AA$3</f>
        <v>0.79804697160494209</v>
      </c>
      <c r="S99" s="3">
        <f>(Таблица1[Кредитный рейтинг]-$AA$7)/($AA$8-$AA$7)</f>
        <v>0</v>
      </c>
      <c r="T99" s="3">
        <f>(Таблица1[Срок с последнего нарушения кредитного договора (мес,)]-$AA$12)/($AA$13-$AA$12)</f>
        <v>0.40074137090909095</v>
      </c>
      <c r="U99" s="3">
        <f>(Таблица1[Количество кредитных карт]-$AA$18)/($AA$19-$AA$18)</f>
        <v>0.21428571428571427</v>
      </c>
      <c r="V99" s="3">
        <f>(Таблица1[Число нарушений кредитных договоров]-$AA$23)/($AA$24-$AA$23)</f>
        <v>0</v>
      </c>
      <c r="W99" s="3">
        <f>Таблица1[[#This Row],[Годовой доход]]/12</f>
        <v>97337</v>
      </c>
      <c r="X99" s="3">
        <f>Таблица1[[#This Row],[Ежемесячный платеж]]/Таблица1[[#This Row],[Ежем доход]]</f>
        <v>0.32124536404450521</v>
      </c>
      <c r="Y99" s="3"/>
      <c r="Z99" s="3"/>
      <c r="AA99" s="3"/>
      <c r="AB99" s="3"/>
    </row>
    <row r="100" spans="1:28" x14ac:dyDescent="0.2">
      <c r="A100">
        <v>567</v>
      </c>
      <c r="B100" t="s">
        <v>608</v>
      </c>
      <c r="C100" t="s">
        <v>35</v>
      </c>
      <c r="D100" t="s">
        <v>19</v>
      </c>
      <c r="E100" t="s">
        <v>20</v>
      </c>
      <c r="F100" t="s">
        <v>27</v>
      </c>
      <c r="G100" t="s">
        <v>25</v>
      </c>
      <c r="H100" s="1">
        <v>225082</v>
      </c>
      <c r="I100" s="3">
        <v>0</v>
      </c>
      <c r="J100" s="3">
        <v>1168044</v>
      </c>
      <c r="K100" s="3">
        <v>26566.560000000001</v>
      </c>
      <c r="L100" s="2">
        <v>32.4</v>
      </c>
      <c r="M100" s="11">
        <v>25</v>
      </c>
      <c r="N100" s="3">
        <v>18</v>
      </c>
      <c r="O100" s="3">
        <v>130568</v>
      </c>
      <c r="P100" s="3">
        <v>1511884</v>
      </c>
      <c r="Q100" s="10">
        <v>0</v>
      </c>
      <c r="R100" s="3">
        <f>(Таблица1[Размер кредита]-$AA$2)/$AA$3</f>
        <v>-0.481153541347981</v>
      </c>
      <c r="S100" s="3">
        <f>(Таблица1[Кредитный рейтинг]-$AA$7)/($AA$8-$AA$7)</f>
        <v>0</v>
      </c>
      <c r="T100" s="3">
        <f>(Таблица1[Срок с последнего нарушения кредитного договора (мес,)]-$AA$12)/($AA$13-$AA$12)</f>
        <v>0.28409090909090912</v>
      </c>
      <c r="U100" s="3">
        <f>(Таблица1[Количество кредитных карт]-$AA$18)/($AA$19-$AA$18)</f>
        <v>0.40476190476190477</v>
      </c>
      <c r="V100" s="3">
        <f>(Таблица1[Число нарушений кредитных договоров]-$AA$23)/($AA$24-$AA$23)</f>
        <v>0</v>
      </c>
      <c r="W100" s="3">
        <f>Таблица1[[#This Row],[Годовой доход]]/12</f>
        <v>97337</v>
      </c>
      <c r="X100" s="3">
        <f>Таблица1[[#This Row],[Ежемесячный платеж]]/Таблица1[[#This Row],[Ежем доход]]</f>
        <v>0.27293382783525277</v>
      </c>
      <c r="Y100" s="3"/>
      <c r="Z100" s="3"/>
      <c r="AA100" s="3"/>
      <c r="AB100" s="3"/>
    </row>
    <row r="101" spans="1:28" x14ac:dyDescent="0.2">
      <c r="A101">
        <v>1204</v>
      </c>
      <c r="B101" t="s">
        <v>1243</v>
      </c>
      <c r="C101" t="s">
        <v>18</v>
      </c>
      <c r="D101" t="s">
        <v>19</v>
      </c>
      <c r="E101" t="s">
        <v>24</v>
      </c>
      <c r="F101" t="s">
        <v>21</v>
      </c>
      <c r="G101" t="s">
        <v>67</v>
      </c>
      <c r="H101" s="1">
        <v>309594.52439999999</v>
      </c>
      <c r="I101" s="3">
        <v>742</v>
      </c>
      <c r="J101" s="3">
        <v>1400186</v>
      </c>
      <c r="K101" s="3">
        <v>25203.119999999999</v>
      </c>
      <c r="L101" s="2">
        <v>32.6</v>
      </c>
      <c r="M101" s="11">
        <v>35.265240640000002</v>
      </c>
      <c r="N101" s="3">
        <v>24</v>
      </c>
      <c r="O101" s="3">
        <v>1021231</v>
      </c>
      <c r="P101" s="3">
        <v>1504426</v>
      </c>
      <c r="Q101" s="10">
        <v>0</v>
      </c>
      <c r="R101" s="3">
        <f>(Таблица1[Размер кредита]-$AA$2)/$AA$3</f>
        <v>-1.2411115481956205E-10</v>
      </c>
      <c r="S101" s="3">
        <f>(Таблица1[Кредитный рейтинг]-$AA$7)/($AA$8-$AA$7)</f>
        <v>0.98801597869507318</v>
      </c>
      <c r="T101" s="3">
        <f>(Таблица1[Срок с последнего нарушения кредитного договора (мес,)]-$AA$12)/($AA$13-$AA$12)</f>
        <v>0.40074137090909095</v>
      </c>
      <c r="U101" s="3">
        <f>(Таблица1[Количество кредитных карт]-$AA$18)/($AA$19-$AA$18)</f>
        <v>0.54761904761904767</v>
      </c>
      <c r="V101" s="3">
        <f>(Таблица1[Число нарушений кредитных договоров]-$AA$23)/($AA$24-$AA$23)</f>
        <v>0</v>
      </c>
      <c r="W101" s="3">
        <f>Таблица1[[#This Row],[Годовой доход]]/12</f>
        <v>116682.16666666667</v>
      </c>
      <c r="X101" s="3">
        <f>Таблица1[[#This Row],[Ежемесячный платеж]]/Таблица1[[#This Row],[Ежем доход]]</f>
        <v>0.21599804597389202</v>
      </c>
      <c r="Y101" s="3"/>
      <c r="Z101" s="3"/>
      <c r="AA101" s="3"/>
      <c r="AB101" s="3"/>
    </row>
    <row r="102" spans="1:28" x14ac:dyDescent="0.2">
      <c r="A102">
        <v>749</v>
      </c>
      <c r="B102" t="s">
        <v>790</v>
      </c>
      <c r="C102" t="s">
        <v>35</v>
      </c>
      <c r="D102" t="s">
        <v>19</v>
      </c>
      <c r="E102" t="s">
        <v>24</v>
      </c>
      <c r="F102" t="s">
        <v>21</v>
      </c>
      <c r="G102" t="s">
        <v>25</v>
      </c>
      <c r="H102" s="1">
        <v>400400</v>
      </c>
      <c r="I102" s="3">
        <v>719</v>
      </c>
      <c r="J102" s="3">
        <v>1152654</v>
      </c>
      <c r="K102" s="3">
        <v>28047.99</v>
      </c>
      <c r="L102" s="2">
        <v>12</v>
      </c>
      <c r="M102" s="11">
        <v>35.265240640000002</v>
      </c>
      <c r="N102" s="3">
        <v>36</v>
      </c>
      <c r="O102" s="3">
        <v>569962</v>
      </c>
      <c r="P102" s="3">
        <v>1499916</v>
      </c>
      <c r="Q102" s="10">
        <v>0</v>
      </c>
      <c r="R102" s="3">
        <f>(Таблица1[Размер кредита]-$AA$2)/$AA$3</f>
        <v>0.51698107998971055</v>
      </c>
      <c r="S102" s="3">
        <f>(Таблица1[Кредитный рейтинг]-$AA$7)/($AA$8-$AA$7)</f>
        <v>0.95739014647137155</v>
      </c>
      <c r="T102" s="3">
        <f>(Таблица1[Срок с последнего нарушения кредитного договора (мес,)]-$AA$12)/($AA$13-$AA$12)</f>
        <v>0.40074137090909095</v>
      </c>
      <c r="U102" s="3">
        <f>(Таблица1[Количество кредитных карт]-$AA$18)/($AA$19-$AA$18)</f>
        <v>0.83333333333333337</v>
      </c>
      <c r="V102" s="3">
        <f>(Таблица1[Число нарушений кредитных договоров]-$AA$23)/($AA$24-$AA$23)</f>
        <v>0</v>
      </c>
      <c r="W102" s="3">
        <f>Таблица1[[#This Row],[Годовой доход]]/12</f>
        <v>96054.5</v>
      </c>
      <c r="X102" s="3">
        <f>Таблица1[[#This Row],[Ежемесячный платеж]]/Таблица1[[#This Row],[Ежем доход]]</f>
        <v>0.2920007912174859</v>
      </c>
      <c r="Y102" s="3"/>
      <c r="Z102" s="3"/>
      <c r="AA102" s="3"/>
      <c r="AB102" s="3"/>
    </row>
    <row r="103" spans="1:28" x14ac:dyDescent="0.2">
      <c r="A103">
        <v>1713</v>
      </c>
      <c r="B103" t="s">
        <v>1751</v>
      </c>
      <c r="C103" t="s">
        <v>18</v>
      </c>
      <c r="D103" t="s">
        <v>19</v>
      </c>
      <c r="E103" t="s">
        <v>52</v>
      </c>
      <c r="F103" t="s">
        <v>21</v>
      </c>
      <c r="G103" t="s">
        <v>25</v>
      </c>
      <c r="H103" s="1">
        <v>309594.52439999999</v>
      </c>
      <c r="I103" s="3">
        <v>748</v>
      </c>
      <c r="J103" s="3">
        <v>2235255</v>
      </c>
      <c r="K103" s="3">
        <v>41910.959999999999</v>
      </c>
      <c r="L103" s="2">
        <v>15</v>
      </c>
      <c r="M103" s="11">
        <v>35.265240640000002</v>
      </c>
      <c r="N103" s="3">
        <v>13</v>
      </c>
      <c r="O103" s="3">
        <v>840123</v>
      </c>
      <c r="P103" s="3">
        <v>1487420</v>
      </c>
      <c r="Q103" s="10">
        <v>0</v>
      </c>
      <c r="R103" s="3">
        <f>(Таблица1[Размер кредита]-$AA$2)/$AA$3</f>
        <v>-1.2411115481956205E-10</v>
      </c>
      <c r="S103" s="3">
        <f>(Таблица1[Кредитный рейтинг]-$AA$7)/($AA$8-$AA$7)</f>
        <v>0.99600532623169102</v>
      </c>
      <c r="T103" s="3">
        <f>(Таблица1[Срок с последнего нарушения кредитного договора (мес,)]-$AA$12)/($AA$13-$AA$12)</f>
        <v>0.40074137090909095</v>
      </c>
      <c r="U103" s="3">
        <f>(Таблица1[Количество кредитных карт]-$AA$18)/($AA$19-$AA$18)</f>
        <v>0.2857142857142857</v>
      </c>
      <c r="V103" s="3">
        <f>(Таблица1[Число нарушений кредитных договоров]-$AA$23)/($AA$24-$AA$23)</f>
        <v>0</v>
      </c>
      <c r="W103" s="3">
        <f>Таблица1[[#This Row],[Годовой доход]]/12</f>
        <v>186271.25</v>
      </c>
      <c r="X103" s="3">
        <f>Таблица1[[#This Row],[Ежемесячный платеж]]/Таблица1[[#This Row],[Ежем доход]]</f>
        <v>0.22499961749330613</v>
      </c>
      <c r="Y103" s="3"/>
      <c r="Z103" s="3"/>
      <c r="AA103" s="3"/>
      <c r="AB103" s="3"/>
    </row>
    <row r="104" spans="1:28" x14ac:dyDescent="0.2">
      <c r="A104">
        <v>1482</v>
      </c>
      <c r="B104" t="s">
        <v>1521</v>
      </c>
      <c r="C104" t="s">
        <v>18</v>
      </c>
      <c r="D104" t="s">
        <v>19</v>
      </c>
      <c r="E104" t="s">
        <v>30</v>
      </c>
      <c r="F104" t="s">
        <v>33</v>
      </c>
      <c r="G104" t="s">
        <v>25</v>
      </c>
      <c r="H104" s="1">
        <v>609092</v>
      </c>
      <c r="I104" s="3">
        <v>750</v>
      </c>
      <c r="J104" s="3">
        <v>1690848</v>
      </c>
      <c r="K104" s="3">
        <v>17049.46</v>
      </c>
      <c r="L104" s="2">
        <v>23.6</v>
      </c>
      <c r="M104" s="11">
        <v>35.265240640000002</v>
      </c>
      <c r="N104" s="3">
        <v>8</v>
      </c>
      <c r="O104" s="3">
        <v>109877</v>
      </c>
      <c r="P104" s="3">
        <v>1479500</v>
      </c>
      <c r="Q104" s="10">
        <v>0</v>
      </c>
      <c r="R104" s="3">
        <f>(Таблица1[Размер кредита]-$AA$2)/$AA$3</f>
        <v>1.7051232581813711</v>
      </c>
      <c r="S104" s="3">
        <f>(Таблица1[Кредитный рейтинг]-$AA$7)/($AA$8-$AA$7)</f>
        <v>0.99866844207723038</v>
      </c>
      <c r="T104" s="3">
        <f>(Таблица1[Срок с последнего нарушения кредитного договора (мес,)]-$AA$12)/($AA$13-$AA$12)</f>
        <v>0.40074137090909095</v>
      </c>
      <c r="U104" s="3">
        <f>(Таблица1[Количество кредитных карт]-$AA$18)/($AA$19-$AA$18)</f>
        <v>0.16666666666666666</v>
      </c>
      <c r="V104" s="3">
        <f>(Таблица1[Число нарушений кредитных договоров]-$AA$23)/($AA$24-$AA$23)</f>
        <v>0</v>
      </c>
      <c r="W104" s="3">
        <f>Таблица1[[#This Row],[Годовой доход]]/12</f>
        <v>140904</v>
      </c>
      <c r="X104" s="3">
        <f>Таблица1[[#This Row],[Ежемесячный платеж]]/Таблица1[[#This Row],[Ежем доход]]</f>
        <v>0.12100053937432577</v>
      </c>
      <c r="Y104" s="3"/>
      <c r="Z104" s="3"/>
      <c r="AA104" s="3"/>
      <c r="AB104" s="3"/>
    </row>
    <row r="105" spans="1:28" x14ac:dyDescent="0.2">
      <c r="A105">
        <v>1110</v>
      </c>
      <c r="B105" t="s">
        <v>1149</v>
      </c>
      <c r="C105" t="s">
        <v>18</v>
      </c>
      <c r="D105" t="s">
        <v>19</v>
      </c>
      <c r="E105" t="s">
        <v>69</v>
      </c>
      <c r="F105" t="s">
        <v>21</v>
      </c>
      <c r="G105" t="s">
        <v>25</v>
      </c>
      <c r="H105" s="1">
        <v>222750</v>
      </c>
      <c r="I105" s="3">
        <v>744</v>
      </c>
      <c r="J105" s="3">
        <v>1442822</v>
      </c>
      <c r="K105" s="3">
        <v>21161.25</v>
      </c>
      <c r="L105" s="2">
        <v>29</v>
      </c>
      <c r="M105" s="11">
        <v>31</v>
      </c>
      <c r="N105" s="3">
        <v>12</v>
      </c>
      <c r="O105" s="3">
        <v>528390</v>
      </c>
      <c r="P105" s="3">
        <v>1477828</v>
      </c>
      <c r="Q105" s="10">
        <v>0</v>
      </c>
      <c r="R105" s="3">
        <f>(Таблица1[Размер кредита]-$AA$2)/$AA$3</f>
        <v>-0.49443027241358461</v>
      </c>
      <c r="S105" s="3">
        <f>(Таблица1[Кредитный рейтинг]-$AA$7)/($AA$8-$AA$7)</f>
        <v>0.99067909454061254</v>
      </c>
      <c r="T105" s="3">
        <f>(Таблица1[Срок с последнего нарушения кредитного договора (мес,)]-$AA$12)/($AA$13-$AA$12)</f>
        <v>0.35227272727272729</v>
      </c>
      <c r="U105" s="3">
        <f>(Таблица1[Количество кредитных карт]-$AA$18)/($AA$19-$AA$18)</f>
        <v>0.26190476190476192</v>
      </c>
      <c r="V105" s="3">
        <f>(Таблица1[Число нарушений кредитных договоров]-$AA$23)/($AA$24-$AA$23)</f>
        <v>0</v>
      </c>
      <c r="W105" s="3">
        <f>Таблица1[[#This Row],[Годовой доход]]/12</f>
        <v>120235.16666666667</v>
      </c>
      <c r="X105" s="3">
        <f>Таблица1[[#This Row],[Ежемесячный платеж]]/Таблица1[[#This Row],[Ежем доход]]</f>
        <v>0.17599884115989359</v>
      </c>
      <c r="Y105" s="3"/>
      <c r="Z105" s="3"/>
      <c r="AA105" s="3"/>
      <c r="AB105" s="3"/>
    </row>
    <row r="106" spans="1:28" x14ac:dyDescent="0.2">
      <c r="A106">
        <v>1162</v>
      </c>
      <c r="B106" s="4" t="s">
        <v>1201</v>
      </c>
      <c r="C106" t="s">
        <v>18</v>
      </c>
      <c r="D106" t="s">
        <v>29</v>
      </c>
      <c r="E106" t="s">
        <v>37</v>
      </c>
      <c r="F106" t="s">
        <v>33</v>
      </c>
      <c r="G106" t="s">
        <v>25</v>
      </c>
      <c r="H106" s="1">
        <v>625372</v>
      </c>
      <c r="I106" s="3">
        <v>0</v>
      </c>
      <c r="J106" s="3">
        <v>1168044</v>
      </c>
      <c r="K106" s="3">
        <v>43587.9</v>
      </c>
      <c r="L106" s="2">
        <v>9.6</v>
      </c>
      <c r="M106" s="11">
        <v>35.265240640000002</v>
      </c>
      <c r="N106" s="3">
        <v>22</v>
      </c>
      <c r="O106" s="3">
        <v>818045</v>
      </c>
      <c r="P106" s="3">
        <v>1473098</v>
      </c>
      <c r="Q106" s="10">
        <v>0</v>
      </c>
      <c r="R106" s="3">
        <f>(Таблица1[Размер кредита]-$AA$2)/$AA$3</f>
        <v>1.7978098712808681</v>
      </c>
      <c r="S106" s="3">
        <f>(Таблица1[Кредитный рейтинг]-$AA$7)/($AA$8-$AA$7)</f>
        <v>0</v>
      </c>
      <c r="T106" s="3">
        <f>(Таблица1[Срок с последнего нарушения кредитного договора (мес,)]-$AA$12)/($AA$13-$AA$12)</f>
        <v>0.40074137090909095</v>
      </c>
      <c r="U106" s="3">
        <f>(Таблица1[Количество кредитных карт]-$AA$18)/($AA$19-$AA$18)</f>
        <v>0.5</v>
      </c>
      <c r="V106" s="3">
        <f>(Таблица1[Число нарушений кредитных договоров]-$AA$23)/($AA$24-$AA$23)</f>
        <v>0</v>
      </c>
      <c r="W106" s="3">
        <f>Таблица1[[#This Row],[Годовой доход]]/12</f>
        <v>97337</v>
      </c>
      <c r="X106" s="3">
        <f>Таблица1[[#This Row],[Ежемесячный платеж]]/Таблица1[[#This Row],[Ежем доход]]</f>
        <v>0.44780402108139761</v>
      </c>
      <c r="Y106" s="3"/>
      <c r="Z106" s="3"/>
      <c r="AA106" s="3"/>
      <c r="AB106" s="3"/>
    </row>
    <row r="107" spans="1:28" x14ac:dyDescent="0.2">
      <c r="A107">
        <v>163</v>
      </c>
      <c r="B107" t="s">
        <v>205</v>
      </c>
      <c r="C107" t="s">
        <v>18</v>
      </c>
      <c r="D107" t="s">
        <v>29</v>
      </c>
      <c r="E107" t="s">
        <v>24</v>
      </c>
      <c r="F107" t="s">
        <v>21</v>
      </c>
      <c r="G107" t="s">
        <v>25</v>
      </c>
      <c r="H107" s="1">
        <v>645018</v>
      </c>
      <c r="I107" s="3">
        <v>737</v>
      </c>
      <c r="J107" s="3">
        <v>2692471</v>
      </c>
      <c r="K107" s="3">
        <v>40386.97</v>
      </c>
      <c r="L107" s="2">
        <v>24</v>
      </c>
      <c r="M107" s="11">
        <v>35.265240640000002</v>
      </c>
      <c r="N107" s="3">
        <v>21</v>
      </c>
      <c r="O107" s="3">
        <v>640376</v>
      </c>
      <c r="P107" s="3">
        <v>1468302</v>
      </c>
      <c r="Q107" s="10">
        <v>0</v>
      </c>
      <c r="R107" s="3">
        <f>(Таблица1[Размер кредита]-$AA$2)/$AA$3</f>
        <v>1.9096600678995854</v>
      </c>
      <c r="S107" s="3">
        <f>(Таблица1[Кредитный рейтинг]-$AA$7)/($AA$8-$AA$7)</f>
        <v>0.98135818908122507</v>
      </c>
      <c r="T107" s="3">
        <f>(Таблица1[Срок с последнего нарушения кредитного договора (мес,)]-$AA$12)/($AA$13-$AA$12)</f>
        <v>0.40074137090909095</v>
      </c>
      <c r="U107" s="3">
        <f>(Таблица1[Количество кредитных карт]-$AA$18)/($AA$19-$AA$18)</f>
        <v>0.47619047619047616</v>
      </c>
      <c r="V107" s="3">
        <f>(Таблица1[Число нарушений кредитных договоров]-$AA$23)/($AA$24-$AA$23)</f>
        <v>0</v>
      </c>
      <c r="W107" s="3">
        <f>Таблица1[[#This Row],[Годовой доход]]/12</f>
        <v>224372.58333333334</v>
      </c>
      <c r="X107" s="3">
        <f>Таблица1[[#This Row],[Ежемесячный платеж]]/Таблица1[[#This Row],[Ежем доход]]</f>
        <v>0.17999957659711097</v>
      </c>
      <c r="Y107" s="3"/>
      <c r="Z107" s="3"/>
      <c r="AA107" s="3"/>
      <c r="AB107" s="3"/>
    </row>
    <row r="108" spans="1:28" x14ac:dyDescent="0.2">
      <c r="A108">
        <v>1064</v>
      </c>
      <c r="B108" t="s">
        <v>1103</v>
      </c>
      <c r="C108" t="s">
        <v>18</v>
      </c>
      <c r="D108" t="s">
        <v>19</v>
      </c>
      <c r="E108" t="s">
        <v>24</v>
      </c>
      <c r="F108" t="s">
        <v>21</v>
      </c>
      <c r="G108" t="s">
        <v>25</v>
      </c>
      <c r="H108" s="1">
        <v>540430</v>
      </c>
      <c r="I108" s="3">
        <v>740</v>
      </c>
      <c r="J108" s="3">
        <v>1493552</v>
      </c>
      <c r="K108" s="3">
        <v>16130.43</v>
      </c>
      <c r="L108" s="2">
        <v>20.5</v>
      </c>
      <c r="M108" s="11">
        <v>35.265240640000002</v>
      </c>
      <c r="N108" s="3">
        <v>11</v>
      </c>
      <c r="O108" s="3">
        <v>314222</v>
      </c>
      <c r="P108" s="3">
        <v>1467092</v>
      </c>
      <c r="Q108" s="10">
        <v>0</v>
      </c>
      <c r="R108" s="3">
        <f>(Таблица1[Размер кредита]-$AA$2)/$AA$3</f>
        <v>1.3142112048252492</v>
      </c>
      <c r="S108" s="3">
        <f>(Таблица1[Кредитный рейтинг]-$AA$7)/($AA$8-$AA$7)</f>
        <v>0.98535286284953394</v>
      </c>
      <c r="T108" s="3">
        <f>(Таблица1[Срок с последнего нарушения кредитного договора (мес,)]-$AA$12)/($AA$13-$AA$12)</f>
        <v>0.40074137090909095</v>
      </c>
      <c r="U108" s="3">
        <f>(Таблица1[Количество кредитных карт]-$AA$18)/($AA$19-$AA$18)</f>
        <v>0.23809523809523808</v>
      </c>
      <c r="V108" s="3">
        <f>(Таблица1[Число нарушений кредитных договоров]-$AA$23)/($AA$24-$AA$23)</f>
        <v>0</v>
      </c>
      <c r="W108" s="3">
        <f>Таблица1[[#This Row],[Годовой доход]]/12</f>
        <v>124462.66666666667</v>
      </c>
      <c r="X108" s="3">
        <f>Таблица1[[#This Row],[Ежемесячный платеж]]/Таблица1[[#This Row],[Ежем доход]]</f>
        <v>0.12960054956238551</v>
      </c>
      <c r="Y108" s="3"/>
      <c r="Z108" s="3"/>
      <c r="AA108" s="3"/>
      <c r="AB108" s="3"/>
    </row>
    <row r="109" spans="1:28" x14ac:dyDescent="0.2">
      <c r="A109">
        <v>258</v>
      </c>
      <c r="B109" t="s">
        <v>300</v>
      </c>
      <c r="C109" t="s">
        <v>18</v>
      </c>
      <c r="D109" t="s">
        <v>29</v>
      </c>
      <c r="E109" t="s">
        <v>24</v>
      </c>
      <c r="F109" t="s">
        <v>21</v>
      </c>
      <c r="G109" t="s">
        <v>25</v>
      </c>
      <c r="H109" s="1">
        <v>537196</v>
      </c>
      <c r="I109" s="3">
        <v>654</v>
      </c>
      <c r="J109" s="3">
        <v>2551643</v>
      </c>
      <c r="K109" s="3">
        <v>55072.83</v>
      </c>
      <c r="L109" s="2">
        <v>27</v>
      </c>
      <c r="M109" s="11">
        <v>35.265240640000002</v>
      </c>
      <c r="N109" s="3">
        <v>16</v>
      </c>
      <c r="O109" s="3">
        <v>734597</v>
      </c>
      <c r="P109" s="3">
        <v>1466542</v>
      </c>
      <c r="Q109" s="10">
        <v>0</v>
      </c>
      <c r="R109" s="3">
        <f>(Таблица1[Размер кредита]-$AA$2)/$AA$3</f>
        <v>1.295799134385214</v>
      </c>
      <c r="S109" s="3">
        <f>(Таблица1[Кредитный рейтинг]-$AA$7)/($AA$8-$AA$7)</f>
        <v>0.87083888149134492</v>
      </c>
      <c r="T109" s="3">
        <f>(Таблица1[Срок с последнего нарушения кредитного договора (мес,)]-$AA$12)/($AA$13-$AA$12)</f>
        <v>0.40074137090909095</v>
      </c>
      <c r="U109" s="3">
        <f>(Таблица1[Количество кредитных карт]-$AA$18)/($AA$19-$AA$18)</f>
        <v>0.35714285714285715</v>
      </c>
      <c r="V109" s="3">
        <f>(Таблица1[Число нарушений кредитных договоров]-$AA$23)/($AA$24-$AA$23)</f>
        <v>0</v>
      </c>
      <c r="W109" s="3">
        <f>Таблица1[[#This Row],[Годовой доход]]/12</f>
        <v>212636.91666666666</v>
      </c>
      <c r="X109" s="3">
        <f>Таблица1[[#This Row],[Ежемесячный платеж]]/Таблица1[[#This Row],[Ежем доход]]</f>
        <v>0.2589993819668347</v>
      </c>
      <c r="Y109" s="3"/>
      <c r="Z109" s="3"/>
      <c r="AA109" s="3"/>
      <c r="AB109" s="3"/>
    </row>
    <row r="110" spans="1:28" x14ac:dyDescent="0.2">
      <c r="A110">
        <v>347</v>
      </c>
      <c r="B110" t="s">
        <v>389</v>
      </c>
      <c r="C110" t="s">
        <v>18</v>
      </c>
      <c r="D110" t="s">
        <v>29</v>
      </c>
      <c r="E110" t="s">
        <v>24</v>
      </c>
      <c r="F110" t="s">
        <v>21</v>
      </c>
      <c r="G110" t="s">
        <v>25</v>
      </c>
      <c r="H110" s="1">
        <v>746372</v>
      </c>
      <c r="I110" s="3">
        <v>715</v>
      </c>
      <c r="J110" s="3">
        <v>2302116</v>
      </c>
      <c r="K110" s="3">
        <v>40670.639999999999</v>
      </c>
      <c r="L110" s="2">
        <v>24.4</v>
      </c>
      <c r="M110" s="11">
        <v>35.265240640000002</v>
      </c>
      <c r="N110" s="3">
        <v>14</v>
      </c>
      <c r="O110" s="3">
        <v>620996</v>
      </c>
      <c r="P110" s="3">
        <v>1461482</v>
      </c>
      <c r="Q110" s="10">
        <v>0</v>
      </c>
      <c r="R110" s="3">
        <f>(Таблица1[Размер кредита]-$AA$2)/$AA$3</f>
        <v>2.4866968605338866</v>
      </c>
      <c r="S110" s="3">
        <f>(Таблица1[Кредитный рейтинг]-$AA$7)/($AA$8-$AA$7)</f>
        <v>0.95206391478029295</v>
      </c>
      <c r="T110" s="3">
        <f>(Таблица1[Срок с последнего нарушения кредитного договора (мес,)]-$AA$12)/($AA$13-$AA$12)</f>
        <v>0.40074137090909095</v>
      </c>
      <c r="U110" s="3">
        <f>(Таблица1[Количество кредитных карт]-$AA$18)/($AA$19-$AA$18)</f>
        <v>0.30952380952380953</v>
      </c>
      <c r="V110" s="3">
        <f>(Таблица1[Число нарушений кредитных договоров]-$AA$23)/($AA$24-$AA$23)</f>
        <v>0</v>
      </c>
      <c r="W110" s="3">
        <f>Таблица1[[#This Row],[Годовой доход]]/12</f>
        <v>191843</v>
      </c>
      <c r="X110" s="3">
        <f>Таблица1[[#This Row],[Ежемесячный платеж]]/Таблица1[[#This Row],[Ежем доход]]</f>
        <v>0.21199960384272556</v>
      </c>
      <c r="Y110" s="3"/>
      <c r="Z110" s="3"/>
      <c r="AA110" s="3"/>
      <c r="AB110" s="3"/>
    </row>
    <row r="111" spans="1:28" x14ac:dyDescent="0.2">
      <c r="A111">
        <v>420</v>
      </c>
      <c r="B111" t="s">
        <v>462</v>
      </c>
      <c r="C111" t="s">
        <v>18</v>
      </c>
      <c r="D111" t="s">
        <v>19</v>
      </c>
      <c r="E111" t="s">
        <v>24</v>
      </c>
      <c r="F111" t="s">
        <v>21</v>
      </c>
      <c r="G111" t="s">
        <v>25</v>
      </c>
      <c r="H111" s="1">
        <v>704946</v>
      </c>
      <c r="I111" s="3">
        <v>717</v>
      </c>
      <c r="J111" s="3">
        <v>1352914</v>
      </c>
      <c r="K111" s="3">
        <v>27960.21</v>
      </c>
      <c r="L111" s="2">
        <v>30</v>
      </c>
      <c r="M111" s="11">
        <v>35.265240640000002</v>
      </c>
      <c r="N111" s="3">
        <v>16</v>
      </c>
      <c r="O111" s="3">
        <v>792623</v>
      </c>
      <c r="P111" s="3">
        <v>1456752</v>
      </c>
      <c r="Q111" s="10">
        <v>0</v>
      </c>
      <c r="R111" s="3">
        <f>(Таблица1[Размер кредита]-$AA$2)/$AA$3</f>
        <v>2.2508470058496259</v>
      </c>
      <c r="S111" s="3">
        <f>(Таблица1[Кредитный рейтинг]-$AA$7)/($AA$8-$AA$7)</f>
        <v>0.9547270306258322</v>
      </c>
      <c r="T111" s="3">
        <f>(Таблица1[Срок с последнего нарушения кредитного договора (мес,)]-$AA$12)/($AA$13-$AA$12)</f>
        <v>0.40074137090909095</v>
      </c>
      <c r="U111" s="3">
        <f>(Таблица1[Количество кредитных карт]-$AA$18)/($AA$19-$AA$18)</f>
        <v>0.35714285714285715</v>
      </c>
      <c r="V111" s="3">
        <f>(Таблица1[Число нарушений кредитных договоров]-$AA$23)/($AA$24-$AA$23)</f>
        <v>0</v>
      </c>
      <c r="W111" s="3">
        <f>Таблица1[[#This Row],[Годовой доход]]/12</f>
        <v>112742.83333333333</v>
      </c>
      <c r="X111" s="3">
        <f>Таблица1[[#This Row],[Ежемесячный платеж]]/Таблица1[[#This Row],[Ежем доход]]</f>
        <v>0.24799988764991715</v>
      </c>
      <c r="Y111" s="3"/>
      <c r="Z111" s="3"/>
      <c r="AA111" s="3"/>
      <c r="AB111" s="3"/>
    </row>
    <row r="112" spans="1:28" x14ac:dyDescent="0.2">
      <c r="A112">
        <v>1396</v>
      </c>
      <c r="B112" t="s">
        <v>1435</v>
      </c>
      <c r="C112" t="s">
        <v>18</v>
      </c>
      <c r="D112" t="s">
        <v>29</v>
      </c>
      <c r="E112" t="s">
        <v>30</v>
      </c>
      <c r="F112" t="s">
        <v>21</v>
      </c>
      <c r="G112" t="s">
        <v>70</v>
      </c>
      <c r="H112" s="1">
        <v>544940</v>
      </c>
      <c r="I112" s="3">
        <v>708</v>
      </c>
      <c r="J112" s="3">
        <v>1780870</v>
      </c>
      <c r="K112" s="3">
        <v>16398.900000000001</v>
      </c>
      <c r="L112" s="2">
        <v>17.399999999999999</v>
      </c>
      <c r="M112" s="11">
        <v>35.265240640000002</v>
      </c>
      <c r="N112" s="3">
        <v>10</v>
      </c>
      <c r="O112" s="3">
        <v>429229</v>
      </c>
      <c r="P112" s="3">
        <v>1453254</v>
      </c>
      <c r="Q112" s="10">
        <v>0</v>
      </c>
      <c r="R112" s="3">
        <f>(Таблица1[Размер кредита]-$AA$2)/$AA$3</f>
        <v>1.339887901697407</v>
      </c>
      <c r="S112" s="3">
        <f>(Таблица1[Кредитный рейтинг]-$AA$7)/($AA$8-$AA$7)</f>
        <v>0.94274300932090549</v>
      </c>
      <c r="T112" s="3">
        <f>(Таблица1[Срок с последнего нарушения кредитного договора (мес,)]-$AA$12)/($AA$13-$AA$12)</f>
        <v>0.40074137090909095</v>
      </c>
      <c r="U112" s="3">
        <f>(Таблица1[Количество кредитных карт]-$AA$18)/($AA$19-$AA$18)</f>
        <v>0.21428571428571427</v>
      </c>
      <c r="V112" s="3">
        <f>(Таблица1[Число нарушений кредитных договоров]-$AA$23)/($AA$24-$AA$23)</f>
        <v>0</v>
      </c>
      <c r="W112" s="3">
        <f>Таблица1[[#This Row],[Годовой доход]]/12</f>
        <v>148405.83333333334</v>
      </c>
      <c r="X112" s="3">
        <f>Таблица1[[#This Row],[Ежемесячный платеж]]/Таблица1[[#This Row],[Ежем доход]]</f>
        <v>0.11050037341299478</v>
      </c>
      <c r="Y112" s="3"/>
      <c r="Z112" s="3"/>
      <c r="AA112" s="3"/>
      <c r="AB112" s="3"/>
    </row>
    <row r="113" spans="1:28" x14ac:dyDescent="0.2">
      <c r="A113">
        <v>1022</v>
      </c>
      <c r="B113" t="s">
        <v>1061</v>
      </c>
      <c r="C113" t="s">
        <v>35</v>
      </c>
      <c r="D113" t="s">
        <v>29</v>
      </c>
      <c r="E113" t="s">
        <v>69</v>
      </c>
      <c r="F113" t="s">
        <v>21</v>
      </c>
      <c r="G113" t="s">
        <v>25</v>
      </c>
      <c r="H113" s="1">
        <v>582912</v>
      </c>
      <c r="I113" s="3">
        <v>685</v>
      </c>
      <c r="J113" s="3">
        <v>1411472</v>
      </c>
      <c r="K113" s="3">
        <v>10162.530000000001</v>
      </c>
      <c r="L113" s="2">
        <v>14.7</v>
      </c>
      <c r="M113" s="11">
        <v>48</v>
      </c>
      <c r="N113" s="3">
        <v>12</v>
      </c>
      <c r="O113" s="3">
        <v>373255</v>
      </c>
      <c r="P113" s="3">
        <v>1445422</v>
      </c>
      <c r="Q113" s="10">
        <v>0</v>
      </c>
      <c r="R113" s="3">
        <f>(Таблица1[Размер кредита]-$AA$2)/$AA$3</f>
        <v>1.5560731641429908</v>
      </c>
      <c r="S113" s="3">
        <f>(Таблица1[Кредитный рейтинг]-$AA$7)/($AA$8-$AA$7)</f>
        <v>0.91211717709720375</v>
      </c>
      <c r="T113" s="3">
        <f>(Таблица1[Срок с последнего нарушения кредитного договора (мес,)]-$AA$12)/($AA$13-$AA$12)</f>
        <v>0.54545454545454541</v>
      </c>
      <c r="U113" s="3">
        <f>(Таблица1[Количество кредитных карт]-$AA$18)/($AA$19-$AA$18)</f>
        <v>0.26190476190476192</v>
      </c>
      <c r="V113" s="3">
        <f>(Таблица1[Число нарушений кредитных договоров]-$AA$23)/($AA$24-$AA$23)</f>
        <v>0</v>
      </c>
      <c r="W113" s="3">
        <f>Таблица1[[#This Row],[Годовой доход]]/12</f>
        <v>117622.66666666667</v>
      </c>
      <c r="X113" s="3">
        <f>Таблица1[[#This Row],[Ежемесячный платеж]]/Таблица1[[#This Row],[Ежем доход]]</f>
        <v>8.6399418479431403E-2</v>
      </c>
      <c r="Y113" s="3"/>
      <c r="Z113" s="3"/>
      <c r="AA113" s="3"/>
      <c r="AB113" s="3"/>
    </row>
    <row r="114" spans="1:28" x14ac:dyDescent="0.2">
      <c r="A114">
        <v>1238</v>
      </c>
      <c r="B114" t="s">
        <v>1277</v>
      </c>
      <c r="C114" t="s">
        <v>18</v>
      </c>
      <c r="D114" t="s">
        <v>29</v>
      </c>
      <c r="E114" t="s">
        <v>52</v>
      </c>
      <c r="F114" t="s">
        <v>33</v>
      </c>
      <c r="G114" t="s">
        <v>25</v>
      </c>
      <c r="H114" s="1">
        <v>554906</v>
      </c>
      <c r="I114" s="3">
        <v>596</v>
      </c>
      <c r="J114" s="3">
        <v>3833820</v>
      </c>
      <c r="K114" s="3">
        <v>30510.959999999999</v>
      </c>
      <c r="L114" s="2">
        <v>45.3</v>
      </c>
      <c r="M114" s="11">
        <v>35.265240640000002</v>
      </c>
      <c r="N114" s="3">
        <v>29</v>
      </c>
      <c r="O114" s="3">
        <v>568936</v>
      </c>
      <c r="P114" s="3">
        <v>1438360</v>
      </c>
      <c r="Q114" s="10">
        <v>0</v>
      </c>
      <c r="R114" s="3">
        <f>(Таблица1[Размер кредита]-$AA$2)/$AA$3</f>
        <v>1.3966271391758829</v>
      </c>
      <c r="S114" s="3">
        <f>(Таблица1[Кредитный рейтинг]-$AA$7)/($AA$8-$AA$7)</f>
        <v>0.79360852197070575</v>
      </c>
      <c r="T114" s="3">
        <f>(Таблица1[Срок с последнего нарушения кредитного договора (мес,)]-$AA$12)/($AA$13-$AA$12)</f>
        <v>0.40074137090909095</v>
      </c>
      <c r="U114" s="3">
        <f>(Таблица1[Количество кредитных карт]-$AA$18)/($AA$19-$AA$18)</f>
        <v>0.66666666666666663</v>
      </c>
      <c r="V114" s="3">
        <f>(Таблица1[Число нарушений кредитных договоров]-$AA$23)/($AA$24-$AA$23)</f>
        <v>0</v>
      </c>
      <c r="W114" s="3">
        <f>Таблица1[[#This Row],[Годовой доход]]/12</f>
        <v>319485</v>
      </c>
      <c r="X114" s="3">
        <f>Таблица1[[#This Row],[Ежемесячный платеж]]/Таблица1[[#This Row],[Ежем доход]]</f>
        <v>9.5500446030330061E-2</v>
      </c>
      <c r="Y114" s="3"/>
      <c r="Z114" s="3"/>
      <c r="AA114" s="3"/>
      <c r="AB114" s="3"/>
    </row>
    <row r="115" spans="1:28" x14ac:dyDescent="0.2">
      <c r="A115">
        <v>1194</v>
      </c>
      <c r="B115" t="s">
        <v>1233</v>
      </c>
      <c r="C115" t="s">
        <v>18</v>
      </c>
      <c r="D115" t="s">
        <v>19</v>
      </c>
      <c r="E115" t="s">
        <v>24</v>
      </c>
      <c r="F115" t="s">
        <v>21</v>
      </c>
      <c r="G115" t="s">
        <v>25</v>
      </c>
      <c r="H115" s="1">
        <v>605836</v>
      </c>
      <c r="I115" s="3">
        <v>746</v>
      </c>
      <c r="J115" s="3">
        <v>1950863</v>
      </c>
      <c r="K115" s="3">
        <v>39505.18</v>
      </c>
      <c r="L115" s="2">
        <v>14</v>
      </c>
      <c r="M115" s="11">
        <v>35.265240640000002</v>
      </c>
      <c r="N115" s="3">
        <v>10</v>
      </c>
      <c r="O115" s="3">
        <v>972154</v>
      </c>
      <c r="P115" s="3">
        <v>1437612</v>
      </c>
      <c r="Q115" s="10">
        <v>0</v>
      </c>
      <c r="R115" s="3">
        <f>(Таблица1[Размер кредита]-$AA$2)/$AA$3</f>
        <v>1.6865859355614716</v>
      </c>
      <c r="S115" s="3">
        <f>(Таблица1[Кредитный рейтинг]-$AA$7)/($AA$8-$AA$7)</f>
        <v>0.99334221038615178</v>
      </c>
      <c r="T115" s="3">
        <f>(Таблица1[Срок с последнего нарушения кредитного договора (мес,)]-$AA$12)/($AA$13-$AA$12)</f>
        <v>0.40074137090909095</v>
      </c>
      <c r="U115" s="3">
        <f>(Таблица1[Количество кредитных карт]-$AA$18)/($AA$19-$AA$18)</f>
        <v>0.21428571428571427</v>
      </c>
      <c r="V115" s="3">
        <f>(Таблица1[Число нарушений кредитных договоров]-$AA$23)/($AA$24-$AA$23)</f>
        <v>0</v>
      </c>
      <c r="W115" s="3">
        <f>Таблица1[[#This Row],[Годовой доход]]/12</f>
        <v>162571.91666666666</v>
      </c>
      <c r="X115" s="3">
        <f>Таблица1[[#This Row],[Ежемесячный платеж]]/Таблица1[[#This Row],[Ежем доход]]</f>
        <v>0.24300125636705397</v>
      </c>
      <c r="Y115" s="3"/>
      <c r="Z115" s="3"/>
      <c r="AA115" s="3"/>
      <c r="AB115" s="3"/>
    </row>
    <row r="116" spans="1:28" x14ac:dyDescent="0.2">
      <c r="A116">
        <v>1521</v>
      </c>
      <c r="B116" t="s">
        <v>1560</v>
      </c>
      <c r="C116" t="s">
        <v>18</v>
      </c>
      <c r="D116" t="s">
        <v>19</v>
      </c>
      <c r="E116" t="s">
        <v>30</v>
      </c>
      <c r="F116" t="s">
        <v>33</v>
      </c>
      <c r="G116" t="s">
        <v>25</v>
      </c>
      <c r="H116" s="1">
        <v>309594.52439999999</v>
      </c>
      <c r="I116" s="3">
        <v>751</v>
      </c>
      <c r="J116" s="3">
        <v>700758</v>
      </c>
      <c r="K116" s="3">
        <v>14482.37</v>
      </c>
      <c r="L116" s="2">
        <v>25</v>
      </c>
      <c r="M116" s="11">
        <v>35.265240640000002</v>
      </c>
      <c r="N116" s="3">
        <v>13</v>
      </c>
      <c r="O116" s="3">
        <v>259730</v>
      </c>
      <c r="P116" s="3">
        <v>1432090</v>
      </c>
      <c r="Q116" s="10">
        <v>0</v>
      </c>
      <c r="R116" s="3">
        <f>(Таблица1[Размер кредита]-$AA$2)/$AA$3</f>
        <v>-1.2411115481956205E-10</v>
      </c>
      <c r="S116" s="3">
        <f>(Таблица1[Кредитный рейтинг]-$AA$7)/($AA$8-$AA$7)</f>
        <v>1</v>
      </c>
      <c r="T116" s="3">
        <f>(Таблица1[Срок с последнего нарушения кредитного договора (мес,)]-$AA$12)/($AA$13-$AA$12)</f>
        <v>0.40074137090909095</v>
      </c>
      <c r="U116" s="3">
        <f>(Таблица1[Количество кредитных карт]-$AA$18)/($AA$19-$AA$18)</f>
        <v>0.2857142857142857</v>
      </c>
      <c r="V116" s="3">
        <f>(Таблица1[Число нарушений кредитных договоров]-$AA$23)/($AA$24-$AA$23)</f>
        <v>0</v>
      </c>
      <c r="W116" s="3">
        <f>Таблица1[[#This Row],[Годовой доход]]/12</f>
        <v>58396.5</v>
      </c>
      <c r="X116" s="3">
        <f>Таблица1[[#This Row],[Ежемесячный платеж]]/Таблица1[[#This Row],[Ежем доход]]</f>
        <v>0.24800065072393038</v>
      </c>
      <c r="Y116" s="3"/>
      <c r="Z116" s="3"/>
      <c r="AA116" s="3"/>
      <c r="AB116" s="3"/>
    </row>
    <row r="117" spans="1:28" x14ac:dyDescent="0.2">
      <c r="A117">
        <v>767</v>
      </c>
      <c r="B117" s="4" t="s">
        <v>808</v>
      </c>
      <c r="C117" t="s">
        <v>18</v>
      </c>
      <c r="D117" t="s">
        <v>29</v>
      </c>
      <c r="E117" t="s">
        <v>24</v>
      </c>
      <c r="F117" t="s">
        <v>21</v>
      </c>
      <c r="G117" t="s">
        <v>75</v>
      </c>
      <c r="H117" s="1">
        <v>54824</v>
      </c>
      <c r="I117" s="3">
        <v>747</v>
      </c>
      <c r="J117" s="3">
        <v>830813</v>
      </c>
      <c r="K117" s="3">
        <v>5130.38</v>
      </c>
      <c r="L117" s="2">
        <v>24.2</v>
      </c>
      <c r="M117" s="11">
        <v>35.265240640000002</v>
      </c>
      <c r="N117" s="3">
        <v>13</v>
      </c>
      <c r="O117" s="3">
        <v>76665</v>
      </c>
      <c r="P117" s="3">
        <v>1431650</v>
      </c>
      <c r="Q117" s="10">
        <v>0</v>
      </c>
      <c r="R117" s="3">
        <f>(Таблица1[Размер кредита]-$AA$2)/$AA$3</f>
        <v>-1.45048016131691</v>
      </c>
      <c r="S117" s="3">
        <f>(Таблица1[Кредитный рейтинг]-$AA$7)/($AA$8-$AA$7)</f>
        <v>0.9946737683089214</v>
      </c>
      <c r="T117" s="3">
        <f>(Таблица1[Срок с последнего нарушения кредитного договора (мес,)]-$AA$12)/($AA$13-$AA$12)</f>
        <v>0.40074137090909095</v>
      </c>
      <c r="U117" s="3">
        <f>(Таблица1[Количество кредитных карт]-$AA$18)/($AA$19-$AA$18)</f>
        <v>0.2857142857142857</v>
      </c>
      <c r="V117" s="3">
        <f>(Таблица1[Число нарушений кредитных договоров]-$AA$23)/($AA$24-$AA$23)</f>
        <v>0</v>
      </c>
      <c r="W117" s="3">
        <f>Таблица1[[#This Row],[Годовой доход]]/12</f>
        <v>69234.416666666672</v>
      </c>
      <c r="X117" s="3">
        <f>Таблица1[[#This Row],[Ежемесячный платеж]]/Таблица1[[#This Row],[Ежем доход]]</f>
        <v>7.4101584833169434E-2</v>
      </c>
      <c r="Y117" s="3"/>
      <c r="Z117" s="3"/>
      <c r="AA117" s="3"/>
      <c r="AB117" s="3"/>
    </row>
    <row r="118" spans="1:28" x14ac:dyDescent="0.2">
      <c r="A118">
        <v>541</v>
      </c>
      <c r="B118" t="s">
        <v>582</v>
      </c>
      <c r="C118" t="s">
        <v>35</v>
      </c>
      <c r="D118" t="s">
        <v>29</v>
      </c>
      <c r="E118" t="s">
        <v>24</v>
      </c>
      <c r="F118" t="s">
        <v>21</v>
      </c>
      <c r="G118" t="s">
        <v>67</v>
      </c>
      <c r="H118" s="1">
        <v>288354</v>
      </c>
      <c r="I118" s="3">
        <v>618</v>
      </c>
      <c r="J118" s="3">
        <v>2298696</v>
      </c>
      <c r="K118" s="3">
        <v>33331.129999999997</v>
      </c>
      <c r="L118" s="2">
        <v>15.5</v>
      </c>
      <c r="M118" s="11">
        <v>35.265240640000002</v>
      </c>
      <c r="N118" s="3">
        <v>18</v>
      </c>
      <c r="O118" s="3">
        <v>657913</v>
      </c>
      <c r="P118" s="3">
        <v>1429230</v>
      </c>
      <c r="Q118" s="10">
        <v>0</v>
      </c>
      <c r="R118" s="3">
        <f>(Таблица1[Размер кредита]-$AA$2)/$AA$3</f>
        <v>-0.12092827205858447</v>
      </c>
      <c r="S118" s="3">
        <f>(Таблица1[Кредитный рейтинг]-$AA$7)/($AA$8-$AA$7)</f>
        <v>0.82290279627163787</v>
      </c>
      <c r="T118" s="3">
        <f>(Таблица1[Срок с последнего нарушения кредитного договора (мес,)]-$AA$12)/($AA$13-$AA$12)</f>
        <v>0.40074137090909095</v>
      </c>
      <c r="U118" s="3">
        <f>(Таблица1[Количество кредитных карт]-$AA$18)/($AA$19-$AA$18)</f>
        <v>0.40476190476190477</v>
      </c>
      <c r="V118" s="3">
        <f>(Таблица1[Число нарушений кредитных договоров]-$AA$23)/($AA$24-$AA$23)</f>
        <v>0</v>
      </c>
      <c r="W118" s="3">
        <f>Таблица1[[#This Row],[Годовой доход]]/12</f>
        <v>191558</v>
      </c>
      <c r="X118" s="3">
        <f>Таблица1[[#This Row],[Ежемесячный платеж]]/Таблица1[[#This Row],[Ежем доход]]</f>
        <v>0.1740001983733386</v>
      </c>
      <c r="Y118" s="3"/>
      <c r="Z118" s="3"/>
      <c r="AA118" s="3"/>
      <c r="AB118" s="3"/>
    </row>
    <row r="119" spans="1:28" x14ac:dyDescent="0.2">
      <c r="A119">
        <v>324</v>
      </c>
      <c r="B119" t="s">
        <v>366</v>
      </c>
      <c r="C119" t="s">
        <v>18</v>
      </c>
      <c r="D119" t="s">
        <v>19</v>
      </c>
      <c r="E119" t="s">
        <v>20</v>
      </c>
      <c r="F119" t="s">
        <v>21</v>
      </c>
      <c r="G119" t="s">
        <v>67</v>
      </c>
      <c r="H119" s="1">
        <v>154748</v>
      </c>
      <c r="I119" s="3">
        <v>748</v>
      </c>
      <c r="J119" s="3">
        <v>1603657</v>
      </c>
      <c r="K119" s="3">
        <v>8539.5499999999993</v>
      </c>
      <c r="L119" s="2">
        <v>29.2</v>
      </c>
      <c r="M119" s="11">
        <v>35.265240640000002</v>
      </c>
      <c r="N119" s="3">
        <v>11</v>
      </c>
      <c r="O119" s="3">
        <v>9842</v>
      </c>
      <c r="P119" s="3">
        <v>1425820</v>
      </c>
      <c r="Q119" s="10">
        <v>0</v>
      </c>
      <c r="R119" s="3">
        <f>(Таблица1[Размер кредита]-$AA$2)/$AA$3</f>
        <v>-0.88158476037378097</v>
      </c>
      <c r="S119" s="3">
        <f>(Таблица1[Кредитный рейтинг]-$AA$7)/($AA$8-$AA$7)</f>
        <v>0.99600532623169102</v>
      </c>
      <c r="T119" s="3">
        <f>(Таблица1[Срок с последнего нарушения кредитного договора (мес,)]-$AA$12)/($AA$13-$AA$12)</f>
        <v>0.40074137090909095</v>
      </c>
      <c r="U119" s="3">
        <f>(Таблица1[Количество кредитных карт]-$AA$18)/($AA$19-$AA$18)</f>
        <v>0.23809523809523808</v>
      </c>
      <c r="V119" s="3">
        <f>(Таблица1[Число нарушений кредитных договоров]-$AA$23)/($AA$24-$AA$23)</f>
        <v>0</v>
      </c>
      <c r="W119" s="3">
        <f>Таблица1[[#This Row],[Годовой доход]]/12</f>
        <v>133638.08333333334</v>
      </c>
      <c r="X119" s="3">
        <f>Таблица1[[#This Row],[Ежемесячный платеж]]/Таблица1[[#This Row],[Ежем доход]]</f>
        <v>6.3900572254540711E-2</v>
      </c>
      <c r="Y119" s="3"/>
      <c r="Z119" s="3"/>
      <c r="AA119" s="3"/>
      <c r="AB119" s="3"/>
    </row>
    <row r="120" spans="1:28" x14ac:dyDescent="0.2">
      <c r="A120">
        <v>1553</v>
      </c>
      <c r="B120" t="s">
        <v>1592</v>
      </c>
      <c r="C120" t="s">
        <v>18</v>
      </c>
      <c r="D120" t="s">
        <v>29</v>
      </c>
      <c r="E120" t="s">
        <v>24</v>
      </c>
      <c r="F120" t="s">
        <v>21</v>
      </c>
      <c r="G120" t="s">
        <v>25</v>
      </c>
      <c r="H120" s="1">
        <v>643500</v>
      </c>
      <c r="I120" s="3">
        <v>739</v>
      </c>
      <c r="J120" s="3">
        <v>1852500</v>
      </c>
      <c r="K120" s="3">
        <v>20377.5</v>
      </c>
      <c r="L120" s="2">
        <v>22.7</v>
      </c>
      <c r="M120" s="11">
        <v>35.265240640000002</v>
      </c>
      <c r="N120" s="3">
        <v>16</v>
      </c>
      <c r="O120" s="3">
        <v>356193</v>
      </c>
      <c r="P120" s="3">
        <v>1422190</v>
      </c>
      <c r="Q120" s="10">
        <v>0</v>
      </c>
      <c r="R120" s="3">
        <f>(Таблица1[Размер кредита]-$AA$2)/$AA$3</f>
        <v>1.9010176674889567</v>
      </c>
      <c r="S120" s="3">
        <f>(Таблица1[Кредитный рейтинг]-$AA$7)/($AA$8-$AA$7)</f>
        <v>0.98402130492676432</v>
      </c>
      <c r="T120" s="3">
        <f>(Таблица1[Срок с последнего нарушения кредитного договора (мес,)]-$AA$12)/($AA$13-$AA$12)</f>
        <v>0.40074137090909095</v>
      </c>
      <c r="U120" s="3">
        <f>(Таблица1[Количество кредитных карт]-$AA$18)/($AA$19-$AA$18)</f>
        <v>0.35714285714285715</v>
      </c>
      <c r="V120" s="3">
        <f>(Таблица1[Число нарушений кредитных договоров]-$AA$23)/($AA$24-$AA$23)</f>
        <v>0</v>
      </c>
      <c r="W120" s="3">
        <f>Таблица1[[#This Row],[Годовой доход]]/12</f>
        <v>154375</v>
      </c>
      <c r="X120" s="3">
        <f>Таблица1[[#This Row],[Ежемесячный платеж]]/Таблица1[[#This Row],[Ежем доход]]</f>
        <v>0.13200000000000001</v>
      </c>
      <c r="Y120" s="3"/>
      <c r="Z120" s="3"/>
      <c r="AA120" s="3"/>
      <c r="AB120" s="3"/>
    </row>
    <row r="121" spans="1:28" x14ac:dyDescent="0.2">
      <c r="A121">
        <v>1712</v>
      </c>
      <c r="B121" t="s">
        <v>1750</v>
      </c>
      <c r="C121" t="s">
        <v>18</v>
      </c>
      <c r="D121" t="s">
        <v>29</v>
      </c>
      <c r="E121" t="s">
        <v>24</v>
      </c>
      <c r="F121" t="s">
        <v>21</v>
      </c>
      <c r="G121" t="s">
        <v>25</v>
      </c>
      <c r="H121" s="1">
        <v>281644</v>
      </c>
      <c r="I121" s="3">
        <v>0</v>
      </c>
      <c r="J121" s="3">
        <v>1168044</v>
      </c>
      <c r="K121" s="3">
        <v>17788.18</v>
      </c>
      <c r="L121" s="2">
        <v>34.1</v>
      </c>
      <c r="M121" s="11">
        <v>34</v>
      </c>
      <c r="N121" s="3">
        <v>21</v>
      </c>
      <c r="O121" s="3">
        <v>671593</v>
      </c>
      <c r="P121" s="3">
        <v>1419044</v>
      </c>
      <c r="Q121" s="10">
        <v>0</v>
      </c>
      <c r="R121" s="3">
        <f>(Таблица1[Размер кредита]-$AA$2)/$AA$3</f>
        <v>-0.15913018691716094</v>
      </c>
      <c r="S121" s="3">
        <f>(Таблица1[Кредитный рейтинг]-$AA$7)/($AA$8-$AA$7)</f>
        <v>0</v>
      </c>
      <c r="T121" s="3">
        <f>(Таблица1[Срок с последнего нарушения кредитного договора (мес,)]-$AA$12)/($AA$13-$AA$12)</f>
        <v>0.38636363636363635</v>
      </c>
      <c r="U121" s="3">
        <f>(Таблица1[Количество кредитных карт]-$AA$18)/($AA$19-$AA$18)</f>
        <v>0.47619047619047616</v>
      </c>
      <c r="V121" s="3">
        <f>(Таблица1[Число нарушений кредитных договоров]-$AA$23)/($AA$24-$AA$23)</f>
        <v>0</v>
      </c>
      <c r="W121" s="3">
        <f>Таблица1[[#This Row],[Годовой доход]]/12</f>
        <v>97337</v>
      </c>
      <c r="X121" s="3">
        <f>Таблица1[[#This Row],[Ежемесячный платеж]]/Таблица1[[#This Row],[Ежем доход]]</f>
        <v>0.18274838961545969</v>
      </c>
      <c r="Y121" s="3"/>
      <c r="Z121" s="3"/>
      <c r="AA121" s="3"/>
      <c r="AB121" s="3"/>
    </row>
    <row r="122" spans="1:28" x14ac:dyDescent="0.2">
      <c r="A122">
        <v>1185</v>
      </c>
      <c r="B122" t="s">
        <v>1224</v>
      </c>
      <c r="C122" t="s">
        <v>18</v>
      </c>
      <c r="D122" t="s">
        <v>19</v>
      </c>
      <c r="E122" t="s">
        <v>47</v>
      </c>
      <c r="F122" t="s">
        <v>21</v>
      </c>
      <c r="G122" t="s">
        <v>25</v>
      </c>
      <c r="H122" s="1">
        <v>612304</v>
      </c>
      <c r="I122" s="3">
        <v>747</v>
      </c>
      <c r="J122" s="3">
        <v>1794170</v>
      </c>
      <c r="K122" s="3">
        <v>14248.67</v>
      </c>
      <c r="L122" s="2">
        <v>29.9</v>
      </c>
      <c r="M122" s="11">
        <v>24</v>
      </c>
      <c r="N122" s="3">
        <v>9</v>
      </c>
      <c r="O122" s="3">
        <v>510720</v>
      </c>
      <c r="P122" s="3">
        <v>1411344</v>
      </c>
      <c r="Q122" s="10">
        <v>0</v>
      </c>
      <c r="R122" s="3">
        <f>(Таблица1[Размер кредита]-$AA$2)/$AA$3</f>
        <v>1.7234100764415421</v>
      </c>
      <c r="S122" s="3">
        <f>(Таблица1[Кредитный рейтинг]-$AA$7)/($AA$8-$AA$7)</f>
        <v>0.9946737683089214</v>
      </c>
      <c r="T122" s="3">
        <f>(Таблица1[Срок с последнего нарушения кредитного договора (мес,)]-$AA$12)/($AA$13-$AA$12)</f>
        <v>0.27272727272727271</v>
      </c>
      <c r="U122" s="3">
        <f>(Таблица1[Количество кредитных карт]-$AA$18)/($AA$19-$AA$18)</f>
        <v>0.19047619047619047</v>
      </c>
      <c r="V122" s="3">
        <f>(Таблица1[Число нарушений кредитных договоров]-$AA$23)/($AA$24-$AA$23)</f>
        <v>0</v>
      </c>
      <c r="W122" s="3">
        <f>Таблица1[[#This Row],[Годовой доход]]/12</f>
        <v>149514.16666666666</v>
      </c>
      <c r="X122" s="3">
        <f>Таблица1[[#This Row],[Ежемесячный платеж]]/Таблица1[[#This Row],[Ежем доход]]</f>
        <v>9.5299798792756546E-2</v>
      </c>
      <c r="Y122" s="3"/>
      <c r="Z122" s="3"/>
      <c r="AA122" s="3"/>
      <c r="AB122" s="3"/>
    </row>
    <row r="123" spans="1:28" x14ac:dyDescent="0.2">
      <c r="A123">
        <v>1984</v>
      </c>
      <c r="B123" t="s">
        <v>2020</v>
      </c>
      <c r="C123" t="s">
        <v>18</v>
      </c>
      <c r="D123" t="s">
        <v>19</v>
      </c>
      <c r="E123" t="s">
        <v>37</v>
      </c>
      <c r="F123" t="s">
        <v>21</v>
      </c>
      <c r="G123" t="s">
        <v>67</v>
      </c>
      <c r="H123" s="1">
        <v>765314</v>
      </c>
      <c r="I123" s="3">
        <v>740</v>
      </c>
      <c r="J123" s="3">
        <v>4060091</v>
      </c>
      <c r="K123" s="3">
        <v>22161.22</v>
      </c>
      <c r="L123" s="2">
        <v>20.9</v>
      </c>
      <c r="M123" s="11">
        <v>35.265240640000002</v>
      </c>
      <c r="N123" s="3">
        <v>7</v>
      </c>
      <c r="O123" s="3">
        <v>587879</v>
      </c>
      <c r="P123" s="3">
        <v>1409320</v>
      </c>
      <c r="Q123" s="10">
        <v>0</v>
      </c>
      <c r="R123" s="3">
        <f>(Таблица1[Размер кредита]-$AA$2)/$AA$3</f>
        <v>2.59453898739695</v>
      </c>
      <c r="S123" s="3">
        <f>(Таблица1[Кредитный рейтинг]-$AA$7)/($AA$8-$AA$7)</f>
        <v>0.98535286284953394</v>
      </c>
      <c r="T123" s="3">
        <f>(Таблица1[Срок с последнего нарушения кредитного договора (мес,)]-$AA$12)/($AA$13-$AA$12)</f>
        <v>0.40074137090909095</v>
      </c>
      <c r="U123" s="3">
        <f>(Таблица1[Количество кредитных карт]-$AA$18)/($AA$19-$AA$18)</f>
        <v>0.14285714285714285</v>
      </c>
      <c r="V123" s="3">
        <f>(Таблица1[Число нарушений кредитных договоров]-$AA$23)/($AA$24-$AA$23)</f>
        <v>0</v>
      </c>
      <c r="W123" s="3">
        <f>Таблица1[[#This Row],[Годовой доход]]/12</f>
        <v>338340.91666666669</v>
      </c>
      <c r="X123" s="3">
        <f>Таблица1[[#This Row],[Ежемесячный платеж]]/Таблица1[[#This Row],[Ежем доход]]</f>
        <v>6.5499674760984422E-2</v>
      </c>
      <c r="Y123" s="3"/>
      <c r="Z123" s="3"/>
      <c r="AA123" s="3"/>
      <c r="AB123" s="3"/>
    </row>
    <row r="124" spans="1:28" x14ac:dyDescent="0.2">
      <c r="A124">
        <v>1070</v>
      </c>
      <c r="B124" t="s">
        <v>1109</v>
      </c>
      <c r="C124" t="s">
        <v>35</v>
      </c>
      <c r="D124" t="s">
        <v>19</v>
      </c>
      <c r="E124" t="s">
        <v>24</v>
      </c>
      <c r="F124" t="s">
        <v>21</v>
      </c>
      <c r="G124" t="s">
        <v>25</v>
      </c>
      <c r="H124" s="1">
        <v>217734</v>
      </c>
      <c r="I124" s="3">
        <v>731</v>
      </c>
      <c r="J124" s="3">
        <v>1222289</v>
      </c>
      <c r="K124" s="3">
        <v>25158.66</v>
      </c>
      <c r="L124" s="2">
        <v>33.4</v>
      </c>
      <c r="M124" s="11">
        <v>5</v>
      </c>
      <c r="N124" s="3">
        <v>13</v>
      </c>
      <c r="O124" s="3">
        <v>533691</v>
      </c>
      <c r="P124" s="3">
        <v>1407626</v>
      </c>
      <c r="Q124" s="10">
        <v>0</v>
      </c>
      <c r="R124" s="3">
        <f>(Таблица1[Размер кредита]-$AA$2)/$AA$3</f>
        <v>-0.52298776942261882</v>
      </c>
      <c r="S124" s="3">
        <f>(Таблица1[Кредитный рейтинг]-$AA$7)/($AA$8-$AA$7)</f>
        <v>0.97336884154460723</v>
      </c>
      <c r="T124" s="3">
        <f>(Таблица1[Срок с последнего нарушения кредитного договора (мес,)]-$AA$12)/($AA$13-$AA$12)</f>
        <v>5.6818181818181816E-2</v>
      </c>
      <c r="U124" s="3">
        <f>(Таблица1[Количество кредитных карт]-$AA$18)/($AA$19-$AA$18)</f>
        <v>0.2857142857142857</v>
      </c>
      <c r="V124" s="3">
        <f>(Таблица1[Число нарушений кредитных договоров]-$AA$23)/($AA$24-$AA$23)</f>
        <v>0</v>
      </c>
      <c r="W124" s="3">
        <f>Таблица1[[#This Row],[Годовой доход]]/12</f>
        <v>101857.41666666667</v>
      </c>
      <c r="X124" s="3">
        <f>Таблица1[[#This Row],[Ежемесячный платеж]]/Таблица1[[#This Row],[Ежем доход]]</f>
        <v>0.24699880306539615</v>
      </c>
      <c r="Y124" s="3"/>
      <c r="Z124" s="3"/>
      <c r="AA124" s="3"/>
      <c r="AB124" s="3"/>
    </row>
    <row r="125" spans="1:28" x14ac:dyDescent="0.2">
      <c r="A125">
        <v>1270</v>
      </c>
      <c r="B125" t="s">
        <v>1309</v>
      </c>
      <c r="C125" t="s">
        <v>35</v>
      </c>
      <c r="D125" t="s">
        <v>29</v>
      </c>
      <c r="E125" t="s">
        <v>24</v>
      </c>
      <c r="F125" t="s">
        <v>33</v>
      </c>
      <c r="G125" t="s">
        <v>67</v>
      </c>
      <c r="H125" s="1">
        <v>325248</v>
      </c>
      <c r="I125" s="3">
        <v>0</v>
      </c>
      <c r="J125" s="3">
        <v>1168044</v>
      </c>
      <c r="K125" s="3">
        <v>14561.98</v>
      </c>
      <c r="L125" s="2">
        <v>26.9</v>
      </c>
      <c r="M125" s="11">
        <v>53</v>
      </c>
      <c r="N125" s="3">
        <v>23</v>
      </c>
      <c r="O125" s="3">
        <v>452219</v>
      </c>
      <c r="P125" s="3">
        <v>1407604</v>
      </c>
      <c r="Q125" s="10">
        <v>0</v>
      </c>
      <c r="R125" s="3">
        <f>(Таблица1[Размер кредита]-$AA$2)/$AA$3</f>
        <v>8.9119633573654045E-2</v>
      </c>
      <c r="S125" s="3">
        <f>(Таблица1[Кредитный рейтинг]-$AA$7)/($AA$8-$AA$7)</f>
        <v>0</v>
      </c>
      <c r="T125" s="3">
        <f>(Таблица1[Срок с последнего нарушения кредитного договора (мес,)]-$AA$12)/($AA$13-$AA$12)</f>
        <v>0.60227272727272729</v>
      </c>
      <c r="U125" s="3">
        <f>(Таблица1[Количество кредитных карт]-$AA$18)/($AA$19-$AA$18)</f>
        <v>0.52380952380952384</v>
      </c>
      <c r="V125" s="3">
        <f>(Таблица1[Число нарушений кредитных договоров]-$AA$23)/($AA$24-$AA$23)</f>
        <v>0</v>
      </c>
      <c r="W125" s="3">
        <f>Таблица1[[#This Row],[Годовой доход]]/12</f>
        <v>97337</v>
      </c>
      <c r="X125" s="3">
        <f>Таблица1[[#This Row],[Ежемесячный платеж]]/Таблица1[[#This Row],[Ежем доход]]</f>
        <v>0.14960374780402108</v>
      </c>
      <c r="Y125" s="3"/>
      <c r="Z125" s="3"/>
      <c r="AA125" s="3"/>
      <c r="AB125" s="3"/>
    </row>
    <row r="126" spans="1:28" x14ac:dyDescent="0.2">
      <c r="A126">
        <v>1144</v>
      </c>
      <c r="B126" t="s">
        <v>1183</v>
      </c>
      <c r="C126" t="s">
        <v>18</v>
      </c>
      <c r="D126" t="s">
        <v>29</v>
      </c>
      <c r="E126" t="s">
        <v>50</v>
      </c>
      <c r="F126" t="s">
        <v>21</v>
      </c>
      <c r="G126" t="s">
        <v>25</v>
      </c>
      <c r="H126" s="1">
        <v>262922</v>
      </c>
      <c r="I126" s="3">
        <v>714</v>
      </c>
      <c r="J126" s="3">
        <v>2895087</v>
      </c>
      <c r="K126" s="3">
        <v>44632.52</v>
      </c>
      <c r="L126" s="2">
        <v>23.9</v>
      </c>
      <c r="M126" s="11">
        <v>19</v>
      </c>
      <c r="N126" s="3">
        <v>27</v>
      </c>
      <c r="O126" s="3">
        <v>521835</v>
      </c>
      <c r="P126" s="3">
        <v>1405184</v>
      </c>
      <c r="Q126" s="10">
        <v>0</v>
      </c>
      <c r="R126" s="3">
        <f>(Таблица1[Размер кредита]-$AA$2)/$AA$3</f>
        <v>-0.26571979198158252</v>
      </c>
      <c r="S126" s="3">
        <f>(Таблица1[Кредитный рейтинг]-$AA$7)/($AA$8-$AA$7)</f>
        <v>0.95073235685752333</v>
      </c>
      <c r="T126" s="3">
        <f>(Таблица1[Срок с последнего нарушения кредитного договора (мес,)]-$AA$12)/($AA$13-$AA$12)</f>
        <v>0.21590909090909091</v>
      </c>
      <c r="U126" s="3">
        <f>(Таблица1[Количество кредитных карт]-$AA$18)/($AA$19-$AA$18)</f>
        <v>0.61904761904761907</v>
      </c>
      <c r="V126" s="3">
        <f>(Таблица1[Число нарушений кредитных договоров]-$AA$23)/($AA$24-$AA$23)</f>
        <v>0</v>
      </c>
      <c r="W126" s="3">
        <f>Таблица1[[#This Row],[Годовой доход]]/12</f>
        <v>241257.25</v>
      </c>
      <c r="X126" s="3">
        <f>Таблица1[[#This Row],[Ежемесячный платеж]]/Таблица1[[#This Row],[Ежем доход]]</f>
        <v>0.18499970467208757</v>
      </c>
      <c r="Y126" s="3"/>
      <c r="Z126" s="3"/>
      <c r="AA126" s="3"/>
      <c r="AB126" s="3"/>
    </row>
    <row r="127" spans="1:28" x14ac:dyDescent="0.2">
      <c r="A127">
        <v>1377</v>
      </c>
      <c r="B127" t="s">
        <v>1416</v>
      </c>
      <c r="C127" t="s">
        <v>18</v>
      </c>
      <c r="D127" t="s">
        <v>29</v>
      </c>
      <c r="E127" t="s">
        <v>50</v>
      </c>
      <c r="F127" t="s">
        <v>33</v>
      </c>
      <c r="G127" t="s">
        <v>25</v>
      </c>
      <c r="H127" s="1">
        <v>309594.52439999999</v>
      </c>
      <c r="I127" s="3">
        <v>676</v>
      </c>
      <c r="J127" s="3">
        <v>2042766</v>
      </c>
      <c r="K127" s="3">
        <v>32513.94</v>
      </c>
      <c r="L127" s="2">
        <v>24</v>
      </c>
      <c r="M127" s="11">
        <v>31</v>
      </c>
      <c r="N127" s="3">
        <v>20</v>
      </c>
      <c r="O127" s="3">
        <v>856330</v>
      </c>
      <c r="P127" s="3">
        <v>1404436</v>
      </c>
      <c r="Q127" s="10">
        <v>0</v>
      </c>
      <c r="R127" s="3">
        <f>(Таблица1[Размер кредита]-$AA$2)/$AA$3</f>
        <v>-1.2411115481956205E-10</v>
      </c>
      <c r="S127" s="3">
        <f>(Таблица1[Кредитный рейтинг]-$AA$7)/($AA$8-$AA$7)</f>
        <v>0.90013315579227693</v>
      </c>
      <c r="T127" s="3">
        <f>(Таблица1[Срок с последнего нарушения кредитного договора (мес,)]-$AA$12)/($AA$13-$AA$12)</f>
        <v>0.35227272727272729</v>
      </c>
      <c r="U127" s="3">
        <f>(Таблица1[Количество кредитных карт]-$AA$18)/($AA$19-$AA$18)</f>
        <v>0.45238095238095238</v>
      </c>
      <c r="V127" s="3">
        <f>(Таблица1[Число нарушений кредитных договоров]-$AA$23)/($AA$24-$AA$23)</f>
        <v>0</v>
      </c>
      <c r="W127" s="3">
        <f>Таблица1[[#This Row],[Годовой доход]]/12</f>
        <v>170230.5</v>
      </c>
      <c r="X127" s="3">
        <f>Таблица1[[#This Row],[Ежемесячный платеж]]/Таблица1[[#This Row],[Ежем доход]]</f>
        <v>0.19099949773982922</v>
      </c>
      <c r="Y127" s="3"/>
      <c r="Z127" s="3"/>
      <c r="AA127" s="3"/>
      <c r="AB127" s="3"/>
    </row>
    <row r="128" spans="1:28" x14ac:dyDescent="0.2">
      <c r="A128">
        <v>484</v>
      </c>
      <c r="B128" t="s">
        <v>525</v>
      </c>
      <c r="C128" t="s">
        <v>18</v>
      </c>
      <c r="D128" t="s">
        <v>29</v>
      </c>
      <c r="E128" t="s">
        <v>32</v>
      </c>
      <c r="F128" t="s">
        <v>21</v>
      </c>
      <c r="G128" t="s">
        <v>67</v>
      </c>
      <c r="H128" s="1">
        <v>455906</v>
      </c>
      <c r="I128" s="3">
        <v>727</v>
      </c>
      <c r="J128" s="3">
        <v>3562348</v>
      </c>
      <c r="K128" s="3">
        <v>49576.13</v>
      </c>
      <c r="L128" s="2">
        <v>19.399999999999999</v>
      </c>
      <c r="M128" s="11">
        <v>35.265240640000002</v>
      </c>
      <c r="N128" s="3">
        <v>14</v>
      </c>
      <c r="O128" s="3">
        <v>974415</v>
      </c>
      <c r="P128" s="3">
        <v>1399838</v>
      </c>
      <c r="Q128" s="10">
        <v>1</v>
      </c>
      <c r="R128" s="3">
        <f>(Таблица1[Размер кредита]-$AA$2)/$AA$3</f>
        <v>0.83299232978704973</v>
      </c>
      <c r="S128" s="3">
        <f>(Таблица1[Кредитный рейтинг]-$AA$7)/($AA$8-$AA$7)</f>
        <v>0.96804260985352863</v>
      </c>
      <c r="T128" s="3">
        <f>(Таблица1[Срок с последнего нарушения кредитного договора (мес,)]-$AA$12)/($AA$13-$AA$12)</f>
        <v>0.40074137090909095</v>
      </c>
      <c r="U128" s="3">
        <f>(Таблица1[Количество кредитных карт]-$AA$18)/($AA$19-$AA$18)</f>
        <v>0.30952380952380953</v>
      </c>
      <c r="V128" s="3">
        <f>(Таблица1[Число нарушений кредитных договоров]-$AA$23)/($AA$24-$AA$23)</f>
        <v>0.14285714285714285</v>
      </c>
      <c r="W128" s="3">
        <f>Таблица1[[#This Row],[Годовой доход]]/12</f>
        <v>296862.33333333331</v>
      </c>
      <c r="X128" s="3">
        <f>Таблица1[[#This Row],[Ежемесячный платеж]]/Таблица1[[#This Row],[Ежем доход]]</f>
        <v>0.16700040535062829</v>
      </c>
      <c r="Y128" s="3"/>
      <c r="Z128" s="3"/>
      <c r="AA128" s="3"/>
      <c r="AB128" s="3"/>
    </row>
    <row r="129" spans="1:28" x14ac:dyDescent="0.2">
      <c r="A129">
        <v>1816</v>
      </c>
      <c r="B129" t="s">
        <v>1854</v>
      </c>
      <c r="C129" t="s">
        <v>18</v>
      </c>
      <c r="D129" t="s">
        <v>29</v>
      </c>
      <c r="E129" t="s">
        <v>24</v>
      </c>
      <c r="F129" t="s">
        <v>27</v>
      </c>
      <c r="G129" t="s">
        <v>25</v>
      </c>
      <c r="H129" s="1">
        <v>563530</v>
      </c>
      <c r="I129" s="3">
        <v>738</v>
      </c>
      <c r="J129" s="3">
        <v>2316613</v>
      </c>
      <c r="K129" s="3">
        <v>26641.23</v>
      </c>
      <c r="L129" s="2">
        <v>22</v>
      </c>
      <c r="M129" s="11">
        <v>35.265240640000002</v>
      </c>
      <c r="N129" s="3">
        <v>9</v>
      </c>
      <c r="O129" s="3">
        <v>514634</v>
      </c>
      <c r="P129" s="3">
        <v>1398826</v>
      </c>
      <c r="Q129" s="10">
        <v>0</v>
      </c>
      <c r="R129" s="3">
        <f>(Таблица1[Размер кредита]-$AA$2)/$AA$3</f>
        <v>1.4457259936826437</v>
      </c>
      <c r="S129" s="3">
        <f>(Таблица1[Кредитный рейтинг]-$AA$7)/($AA$8-$AA$7)</f>
        <v>0.9826897470039947</v>
      </c>
      <c r="T129" s="3">
        <f>(Таблица1[Срок с последнего нарушения кредитного договора (мес,)]-$AA$12)/($AA$13-$AA$12)</f>
        <v>0.40074137090909095</v>
      </c>
      <c r="U129" s="3">
        <f>(Таблица1[Количество кредитных карт]-$AA$18)/($AA$19-$AA$18)</f>
        <v>0.19047619047619047</v>
      </c>
      <c r="V129" s="3">
        <f>(Таблица1[Число нарушений кредитных договоров]-$AA$23)/($AA$24-$AA$23)</f>
        <v>0</v>
      </c>
      <c r="W129" s="3">
        <f>Таблица1[[#This Row],[Годовой доход]]/12</f>
        <v>193051.08333333334</v>
      </c>
      <c r="X129" s="3">
        <f>Таблица1[[#This Row],[Ежемесячный платеж]]/Таблица1[[#This Row],[Ежем доход]]</f>
        <v>0.13800093498568816</v>
      </c>
      <c r="Y129" s="3"/>
      <c r="Z129" s="3"/>
      <c r="AA129" s="3"/>
      <c r="AB129" s="3"/>
    </row>
    <row r="130" spans="1:28" x14ac:dyDescent="0.2">
      <c r="A130">
        <v>91</v>
      </c>
      <c r="B130" t="s">
        <v>133</v>
      </c>
      <c r="C130" t="s">
        <v>18</v>
      </c>
      <c r="D130" t="s">
        <v>19</v>
      </c>
      <c r="E130" t="s">
        <v>24</v>
      </c>
      <c r="F130" t="s">
        <v>33</v>
      </c>
      <c r="G130" t="s">
        <v>25</v>
      </c>
      <c r="H130" s="1">
        <v>479358</v>
      </c>
      <c r="I130" s="3">
        <v>0</v>
      </c>
      <c r="J130" s="3">
        <v>1168044</v>
      </c>
      <c r="K130" s="3">
        <v>22659.59</v>
      </c>
      <c r="L130" s="2">
        <v>22.4</v>
      </c>
      <c r="M130" s="11">
        <v>41</v>
      </c>
      <c r="N130" s="3">
        <v>13</v>
      </c>
      <c r="O130" s="3">
        <v>807462</v>
      </c>
      <c r="P130" s="3">
        <v>1391302</v>
      </c>
      <c r="Q130" s="10">
        <v>0</v>
      </c>
      <c r="R130" s="3">
        <f>(Таблица1[Размер кредита]-$AA$2)/$AA$3</f>
        <v>0.96651115352227113</v>
      </c>
      <c r="S130" s="3">
        <f>(Таблица1[Кредитный рейтинг]-$AA$7)/($AA$8-$AA$7)</f>
        <v>0</v>
      </c>
      <c r="T130" s="3">
        <f>(Таблица1[Срок с последнего нарушения кредитного договора (мес,)]-$AA$12)/($AA$13-$AA$12)</f>
        <v>0.46590909090909088</v>
      </c>
      <c r="U130" s="3">
        <f>(Таблица1[Количество кредитных карт]-$AA$18)/($AA$19-$AA$18)</f>
        <v>0.2857142857142857</v>
      </c>
      <c r="V130" s="3">
        <f>(Таблица1[Число нарушений кредитных договоров]-$AA$23)/($AA$24-$AA$23)</f>
        <v>0</v>
      </c>
      <c r="W130" s="3">
        <f>Таблица1[[#This Row],[Годовой доход]]/12</f>
        <v>97337</v>
      </c>
      <c r="X130" s="3">
        <f>Таблица1[[#This Row],[Ежемесячный платеж]]/Таблица1[[#This Row],[Ежем доход]]</f>
        <v>0.2327952371657232</v>
      </c>
      <c r="Y130" s="3"/>
      <c r="Z130" s="3"/>
      <c r="AA130" s="3"/>
      <c r="AB130" s="3"/>
    </row>
    <row r="131" spans="1:28" x14ac:dyDescent="0.2">
      <c r="A131">
        <v>1812</v>
      </c>
      <c r="B131" t="s">
        <v>1850</v>
      </c>
      <c r="C131" t="s">
        <v>18</v>
      </c>
      <c r="D131" t="s">
        <v>29</v>
      </c>
      <c r="E131" t="s">
        <v>52</v>
      </c>
      <c r="F131" t="s">
        <v>33</v>
      </c>
      <c r="G131" t="s">
        <v>25</v>
      </c>
      <c r="H131" s="1">
        <v>249194</v>
      </c>
      <c r="I131" s="3">
        <v>738</v>
      </c>
      <c r="J131" s="3">
        <v>1056818</v>
      </c>
      <c r="K131" s="3">
        <v>23249.73</v>
      </c>
      <c r="L131" s="2">
        <v>15.8</v>
      </c>
      <c r="M131" s="11">
        <v>35.265240640000002</v>
      </c>
      <c r="N131" s="3">
        <v>15</v>
      </c>
      <c r="O131" s="3">
        <v>587556</v>
      </c>
      <c r="P131" s="3">
        <v>1391258</v>
      </c>
      <c r="Q131" s="10">
        <v>0</v>
      </c>
      <c r="R131" s="3">
        <f>(Таблица1[Размер кредита]-$AA$2)/$AA$3</f>
        <v>-0.34387715221683407</v>
      </c>
      <c r="S131" s="3">
        <f>(Таблица1[Кредитный рейтинг]-$AA$7)/($AA$8-$AA$7)</f>
        <v>0.9826897470039947</v>
      </c>
      <c r="T131" s="3">
        <f>(Таблица1[Срок с последнего нарушения кредитного договора (мес,)]-$AA$12)/($AA$13-$AA$12)</f>
        <v>0.40074137090909095</v>
      </c>
      <c r="U131" s="3">
        <f>(Таблица1[Количество кредитных карт]-$AA$18)/($AA$19-$AA$18)</f>
        <v>0.33333333333333331</v>
      </c>
      <c r="V131" s="3">
        <f>(Таблица1[Число нарушений кредитных договоров]-$AA$23)/($AA$24-$AA$23)</f>
        <v>0</v>
      </c>
      <c r="W131" s="3">
        <f>Таблица1[[#This Row],[Годовой доход]]/12</f>
        <v>88068.166666666672</v>
      </c>
      <c r="X131" s="3">
        <f>Таблица1[[#This Row],[Ежемесячный платеж]]/Таблица1[[#This Row],[Ежем доход]]</f>
        <v>0.26399697961238355</v>
      </c>
      <c r="Y131" s="3"/>
      <c r="Z131" s="3"/>
      <c r="AA131" s="3"/>
      <c r="AB131" s="3"/>
    </row>
    <row r="132" spans="1:28" x14ac:dyDescent="0.2">
      <c r="A132">
        <v>312</v>
      </c>
      <c r="B132" t="s">
        <v>354</v>
      </c>
      <c r="C132" t="s">
        <v>18</v>
      </c>
      <c r="D132" t="s">
        <v>19</v>
      </c>
      <c r="E132" t="s">
        <v>52</v>
      </c>
      <c r="F132" t="s">
        <v>21</v>
      </c>
      <c r="G132" t="s">
        <v>67</v>
      </c>
      <c r="H132" s="1">
        <v>753368</v>
      </c>
      <c r="I132" s="3">
        <v>0</v>
      </c>
      <c r="J132" s="3">
        <v>1168044</v>
      </c>
      <c r="K132" s="3">
        <v>75878.02</v>
      </c>
      <c r="L132" s="2">
        <v>43.3</v>
      </c>
      <c r="M132" s="11">
        <v>35.265240640000002</v>
      </c>
      <c r="N132" s="3">
        <v>19</v>
      </c>
      <c r="O132" s="3">
        <v>834784</v>
      </c>
      <c r="P132" s="3">
        <v>1378872</v>
      </c>
      <c r="Q132" s="10">
        <v>0</v>
      </c>
      <c r="R132" s="3">
        <f>(Таблица1[Размер кредита]-$AA$2)/$AA$3</f>
        <v>2.5265270537306974</v>
      </c>
      <c r="S132" s="3">
        <f>(Таблица1[Кредитный рейтинг]-$AA$7)/($AA$8-$AA$7)</f>
        <v>0</v>
      </c>
      <c r="T132" s="3">
        <f>(Таблица1[Срок с последнего нарушения кредитного договора (мес,)]-$AA$12)/($AA$13-$AA$12)</f>
        <v>0.40074137090909095</v>
      </c>
      <c r="U132" s="3">
        <f>(Таблица1[Количество кредитных карт]-$AA$18)/($AA$19-$AA$18)</f>
        <v>0.42857142857142855</v>
      </c>
      <c r="V132" s="3">
        <f>(Таблица1[Число нарушений кредитных договоров]-$AA$23)/($AA$24-$AA$23)</f>
        <v>0</v>
      </c>
      <c r="W132" s="3">
        <f>Таблица1[[#This Row],[Годовой доход]]/12</f>
        <v>97337</v>
      </c>
      <c r="X132" s="3">
        <f>Таблица1[[#This Row],[Ежемесячный платеж]]/Таблица1[[#This Row],[Ежем доход]]</f>
        <v>0.7795393324224088</v>
      </c>
      <c r="Y132" s="3"/>
      <c r="Z132" s="3"/>
      <c r="AA132" s="3"/>
      <c r="AB132" s="3"/>
    </row>
    <row r="133" spans="1:28" x14ac:dyDescent="0.2">
      <c r="A133">
        <v>1050</v>
      </c>
      <c r="B133" t="s">
        <v>1089</v>
      </c>
      <c r="C133" t="s">
        <v>18</v>
      </c>
      <c r="D133" t="s">
        <v>19</v>
      </c>
      <c r="E133" t="s">
        <v>24</v>
      </c>
      <c r="F133" t="s">
        <v>21</v>
      </c>
      <c r="G133" t="s">
        <v>22</v>
      </c>
      <c r="H133" s="1">
        <v>667062</v>
      </c>
      <c r="I133" s="3">
        <v>725</v>
      </c>
      <c r="J133" s="3">
        <v>1843513</v>
      </c>
      <c r="K133" s="3">
        <v>31800.68</v>
      </c>
      <c r="L133" s="2">
        <v>18.5</v>
      </c>
      <c r="M133" s="11">
        <v>35.265240640000002</v>
      </c>
      <c r="N133" s="3">
        <v>17</v>
      </c>
      <c r="O133" s="3">
        <v>148200</v>
      </c>
      <c r="P133" s="3">
        <v>1372734</v>
      </c>
      <c r="Q133" s="10">
        <v>0</v>
      </c>
      <c r="R133" s="3">
        <f>(Таблица1[Размер кредита]-$AA$2)/$AA$3</f>
        <v>2.0351627521234987</v>
      </c>
      <c r="S133" s="3">
        <f>(Таблица1[Кредитный рейтинг]-$AA$7)/($AA$8-$AA$7)</f>
        <v>0.96537949400798939</v>
      </c>
      <c r="T133" s="3">
        <f>(Таблица1[Срок с последнего нарушения кредитного договора (мес,)]-$AA$12)/($AA$13-$AA$12)</f>
        <v>0.40074137090909095</v>
      </c>
      <c r="U133" s="3">
        <f>(Таблица1[Количество кредитных карт]-$AA$18)/($AA$19-$AA$18)</f>
        <v>0.38095238095238093</v>
      </c>
      <c r="V133" s="3">
        <f>(Таблица1[Число нарушений кредитных договоров]-$AA$23)/($AA$24-$AA$23)</f>
        <v>0</v>
      </c>
      <c r="W133" s="3">
        <f>Таблица1[[#This Row],[Годовой доход]]/12</f>
        <v>153626.08333333334</v>
      </c>
      <c r="X133" s="3">
        <f>Таблица1[[#This Row],[Ежемесячный платеж]]/Таблица1[[#This Row],[Ежем доход]]</f>
        <v>0.20700052562688734</v>
      </c>
      <c r="Y133" s="3"/>
      <c r="Z133" s="3"/>
      <c r="AA133" s="3"/>
      <c r="AB133" s="3"/>
    </row>
    <row r="134" spans="1:28" x14ac:dyDescent="0.2">
      <c r="A134">
        <v>1443</v>
      </c>
      <c r="B134" t="s">
        <v>1482</v>
      </c>
      <c r="C134" t="s">
        <v>18</v>
      </c>
      <c r="D134" t="s">
        <v>19</v>
      </c>
      <c r="E134" t="s">
        <v>37</v>
      </c>
      <c r="F134" t="s">
        <v>27</v>
      </c>
      <c r="G134" t="s">
        <v>25</v>
      </c>
      <c r="H134" s="1">
        <v>729542</v>
      </c>
      <c r="I134" s="3">
        <v>734</v>
      </c>
      <c r="J134" s="3">
        <v>2044438</v>
      </c>
      <c r="K134" s="3">
        <v>57414.77</v>
      </c>
      <c r="L134" s="2">
        <v>10</v>
      </c>
      <c r="M134" s="11">
        <v>35.265240640000002</v>
      </c>
      <c r="N134" s="3">
        <v>12</v>
      </c>
      <c r="O134" s="3">
        <v>811243</v>
      </c>
      <c r="P134" s="3">
        <v>1369302</v>
      </c>
      <c r="Q134" s="10">
        <v>0</v>
      </c>
      <c r="R134" s="3">
        <f>(Таблица1[Размер кредита]-$AA$2)/$AA$3</f>
        <v>2.390878942937785</v>
      </c>
      <c r="S134" s="3">
        <f>(Таблица1[Кредитный рейтинг]-$AA$7)/($AA$8-$AA$7)</f>
        <v>0.9773635153129161</v>
      </c>
      <c r="T134" s="3">
        <f>(Таблица1[Срок с последнего нарушения кредитного договора (мес,)]-$AA$12)/($AA$13-$AA$12)</f>
        <v>0.40074137090909095</v>
      </c>
      <c r="U134" s="3">
        <f>(Таблица1[Количество кредитных карт]-$AA$18)/($AA$19-$AA$18)</f>
        <v>0.26190476190476192</v>
      </c>
      <c r="V134" s="3">
        <f>(Таблица1[Число нарушений кредитных договоров]-$AA$23)/($AA$24-$AA$23)</f>
        <v>0</v>
      </c>
      <c r="W134" s="3">
        <f>Таблица1[[#This Row],[Годовой доход]]/12</f>
        <v>170369.83333333334</v>
      </c>
      <c r="X134" s="3">
        <f>Таблица1[[#This Row],[Ежемесячный платеж]]/Таблица1[[#This Row],[Ежем доход]]</f>
        <v>0.33700079924164972</v>
      </c>
      <c r="Y134" s="3"/>
      <c r="Z134" s="3"/>
      <c r="AA134" s="3"/>
      <c r="AB134" s="3"/>
    </row>
    <row r="135" spans="1:28" x14ac:dyDescent="0.2">
      <c r="A135">
        <v>277</v>
      </c>
      <c r="B135" t="s">
        <v>319</v>
      </c>
      <c r="C135" t="s">
        <v>35</v>
      </c>
      <c r="D135" t="s">
        <v>19</v>
      </c>
      <c r="E135" t="s">
        <v>41</v>
      </c>
      <c r="F135" t="s">
        <v>27</v>
      </c>
      <c r="G135" t="s">
        <v>22</v>
      </c>
      <c r="H135" s="1">
        <v>334356</v>
      </c>
      <c r="I135" s="3">
        <v>749</v>
      </c>
      <c r="J135" s="3">
        <v>1636318</v>
      </c>
      <c r="K135" s="3">
        <v>25635.75</v>
      </c>
      <c r="L135" s="2">
        <v>11.7</v>
      </c>
      <c r="M135" s="11">
        <v>35.265240640000002</v>
      </c>
      <c r="N135" s="3">
        <v>15</v>
      </c>
      <c r="O135" s="3">
        <v>271928</v>
      </c>
      <c r="P135" s="3">
        <v>1363098</v>
      </c>
      <c r="Q135" s="10">
        <v>0</v>
      </c>
      <c r="R135" s="3">
        <f>(Таблица1[Размер кредита]-$AA$2)/$AA$3</f>
        <v>0.1409740360374267</v>
      </c>
      <c r="S135" s="3">
        <f>(Таблица1[Кредитный рейтинг]-$AA$7)/($AA$8-$AA$7)</f>
        <v>0.99733688415446076</v>
      </c>
      <c r="T135" s="3">
        <f>(Таблица1[Срок с последнего нарушения кредитного договора (мес,)]-$AA$12)/($AA$13-$AA$12)</f>
        <v>0.40074137090909095</v>
      </c>
      <c r="U135" s="3">
        <f>(Таблица1[Количество кредитных карт]-$AA$18)/($AA$19-$AA$18)</f>
        <v>0.33333333333333331</v>
      </c>
      <c r="V135" s="3">
        <f>(Таблица1[Число нарушений кредитных договоров]-$AA$23)/($AA$24-$AA$23)</f>
        <v>0</v>
      </c>
      <c r="W135" s="3">
        <f>Таблица1[[#This Row],[Годовой доход]]/12</f>
        <v>136359.83333333334</v>
      </c>
      <c r="X135" s="3">
        <f>Таблица1[[#This Row],[Ежемесячный платеж]]/Таблица1[[#This Row],[Ежем доход]]</f>
        <v>0.18800074313183621</v>
      </c>
      <c r="Y135" s="3"/>
      <c r="Z135" s="3"/>
      <c r="AA135" s="3"/>
      <c r="AB135" s="3"/>
    </row>
    <row r="136" spans="1:28" x14ac:dyDescent="0.2">
      <c r="A136">
        <v>1518</v>
      </c>
      <c r="B136" t="s">
        <v>1557</v>
      </c>
      <c r="C136" t="s">
        <v>35</v>
      </c>
      <c r="D136" t="s">
        <v>19</v>
      </c>
      <c r="E136" t="s">
        <v>24</v>
      </c>
      <c r="F136" t="s">
        <v>33</v>
      </c>
      <c r="G136" t="s">
        <v>25</v>
      </c>
      <c r="H136" s="1">
        <v>431948</v>
      </c>
      <c r="I136" s="3">
        <v>0</v>
      </c>
      <c r="J136" s="3">
        <v>1168044</v>
      </c>
      <c r="K136" s="3">
        <v>25109.26</v>
      </c>
      <c r="L136" s="2">
        <v>16.899999999999999</v>
      </c>
      <c r="M136" s="11">
        <v>8</v>
      </c>
      <c r="N136" s="3">
        <v>15</v>
      </c>
      <c r="O136" s="3">
        <v>554230</v>
      </c>
      <c r="P136" s="3">
        <v>1356740</v>
      </c>
      <c r="Q136" s="10">
        <v>0</v>
      </c>
      <c r="R136" s="3">
        <f>(Таблица1[Размер кредита]-$AA$2)/$AA$3</f>
        <v>0.69659270591495215</v>
      </c>
      <c r="S136" s="3">
        <f>(Таблица1[Кредитный рейтинг]-$AA$7)/($AA$8-$AA$7)</f>
        <v>0</v>
      </c>
      <c r="T136" s="3">
        <f>(Таблица1[Срок с последнего нарушения кредитного договора (мес,)]-$AA$12)/($AA$13-$AA$12)</f>
        <v>9.0909090909090912E-2</v>
      </c>
      <c r="U136" s="3">
        <f>(Таблица1[Количество кредитных карт]-$AA$18)/($AA$19-$AA$18)</f>
        <v>0.33333333333333331</v>
      </c>
      <c r="V136" s="3">
        <f>(Таблица1[Число нарушений кредитных договоров]-$AA$23)/($AA$24-$AA$23)</f>
        <v>0</v>
      </c>
      <c r="W136" s="3">
        <f>Таблица1[[#This Row],[Годовой доход]]/12</f>
        <v>97337</v>
      </c>
      <c r="X136" s="3">
        <f>Таблица1[[#This Row],[Ежемесячный платеж]]/Таблица1[[#This Row],[Ежем доход]]</f>
        <v>0.25796213156353698</v>
      </c>
      <c r="Y136" s="3"/>
      <c r="Z136" s="3"/>
      <c r="AA136" s="3"/>
      <c r="AB136" s="3"/>
    </row>
    <row r="137" spans="1:28" x14ac:dyDescent="0.2">
      <c r="A137">
        <v>81</v>
      </c>
      <c r="B137" t="s">
        <v>123</v>
      </c>
      <c r="C137" t="s">
        <v>18</v>
      </c>
      <c r="D137" t="s">
        <v>19</v>
      </c>
      <c r="E137" t="s">
        <v>32</v>
      </c>
      <c r="F137" t="s">
        <v>33</v>
      </c>
      <c r="G137" t="s">
        <v>67</v>
      </c>
      <c r="H137" s="1">
        <v>309594.52439999999</v>
      </c>
      <c r="I137" s="3">
        <v>748</v>
      </c>
      <c r="J137" s="3">
        <v>1875680</v>
      </c>
      <c r="K137" s="3">
        <v>9393.98</v>
      </c>
      <c r="L137" s="2">
        <v>13</v>
      </c>
      <c r="M137" s="11">
        <v>35.265240640000002</v>
      </c>
      <c r="N137" s="3">
        <v>14</v>
      </c>
      <c r="O137" s="3">
        <v>232674</v>
      </c>
      <c r="P137" s="3">
        <v>1353858</v>
      </c>
      <c r="Q137" s="10">
        <v>0</v>
      </c>
      <c r="R137" s="3">
        <f>(Таблица1[Размер кредита]-$AA$2)/$AA$3</f>
        <v>-1.2411115481956205E-10</v>
      </c>
      <c r="S137" s="3">
        <f>(Таблица1[Кредитный рейтинг]-$AA$7)/($AA$8-$AA$7)</f>
        <v>0.99600532623169102</v>
      </c>
      <c r="T137" s="3">
        <f>(Таблица1[Срок с последнего нарушения кредитного договора (мес,)]-$AA$12)/($AA$13-$AA$12)</f>
        <v>0.40074137090909095</v>
      </c>
      <c r="U137" s="3">
        <f>(Таблица1[Количество кредитных карт]-$AA$18)/($AA$19-$AA$18)</f>
        <v>0.30952380952380953</v>
      </c>
      <c r="V137" s="3">
        <f>(Таблица1[Число нарушений кредитных договоров]-$AA$23)/($AA$24-$AA$23)</f>
        <v>0</v>
      </c>
      <c r="W137" s="3">
        <f>Таблица1[[#This Row],[Годовой доход]]/12</f>
        <v>156306.66666666666</v>
      </c>
      <c r="X137" s="3">
        <f>Таблица1[[#This Row],[Ежемесячный платеж]]/Таблица1[[#This Row],[Ежем доход]]</f>
        <v>6.0099675850891411E-2</v>
      </c>
      <c r="Y137" s="3"/>
      <c r="Z137" s="3"/>
      <c r="AA137" s="3"/>
      <c r="AB137" s="3"/>
    </row>
    <row r="138" spans="1:28" x14ac:dyDescent="0.2">
      <c r="A138">
        <v>779</v>
      </c>
      <c r="B138" t="s">
        <v>820</v>
      </c>
      <c r="C138" t="s">
        <v>35</v>
      </c>
      <c r="D138" t="s">
        <v>19</v>
      </c>
      <c r="E138" t="s">
        <v>24</v>
      </c>
      <c r="F138" t="s">
        <v>21</v>
      </c>
      <c r="G138" t="s">
        <v>25</v>
      </c>
      <c r="H138" s="1">
        <v>788326</v>
      </c>
      <c r="I138" s="3">
        <v>0</v>
      </c>
      <c r="J138" s="3">
        <v>1168044</v>
      </c>
      <c r="K138" s="3">
        <v>36388.61</v>
      </c>
      <c r="L138" s="2">
        <v>22</v>
      </c>
      <c r="M138" s="11">
        <v>42</v>
      </c>
      <c r="N138" s="3">
        <v>28</v>
      </c>
      <c r="O138" s="3">
        <v>565820</v>
      </c>
      <c r="P138" s="3">
        <v>1353638</v>
      </c>
      <c r="Q138" s="10">
        <v>0</v>
      </c>
      <c r="R138" s="3">
        <f>(Таблица1[Размер кредита]-$AA$2)/$AA$3</f>
        <v>2.7255527675348876</v>
      </c>
      <c r="S138" s="3">
        <f>(Таблица1[Кредитный рейтинг]-$AA$7)/($AA$8-$AA$7)</f>
        <v>0</v>
      </c>
      <c r="T138" s="3">
        <f>(Таблица1[Срок с последнего нарушения кредитного договора (мес,)]-$AA$12)/($AA$13-$AA$12)</f>
        <v>0.47727272727272729</v>
      </c>
      <c r="U138" s="3">
        <f>(Таблица1[Количество кредитных карт]-$AA$18)/($AA$19-$AA$18)</f>
        <v>0.6428571428571429</v>
      </c>
      <c r="V138" s="3">
        <f>(Таблица1[Число нарушений кредитных договоров]-$AA$23)/($AA$24-$AA$23)</f>
        <v>0</v>
      </c>
      <c r="W138" s="3">
        <f>Таблица1[[#This Row],[Годовой доход]]/12</f>
        <v>97337</v>
      </c>
      <c r="X138" s="3">
        <f>Таблица1[[#This Row],[Ежемесячный платеж]]/Таблица1[[#This Row],[Ежем доход]]</f>
        <v>0.37384149912160841</v>
      </c>
      <c r="Y138" s="3"/>
      <c r="Z138" s="3"/>
      <c r="AA138" s="3"/>
      <c r="AB138" s="3"/>
    </row>
    <row r="139" spans="1:28" x14ac:dyDescent="0.2">
      <c r="A139">
        <v>1146</v>
      </c>
      <c r="B139" t="s">
        <v>1185</v>
      </c>
      <c r="C139" t="s">
        <v>18</v>
      </c>
      <c r="D139" t="s">
        <v>29</v>
      </c>
      <c r="E139" t="s">
        <v>37</v>
      </c>
      <c r="F139" t="s">
        <v>21</v>
      </c>
      <c r="G139" t="s">
        <v>25</v>
      </c>
      <c r="H139" s="1">
        <v>556160</v>
      </c>
      <c r="I139" s="3">
        <v>708</v>
      </c>
      <c r="J139" s="3">
        <v>3266176</v>
      </c>
      <c r="K139" s="3">
        <v>51034</v>
      </c>
      <c r="L139" s="2">
        <v>29.5</v>
      </c>
      <c r="M139" s="11">
        <v>35.265240640000002</v>
      </c>
      <c r="N139" s="3">
        <v>8</v>
      </c>
      <c r="O139" s="3">
        <v>1122254</v>
      </c>
      <c r="P139" s="3">
        <v>1353594</v>
      </c>
      <c r="Q139" s="10">
        <v>0</v>
      </c>
      <c r="R139" s="3">
        <f>(Таблица1[Размер кредита]-$AA$2)/$AA$3</f>
        <v>1.4037665134281416</v>
      </c>
      <c r="S139" s="3">
        <f>(Таблица1[Кредитный рейтинг]-$AA$7)/($AA$8-$AA$7)</f>
        <v>0.94274300932090549</v>
      </c>
      <c r="T139" s="3">
        <f>(Таблица1[Срок с последнего нарушения кредитного договора (мес,)]-$AA$12)/($AA$13-$AA$12)</f>
        <v>0.40074137090909095</v>
      </c>
      <c r="U139" s="3">
        <f>(Таблица1[Количество кредитных карт]-$AA$18)/($AA$19-$AA$18)</f>
        <v>0.16666666666666666</v>
      </c>
      <c r="V139" s="3">
        <f>(Таблица1[Число нарушений кредитных договоров]-$AA$23)/($AA$24-$AA$23)</f>
        <v>0</v>
      </c>
      <c r="W139" s="3">
        <f>Таблица1[[#This Row],[Годовой доход]]/12</f>
        <v>272181.33333333331</v>
      </c>
      <c r="X139" s="3">
        <f>Таблица1[[#This Row],[Ежемесячный платеж]]/Таблица1[[#This Row],[Ежем доход]]</f>
        <v>0.1875</v>
      </c>
      <c r="Y139" s="3"/>
      <c r="Z139" s="3"/>
      <c r="AA139" s="3"/>
      <c r="AB139" s="3"/>
    </row>
    <row r="140" spans="1:28" x14ac:dyDescent="0.2">
      <c r="A140">
        <v>1283</v>
      </c>
      <c r="B140" t="s">
        <v>1322</v>
      </c>
      <c r="C140" t="s">
        <v>18</v>
      </c>
      <c r="D140" t="s">
        <v>29</v>
      </c>
      <c r="E140" t="s">
        <v>24</v>
      </c>
      <c r="F140" t="s">
        <v>33</v>
      </c>
      <c r="G140" t="s">
        <v>25</v>
      </c>
      <c r="H140" s="1">
        <v>536492</v>
      </c>
      <c r="I140" s="3">
        <v>720</v>
      </c>
      <c r="J140" s="3">
        <v>1061834</v>
      </c>
      <c r="K140" s="3">
        <v>14069.12</v>
      </c>
      <c r="L140" s="2">
        <v>19.399999999999999</v>
      </c>
      <c r="M140" s="11">
        <v>35.265240640000002</v>
      </c>
      <c r="N140" s="3">
        <v>7</v>
      </c>
      <c r="O140" s="3">
        <v>629603</v>
      </c>
      <c r="P140" s="3">
        <v>1347544</v>
      </c>
      <c r="Q140" s="10">
        <v>0</v>
      </c>
      <c r="R140" s="3">
        <f>(Таблица1[Размер кредита]-$AA$2)/$AA$3</f>
        <v>1.2917910646295601</v>
      </c>
      <c r="S140" s="3">
        <f>(Таблица1[Кредитный рейтинг]-$AA$7)/($AA$8-$AA$7)</f>
        <v>0.95872170439414117</v>
      </c>
      <c r="T140" s="3">
        <f>(Таблица1[Срок с последнего нарушения кредитного договора (мес,)]-$AA$12)/($AA$13-$AA$12)</f>
        <v>0.40074137090909095</v>
      </c>
      <c r="U140" s="3">
        <f>(Таблица1[Количество кредитных карт]-$AA$18)/($AA$19-$AA$18)</f>
        <v>0.14285714285714285</v>
      </c>
      <c r="V140" s="3">
        <f>(Таблица1[Число нарушений кредитных договоров]-$AA$23)/($AA$24-$AA$23)</f>
        <v>0</v>
      </c>
      <c r="W140" s="3">
        <f>Таблица1[[#This Row],[Годовой доход]]/12</f>
        <v>88486.166666666672</v>
      </c>
      <c r="X140" s="3">
        <f>Таблица1[[#This Row],[Ежемесячный платеж]]/Таблица1[[#This Row],[Ежем доход]]</f>
        <v>0.15899796013312814</v>
      </c>
      <c r="Y140" s="3"/>
      <c r="Z140" s="3"/>
      <c r="AA140" s="3"/>
      <c r="AB140" s="3"/>
    </row>
    <row r="141" spans="1:28" x14ac:dyDescent="0.2">
      <c r="A141">
        <v>170</v>
      </c>
      <c r="B141" t="s">
        <v>212</v>
      </c>
      <c r="C141" t="s">
        <v>18</v>
      </c>
      <c r="D141" t="s">
        <v>19</v>
      </c>
      <c r="E141" t="s">
        <v>24</v>
      </c>
      <c r="F141" t="s">
        <v>21</v>
      </c>
      <c r="G141" t="s">
        <v>67</v>
      </c>
      <c r="H141" s="1">
        <v>64966</v>
      </c>
      <c r="I141" s="3">
        <v>723</v>
      </c>
      <c r="J141" s="3">
        <v>1224968</v>
      </c>
      <c r="K141" s="3">
        <v>23172.21</v>
      </c>
      <c r="L141" s="2">
        <v>44</v>
      </c>
      <c r="M141" s="11">
        <v>48</v>
      </c>
      <c r="N141" s="3">
        <v>16</v>
      </c>
      <c r="O141" s="3">
        <v>858154</v>
      </c>
      <c r="P141" s="3">
        <v>1344574</v>
      </c>
      <c r="Q141" s="10">
        <v>0</v>
      </c>
      <c r="R141" s="3">
        <f>(Таблица1[Размер кредита]-$AA$2)/$AA$3</f>
        <v>-1.3927389063995206</v>
      </c>
      <c r="S141" s="3">
        <f>(Таблица1[Кредитный рейтинг]-$AA$7)/($AA$8-$AA$7)</f>
        <v>0.96271637816245004</v>
      </c>
      <c r="T141" s="3">
        <f>(Таблица1[Срок с последнего нарушения кредитного договора (мес,)]-$AA$12)/($AA$13-$AA$12)</f>
        <v>0.54545454545454541</v>
      </c>
      <c r="U141" s="3">
        <f>(Таблица1[Количество кредитных карт]-$AA$18)/($AA$19-$AA$18)</f>
        <v>0.35714285714285715</v>
      </c>
      <c r="V141" s="3">
        <f>(Таблица1[Число нарушений кредитных договоров]-$AA$23)/($AA$24-$AA$23)</f>
        <v>0</v>
      </c>
      <c r="W141" s="3">
        <f>Таблица1[[#This Row],[Годовой доход]]/12</f>
        <v>102080.66666666667</v>
      </c>
      <c r="X141" s="3">
        <f>Таблица1[[#This Row],[Ежемесячный платеж]]/Таблица1[[#This Row],[Ежем доход]]</f>
        <v>0.22699900732100756</v>
      </c>
      <c r="Y141" s="3"/>
      <c r="Z141" s="3"/>
      <c r="AA141" s="3"/>
      <c r="AB141" s="3"/>
    </row>
    <row r="142" spans="1:28" x14ac:dyDescent="0.2">
      <c r="A142">
        <v>931</v>
      </c>
      <c r="B142" t="s">
        <v>972</v>
      </c>
      <c r="C142" t="s">
        <v>35</v>
      </c>
      <c r="D142" t="s">
        <v>29</v>
      </c>
      <c r="E142" t="s">
        <v>69</v>
      </c>
      <c r="F142" t="s">
        <v>21</v>
      </c>
      <c r="G142" t="s">
        <v>25</v>
      </c>
      <c r="H142" s="1">
        <v>769780</v>
      </c>
      <c r="I142" s="3">
        <v>702</v>
      </c>
      <c r="J142" s="3">
        <v>1519544</v>
      </c>
      <c r="K142" s="3">
        <v>26718.75</v>
      </c>
      <c r="L142" s="2">
        <v>14.2</v>
      </c>
      <c r="M142" s="11">
        <v>35.265240640000002</v>
      </c>
      <c r="N142" s="3">
        <v>16</v>
      </c>
      <c r="O142" s="3">
        <v>399152</v>
      </c>
      <c r="P142" s="3">
        <v>1343518</v>
      </c>
      <c r="Q142" s="10">
        <v>0</v>
      </c>
      <c r="R142" s="3">
        <f>(Таблица1[Размер кредита]-$AA$2)/$AA$3</f>
        <v>2.6199651799093795</v>
      </c>
      <c r="S142" s="3">
        <f>(Таблица1[Кредитный рейтинг]-$AA$7)/($AA$8-$AA$7)</f>
        <v>0.93475366178428765</v>
      </c>
      <c r="T142" s="3">
        <f>(Таблица1[Срок с последнего нарушения кредитного договора (мес,)]-$AA$12)/($AA$13-$AA$12)</f>
        <v>0.40074137090909095</v>
      </c>
      <c r="U142" s="3">
        <f>(Таблица1[Количество кредитных карт]-$AA$18)/($AA$19-$AA$18)</f>
        <v>0.35714285714285715</v>
      </c>
      <c r="V142" s="3">
        <f>(Таблица1[Число нарушений кредитных договоров]-$AA$23)/($AA$24-$AA$23)</f>
        <v>0</v>
      </c>
      <c r="W142" s="3">
        <f>Таблица1[[#This Row],[Годовой доход]]/12</f>
        <v>126628.66666666667</v>
      </c>
      <c r="X142" s="3">
        <f>Таблица1[[#This Row],[Ежемесячный платеж]]/Таблица1[[#This Row],[Ежем доход]]</f>
        <v>0.21100080024007201</v>
      </c>
      <c r="Y142" s="3"/>
      <c r="Z142" s="3"/>
      <c r="AA142" s="3"/>
      <c r="AB142" s="3"/>
    </row>
    <row r="143" spans="1:28" x14ac:dyDescent="0.2">
      <c r="A143">
        <v>496</v>
      </c>
      <c r="B143" t="s">
        <v>537</v>
      </c>
      <c r="C143" t="s">
        <v>35</v>
      </c>
      <c r="D143" t="s">
        <v>29</v>
      </c>
      <c r="E143" t="s">
        <v>20</v>
      </c>
      <c r="F143" t="s">
        <v>33</v>
      </c>
      <c r="G143" t="s">
        <v>25</v>
      </c>
      <c r="H143" s="1">
        <v>484968</v>
      </c>
      <c r="I143" s="3">
        <v>733</v>
      </c>
      <c r="J143" s="3">
        <v>1523040</v>
      </c>
      <c r="K143" s="3">
        <v>30587.72</v>
      </c>
      <c r="L143" s="2">
        <v>16.8</v>
      </c>
      <c r="M143" s="11">
        <v>35.265240640000002</v>
      </c>
      <c r="N143" s="3">
        <v>13</v>
      </c>
      <c r="O143" s="3">
        <v>491359</v>
      </c>
      <c r="P143" s="3">
        <v>1338656</v>
      </c>
      <c r="Q143" s="10">
        <v>0</v>
      </c>
      <c r="R143" s="3">
        <f>(Таблица1[Размер кредита]-$AA$2)/$AA$3</f>
        <v>0.99845045938763832</v>
      </c>
      <c r="S143" s="3">
        <f>(Таблица1[Кредитный рейтинг]-$AA$7)/($AA$8-$AA$7)</f>
        <v>0.97603195739014648</v>
      </c>
      <c r="T143" s="3">
        <f>(Таблица1[Срок с последнего нарушения кредитного договора (мес,)]-$AA$12)/($AA$13-$AA$12)</f>
        <v>0.40074137090909095</v>
      </c>
      <c r="U143" s="3">
        <f>(Таблица1[Количество кредитных карт]-$AA$18)/($AA$19-$AA$18)</f>
        <v>0.2857142857142857</v>
      </c>
      <c r="V143" s="3">
        <f>(Таблица1[Число нарушений кредитных договоров]-$AA$23)/($AA$24-$AA$23)</f>
        <v>0</v>
      </c>
      <c r="W143" s="3">
        <f>Таблица1[[#This Row],[Годовой доход]]/12</f>
        <v>126920</v>
      </c>
      <c r="X143" s="3">
        <f>Таблица1[[#This Row],[Ежемесячный платеж]]/Таблица1[[#This Row],[Ежем доход]]</f>
        <v>0.24100000000000002</v>
      </c>
      <c r="Y143" s="3"/>
      <c r="Z143" s="3"/>
      <c r="AA143" s="3"/>
      <c r="AB143" s="3"/>
    </row>
    <row r="144" spans="1:28" x14ac:dyDescent="0.2">
      <c r="A144">
        <v>139</v>
      </c>
      <c r="B144" t="s">
        <v>181</v>
      </c>
      <c r="C144" t="s">
        <v>35</v>
      </c>
      <c r="D144" t="s">
        <v>19</v>
      </c>
      <c r="E144" t="s">
        <v>50</v>
      </c>
      <c r="F144" t="s">
        <v>33</v>
      </c>
      <c r="G144" t="s">
        <v>25</v>
      </c>
      <c r="H144" s="1">
        <v>402534</v>
      </c>
      <c r="I144" s="3">
        <v>741</v>
      </c>
      <c r="J144" s="3">
        <v>3090160</v>
      </c>
      <c r="K144" s="3">
        <v>23639.8</v>
      </c>
      <c r="L144" s="2">
        <v>19.600000000000001</v>
      </c>
      <c r="M144" s="11">
        <v>6</v>
      </c>
      <c r="N144" s="3">
        <v>15</v>
      </c>
      <c r="O144" s="3">
        <v>691467</v>
      </c>
      <c r="P144" s="3">
        <v>1332188</v>
      </c>
      <c r="Q144" s="10">
        <v>0</v>
      </c>
      <c r="R144" s="3">
        <f>(Таблица1[Размер кредита]-$AA$2)/$AA$3</f>
        <v>0.52913054143653648</v>
      </c>
      <c r="S144" s="3">
        <f>(Таблица1[Кредитный рейтинг]-$AA$7)/($AA$8-$AA$7)</f>
        <v>0.98668442077230356</v>
      </c>
      <c r="T144" s="3">
        <f>(Таблица1[Срок с последнего нарушения кредитного договора (мес,)]-$AA$12)/($AA$13-$AA$12)</f>
        <v>6.8181818181818177E-2</v>
      </c>
      <c r="U144" s="3">
        <f>(Таблица1[Количество кредитных карт]-$AA$18)/($AA$19-$AA$18)</f>
        <v>0.33333333333333331</v>
      </c>
      <c r="V144" s="3">
        <f>(Таблица1[Число нарушений кредитных договоров]-$AA$23)/($AA$24-$AA$23)</f>
        <v>0</v>
      </c>
      <c r="W144" s="3">
        <f>Таблица1[[#This Row],[Годовой доход]]/12</f>
        <v>257513.33333333334</v>
      </c>
      <c r="X144" s="3">
        <f>Таблица1[[#This Row],[Ежемесячный платеж]]/Таблица1[[#This Row],[Ежем доход]]</f>
        <v>9.1800295130349235E-2</v>
      </c>
      <c r="Y144" s="3"/>
      <c r="Z144" s="3"/>
      <c r="AA144" s="3"/>
      <c r="AB144" s="3"/>
    </row>
    <row r="145" spans="1:28" x14ac:dyDescent="0.2">
      <c r="A145">
        <v>1121</v>
      </c>
      <c r="B145" t="s">
        <v>1160</v>
      </c>
      <c r="C145" t="s">
        <v>18</v>
      </c>
      <c r="D145" t="s">
        <v>19</v>
      </c>
      <c r="E145" t="s">
        <v>24</v>
      </c>
      <c r="F145" t="s">
        <v>21</v>
      </c>
      <c r="G145" t="s">
        <v>25</v>
      </c>
      <c r="H145" s="1">
        <v>269324</v>
      </c>
      <c r="I145" s="3">
        <v>0</v>
      </c>
      <c r="J145" s="3">
        <v>1168044</v>
      </c>
      <c r="K145" s="3">
        <v>45745.73</v>
      </c>
      <c r="L145" s="2">
        <v>25.8</v>
      </c>
      <c r="M145" s="11">
        <v>30</v>
      </c>
      <c r="N145" s="3">
        <v>13</v>
      </c>
      <c r="O145" s="3">
        <v>563958</v>
      </c>
      <c r="P145" s="3">
        <v>1329944</v>
      </c>
      <c r="Q145" s="10">
        <v>0</v>
      </c>
      <c r="R145" s="3">
        <f>(Таблица1[Размер кредита]-$AA$2)/$AA$3</f>
        <v>-0.22927140764110465</v>
      </c>
      <c r="S145" s="3">
        <f>(Таблица1[Кредитный рейтинг]-$AA$7)/($AA$8-$AA$7)</f>
        <v>0</v>
      </c>
      <c r="T145" s="3">
        <f>(Таблица1[Срок с последнего нарушения кредитного договора (мес,)]-$AA$12)/($AA$13-$AA$12)</f>
        <v>0.34090909090909088</v>
      </c>
      <c r="U145" s="3">
        <f>(Таблица1[Количество кредитных карт]-$AA$18)/($AA$19-$AA$18)</f>
        <v>0.2857142857142857</v>
      </c>
      <c r="V145" s="3">
        <f>(Таблица1[Число нарушений кредитных договоров]-$AA$23)/($AA$24-$AA$23)</f>
        <v>0</v>
      </c>
      <c r="W145" s="3">
        <f>Таблица1[[#This Row],[Годовой доход]]/12</f>
        <v>97337</v>
      </c>
      <c r="X145" s="3">
        <f>Таблица1[[#This Row],[Ежемесячный платеж]]/Таблица1[[#This Row],[Ежем доход]]</f>
        <v>0.46997267226234629</v>
      </c>
      <c r="Y145" s="3"/>
      <c r="Z145" s="3"/>
      <c r="AA145" s="3"/>
      <c r="AB145" s="3"/>
    </row>
    <row r="146" spans="1:28" x14ac:dyDescent="0.2">
      <c r="A146">
        <v>1604</v>
      </c>
      <c r="B146" t="s">
        <v>1643</v>
      </c>
      <c r="C146" t="s">
        <v>18</v>
      </c>
      <c r="D146" t="s">
        <v>19</v>
      </c>
      <c r="E146" t="s">
        <v>24</v>
      </c>
      <c r="F146" t="s">
        <v>21</v>
      </c>
      <c r="G146" t="s">
        <v>67</v>
      </c>
      <c r="H146" s="1">
        <v>336006</v>
      </c>
      <c r="I146" s="3">
        <v>739</v>
      </c>
      <c r="J146" s="3">
        <v>2321496</v>
      </c>
      <c r="K146" s="3">
        <v>9111.83</v>
      </c>
      <c r="L146" s="2">
        <v>24.1</v>
      </c>
      <c r="M146" s="11">
        <v>35.265240640000002</v>
      </c>
      <c r="N146" s="3">
        <v>6</v>
      </c>
      <c r="O146" s="3">
        <v>502170</v>
      </c>
      <c r="P146" s="3">
        <v>1321518</v>
      </c>
      <c r="Q146" s="10">
        <v>0</v>
      </c>
      <c r="R146" s="3">
        <f>(Таблица1[Размер кредита]-$AA$2)/$AA$3</f>
        <v>0.15036794952724059</v>
      </c>
      <c r="S146" s="3">
        <f>(Таблица1[Кредитный рейтинг]-$AA$7)/($AA$8-$AA$7)</f>
        <v>0.98402130492676432</v>
      </c>
      <c r="T146" s="3">
        <f>(Таблица1[Срок с последнего нарушения кредитного договора (мес,)]-$AA$12)/($AA$13-$AA$12)</f>
        <v>0.40074137090909095</v>
      </c>
      <c r="U146" s="3">
        <f>(Таблица1[Количество кредитных карт]-$AA$18)/($AA$19-$AA$18)</f>
        <v>0.11904761904761904</v>
      </c>
      <c r="V146" s="3">
        <f>(Таблица1[Число нарушений кредитных договоров]-$AA$23)/($AA$24-$AA$23)</f>
        <v>0</v>
      </c>
      <c r="W146" s="3">
        <f>Таблица1[[#This Row],[Годовой доход]]/12</f>
        <v>193458</v>
      </c>
      <c r="X146" s="3">
        <f>Таблица1[[#This Row],[Ежемесячный платеж]]/Таблица1[[#This Row],[Ежем доход]]</f>
        <v>4.7099783932429778E-2</v>
      </c>
      <c r="Y146" s="3"/>
      <c r="Z146" s="3"/>
      <c r="AA146" s="3"/>
      <c r="AB146" s="3"/>
    </row>
    <row r="147" spans="1:28" x14ac:dyDescent="0.2">
      <c r="A147">
        <v>336</v>
      </c>
      <c r="B147" t="s">
        <v>378</v>
      </c>
      <c r="C147" t="s">
        <v>18</v>
      </c>
      <c r="D147" t="s">
        <v>19</v>
      </c>
      <c r="E147" t="s">
        <v>41</v>
      </c>
      <c r="F147" t="s">
        <v>21</v>
      </c>
      <c r="G147" t="s">
        <v>25</v>
      </c>
      <c r="H147" s="1">
        <v>309594.52439999999</v>
      </c>
      <c r="I147" s="3">
        <v>733</v>
      </c>
      <c r="J147" s="3">
        <v>1803936</v>
      </c>
      <c r="K147" s="3">
        <v>10988.84</v>
      </c>
      <c r="L147" s="2">
        <v>24.5</v>
      </c>
      <c r="M147" s="11">
        <v>35.265240640000002</v>
      </c>
      <c r="N147" s="3">
        <v>13</v>
      </c>
      <c r="O147" s="3">
        <v>418133</v>
      </c>
      <c r="P147" s="3">
        <v>1315666</v>
      </c>
      <c r="Q147" s="10">
        <v>0</v>
      </c>
      <c r="R147" s="3">
        <f>(Таблица1[Размер кредита]-$AA$2)/$AA$3</f>
        <v>-1.2411115481956205E-10</v>
      </c>
      <c r="S147" s="3">
        <f>(Таблица1[Кредитный рейтинг]-$AA$7)/($AA$8-$AA$7)</f>
        <v>0.97603195739014648</v>
      </c>
      <c r="T147" s="3">
        <f>(Таблица1[Срок с последнего нарушения кредитного договора (мес,)]-$AA$12)/($AA$13-$AA$12)</f>
        <v>0.40074137090909095</v>
      </c>
      <c r="U147" s="3">
        <f>(Таблица1[Количество кредитных карт]-$AA$18)/($AA$19-$AA$18)</f>
        <v>0.2857142857142857</v>
      </c>
      <c r="V147" s="3">
        <f>(Таблица1[Число нарушений кредитных договоров]-$AA$23)/($AA$24-$AA$23)</f>
        <v>0</v>
      </c>
      <c r="W147" s="3">
        <f>Таблица1[[#This Row],[Годовой доход]]/12</f>
        <v>150328</v>
      </c>
      <c r="X147" s="3">
        <f>Таблица1[[#This Row],[Ежемесячный платеж]]/Таблица1[[#This Row],[Ежем доход]]</f>
        <v>7.3099089989888774E-2</v>
      </c>
      <c r="Y147" s="3"/>
      <c r="Z147" s="3"/>
      <c r="AA147" s="3"/>
      <c r="AB147" s="3"/>
    </row>
    <row r="148" spans="1:28" x14ac:dyDescent="0.2">
      <c r="A148">
        <v>1148</v>
      </c>
      <c r="B148" t="s">
        <v>1187</v>
      </c>
      <c r="C148" t="s">
        <v>18</v>
      </c>
      <c r="D148" t="s">
        <v>29</v>
      </c>
      <c r="E148" t="s">
        <v>24</v>
      </c>
      <c r="F148" t="s">
        <v>33</v>
      </c>
      <c r="G148" t="s">
        <v>25</v>
      </c>
      <c r="H148" s="1">
        <v>476498</v>
      </c>
      <c r="I148" s="3">
        <v>737</v>
      </c>
      <c r="J148" s="3">
        <v>1215867</v>
      </c>
      <c r="K148" s="3">
        <v>16718.099999999999</v>
      </c>
      <c r="L148" s="2">
        <v>21.6</v>
      </c>
      <c r="M148" s="11">
        <v>35.265240640000002</v>
      </c>
      <c r="N148" s="3">
        <v>18</v>
      </c>
      <c r="O148" s="3">
        <v>239875</v>
      </c>
      <c r="P148" s="3">
        <v>1310166</v>
      </c>
      <c r="Q148" s="10">
        <v>0</v>
      </c>
      <c r="R148" s="3">
        <f>(Таблица1[Размер кредита]-$AA$2)/$AA$3</f>
        <v>0.950228370139927</v>
      </c>
      <c r="S148" s="3">
        <f>(Таблица1[Кредитный рейтинг]-$AA$7)/($AA$8-$AA$7)</f>
        <v>0.98135818908122507</v>
      </c>
      <c r="T148" s="3">
        <f>(Таблица1[Срок с последнего нарушения кредитного договора (мес,)]-$AA$12)/($AA$13-$AA$12)</f>
        <v>0.40074137090909095</v>
      </c>
      <c r="U148" s="3">
        <f>(Таблица1[Количество кредитных карт]-$AA$18)/($AA$19-$AA$18)</f>
        <v>0.40476190476190477</v>
      </c>
      <c r="V148" s="3">
        <f>(Таблица1[Число нарушений кредитных договоров]-$AA$23)/($AA$24-$AA$23)</f>
        <v>0</v>
      </c>
      <c r="W148" s="3">
        <f>Таблица1[[#This Row],[Годовой доход]]/12</f>
        <v>101322.25</v>
      </c>
      <c r="X148" s="3">
        <f>Таблица1[[#This Row],[Ежемесячный платеж]]/Таблица1[[#This Row],[Ежем доход]]</f>
        <v>0.16499929679808728</v>
      </c>
      <c r="Y148" s="3"/>
      <c r="Z148" s="3"/>
      <c r="AA148" s="3"/>
      <c r="AB148" s="3"/>
    </row>
    <row r="149" spans="1:28" x14ac:dyDescent="0.2">
      <c r="A149">
        <v>487</v>
      </c>
      <c r="B149" t="s">
        <v>528</v>
      </c>
      <c r="C149" t="s">
        <v>18</v>
      </c>
      <c r="D149" t="s">
        <v>19</v>
      </c>
      <c r="E149" t="s">
        <v>47</v>
      </c>
      <c r="F149" t="s">
        <v>33</v>
      </c>
      <c r="G149" t="s">
        <v>25</v>
      </c>
      <c r="H149" s="1">
        <v>309594.52439999999</v>
      </c>
      <c r="I149" s="3">
        <v>743</v>
      </c>
      <c r="J149" s="3">
        <v>2278632</v>
      </c>
      <c r="K149" s="3">
        <v>32850.239999999998</v>
      </c>
      <c r="L149" s="2">
        <v>14.5</v>
      </c>
      <c r="M149" s="11">
        <v>38</v>
      </c>
      <c r="N149" s="3">
        <v>12</v>
      </c>
      <c r="O149" s="3">
        <v>444315</v>
      </c>
      <c r="P149" s="3">
        <v>1309066</v>
      </c>
      <c r="Q149" s="10">
        <v>0</v>
      </c>
      <c r="R149" s="3">
        <f>(Таблица1[Размер кредита]-$AA$2)/$AA$3</f>
        <v>-1.2411115481956205E-10</v>
      </c>
      <c r="S149" s="3">
        <f>(Таблица1[Кредитный рейтинг]-$AA$7)/($AA$8-$AA$7)</f>
        <v>0.98934753661784292</v>
      </c>
      <c r="T149" s="3">
        <f>(Таблица1[Срок с последнего нарушения кредитного договора (мес,)]-$AA$12)/($AA$13-$AA$12)</f>
        <v>0.43181818181818182</v>
      </c>
      <c r="U149" s="3">
        <f>(Таблица1[Количество кредитных карт]-$AA$18)/($AA$19-$AA$18)</f>
        <v>0.26190476190476192</v>
      </c>
      <c r="V149" s="3">
        <f>(Таблица1[Число нарушений кредитных договоров]-$AA$23)/($AA$24-$AA$23)</f>
        <v>0</v>
      </c>
      <c r="W149" s="3">
        <f>Таблица1[[#This Row],[Годовой доход]]/12</f>
        <v>189886</v>
      </c>
      <c r="X149" s="3">
        <f>Таблица1[[#This Row],[Ежемесячный платеж]]/Таблица1[[#This Row],[Ежем доход]]</f>
        <v>0.17299979987992795</v>
      </c>
      <c r="Y149" s="3"/>
      <c r="Z149" s="3"/>
      <c r="AA149" s="3"/>
      <c r="AB149" s="3"/>
    </row>
    <row r="150" spans="1:28" x14ac:dyDescent="0.2">
      <c r="A150">
        <v>422</v>
      </c>
      <c r="B150" t="s">
        <v>463</v>
      </c>
      <c r="C150" t="s">
        <v>18</v>
      </c>
      <c r="D150" t="s">
        <v>19</v>
      </c>
      <c r="E150" t="s">
        <v>63</v>
      </c>
      <c r="F150" t="s">
        <v>21</v>
      </c>
      <c r="G150" t="s">
        <v>25</v>
      </c>
      <c r="H150" s="1">
        <v>630234</v>
      </c>
      <c r="I150" s="3">
        <v>0</v>
      </c>
      <c r="J150" s="3">
        <v>1168044</v>
      </c>
      <c r="K150" s="3">
        <v>32910.85</v>
      </c>
      <c r="L150" s="2">
        <v>15.6</v>
      </c>
      <c r="M150" s="11">
        <v>35.265240640000002</v>
      </c>
      <c r="N150" s="3">
        <v>13</v>
      </c>
      <c r="O150" s="3">
        <v>1060846</v>
      </c>
      <c r="P150" s="3">
        <v>1305370</v>
      </c>
      <c r="Q150" s="10">
        <v>0</v>
      </c>
      <c r="R150" s="3">
        <f>(Таблица1[Размер кредита]-$AA$2)/$AA$3</f>
        <v>1.8254906030308531</v>
      </c>
      <c r="S150" s="3">
        <f>(Таблица1[Кредитный рейтинг]-$AA$7)/($AA$8-$AA$7)</f>
        <v>0</v>
      </c>
      <c r="T150" s="3">
        <f>(Таблица1[Срок с последнего нарушения кредитного договора (мес,)]-$AA$12)/($AA$13-$AA$12)</f>
        <v>0.40074137090909095</v>
      </c>
      <c r="U150" s="3">
        <f>(Таблица1[Количество кредитных карт]-$AA$18)/($AA$19-$AA$18)</f>
        <v>0.2857142857142857</v>
      </c>
      <c r="V150" s="3">
        <f>(Таблица1[Число нарушений кредитных договоров]-$AA$23)/($AA$24-$AA$23)</f>
        <v>0</v>
      </c>
      <c r="W150" s="3">
        <f>Таблица1[[#This Row],[Годовой доход]]/12</f>
        <v>97337</v>
      </c>
      <c r="X150" s="3">
        <f>Таблица1[[#This Row],[Ежемесячный платеж]]/Таблица1[[#This Row],[Ежем доход]]</f>
        <v>0.33811243412063241</v>
      </c>
      <c r="Y150" s="3"/>
      <c r="Z150" s="3"/>
      <c r="AA150" s="3"/>
      <c r="AB150" s="3"/>
    </row>
    <row r="151" spans="1:28" x14ac:dyDescent="0.2">
      <c r="A151">
        <v>967</v>
      </c>
      <c r="B151" t="s">
        <v>1008</v>
      </c>
      <c r="C151" t="s">
        <v>18</v>
      </c>
      <c r="D151" t="s">
        <v>19</v>
      </c>
      <c r="E151" t="s">
        <v>37</v>
      </c>
      <c r="F151" t="s">
        <v>33</v>
      </c>
      <c r="G151" t="s">
        <v>25</v>
      </c>
      <c r="H151" s="1">
        <v>449636</v>
      </c>
      <c r="I151" s="3">
        <v>721</v>
      </c>
      <c r="J151" s="3">
        <v>2524093</v>
      </c>
      <c r="K151" s="3">
        <v>20339.88</v>
      </c>
      <c r="L151" s="2">
        <v>16.399999999999999</v>
      </c>
      <c r="M151" s="11">
        <v>35.265240640000002</v>
      </c>
      <c r="N151" s="3">
        <v>17</v>
      </c>
      <c r="O151" s="3">
        <v>523697</v>
      </c>
      <c r="P151" s="3">
        <v>1295668</v>
      </c>
      <c r="Q151" s="10">
        <v>0</v>
      </c>
      <c r="R151" s="3">
        <f>(Таблица1[Размер кредита]-$AA$2)/$AA$3</f>
        <v>0.79729545852575701</v>
      </c>
      <c r="S151" s="3">
        <f>(Таблица1[Кредитный рейтинг]-$AA$7)/($AA$8-$AA$7)</f>
        <v>0.96005326231691079</v>
      </c>
      <c r="T151" s="3">
        <f>(Таблица1[Срок с последнего нарушения кредитного договора (мес,)]-$AA$12)/($AA$13-$AA$12)</f>
        <v>0.40074137090909095</v>
      </c>
      <c r="U151" s="3">
        <f>(Таблица1[Количество кредитных карт]-$AA$18)/($AA$19-$AA$18)</f>
        <v>0.38095238095238093</v>
      </c>
      <c r="V151" s="3">
        <f>(Таблица1[Число нарушений кредитных договоров]-$AA$23)/($AA$24-$AA$23)</f>
        <v>0</v>
      </c>
      <c r="W151" s="3">
        <f>Таблица1[[#This Row],[Годовой доход]]/12</f>
        <v>210341.08333333334</v>
      </c>
      <c r="X151" s="3">
        <f>Таблица1[[#This Row],[Ежемесячный платеж]]/Таблица1[[#This Row],[Ежем доход]]</f>
        <v>9.6699511468079827E-2</v>
      </c>
      <c r="Y151" s="3"/>
      <c r="Z151" s="3"/>
      <c r="AA151" s="3"/>
      <c r="AB151" s="3"/>
    </row>
    <row r="152" spans="1:28" x14ac:dyDescent="0.2">
      <c r="A152">
        <v>1388</v>
      </c>
      <c r="B152" t="s">
        <v>1427</v>
      </c>
      <c r="C152" t="s">
        <v>18</v>
      </c>
      <c r="D152" t="s">
        <v>19</v>
      </c>
      <c r="E152" t="s">
        <v>37</v>
      </c>
      <c r="F152" t="s">
        <v>27</v>
      </c>
      <c r="G152" t="s">
        <v>25</v>
      </c>
      <c r="H152" s="1">
        <v>111078</v>
      </c>
      <c r="I152" s="3">
        <v>745</v>
      </c>
      <c r="J152" s="3">
        <v>1841879</v>
      </c>
      <c r="K152" s="3">
        <v>9454.9699999999993</v>
      </c>
      <c r="L152" s="2">
        <v>24.4</v>
      </c>
      <c r="M152" s="11">
        <v>35.265240640000002</v>
      </c>
      <c r="N152" s="3">
        <v>16</v>
      </c>
      <c r="O152" s="3">
        <v>526870</v>
      </c>
      <c r="P152" s="3">
        <v>1289772</v>
      </c>
      <c r="Q152" s="10">
        <v>1</v>
      </c>
      <c r="R152" s="3">
        <f>(Таблица1[Размер кредита]-$AA$2)/$AA$3</f>
        <v>-1.1302103374041885</v>
      </c>
      <c r="S152" s="3">
        <f>(Таблица1[Кредитный рейтинг]-$AA$7)/($AA$8-$AA$7)</f>
        <v>0.99201065246338216</v>
      </c>
      <c r="T152" s="3">
        <f>(Таблица1[Срок с последнего нарушения кредитного договора (мес,)]-$AA$12)/($AA$13-$AA$12)</f>
        <v>0.40074137090909095</v>
      </c>
      <c r="U152" s="3">
        <f>(Таблица1[Количество кредитных карт]-$AA$18)/($AA$19-$AA$18)</f>
        <v>0.35714285714285715</v>
      </c>
      <c r="V152" s="3">
        <f>(Таблица1[Число нарушений кредитных договоров]-$AA$23)/($AA$24-$AA$23)</f>
        <v>0.14285714285714285</v>
      </c>
      <c r="W152" s="3">
        <f>Таблица1[[#This Row],[Годовой доход]]/12</f>
        <v>153489.91666666666</v>
      </c>
      <c r="X152" s="3">
        <f>Таблица1[[#This Row],[Ежемесячный платеж]]/Таблица1[[#This Row],[Ежем доход]]</f>
        <v>6.1599942232904548E-2</v>
      </c>
      <c r="Y152" s="3"/>
      <c r="Z152" s="3"/>
      <c r="AA152" s="3"/>
      <c r="AB152" s="3"/>
    </row>
    <row r="153" spans="1:28" x14ac:dyDescent="0.2">
      <c r="A153">
        <v>985</v>
      </c>
      <c r="B153" t="s">
        <v>1025</v>
      </c>
      <c r="C153" t="s">
        <v>18</v>
      </c>
      <c r="D153" t="s">
        <v>29</v>
      </c>
      <c r="E153" t="s">
        <v>24</v>
      </c>
      <c r="F153" t="s">
        <v>27</v>
      </c>
      <c r="G153" t="s">
        <v>25</v>
      </c>
      <c r="H153" s="1">
        <v>479490</v>
      </c>
      <c r="I153" s="3">
        <v>680</v>
      </c>
      <c r="J153" s="3">
        <v>2032924</v>
      </c>
      <c r="K153" s="3">
        <v>29477.360000000001</v>
      </c>
      <c r="L153" s="2">
        <v>12.8</v>
      </c>
      <c r="M153" s="11">
        <v>35.265240640000002</v>
      </c>
      <c r="N153" s="3">
        <v>16</v>
      </c>
      <c r="O153" s="3">
        <v>674956</v>
      </c>
      <c r="P153" s="3">
        <v>1289640</v>
      </c>
      <c r="Q153" s="10">
        <v>0</v>
      </c>
      <c r="R153" s="3">
        <f>(Таблица1[Размер кредита]-$AA$2)/$AA$3</f>
        <v>0.96726266660145621</v>
      </c>
      <c r="S153" s="3">
        <f>(Таблица1[Кредитный рейтинг]-$AA$7)/($AA$8-$AA$7)</f>
        <v>0.90545938748335553</v>
      </c>
      <c r="T153" s="3">
        <f>(Таблица1[Срок с последнего нарушения кредитного договора (мес,)]-$AA$12)/($AA$13-$AA$12)</f>
        <v>0.40074137090909095</v>
      </c>
      <c r="U153" s="3">
        <f>(Таблица1[Количество кредитных карт]-$AA$18)/($AA$19-$AA$18)</f>
        <v>0.35714285714285715</v>
      </c>
      <c r="V153" s="3">
        <f>(Таблица1[Число нарушений кредитных договоров]-$AA$23)/($AA$24-$AA$23)</f>
        <v>0</v>
      </c>
      <c r="W153" s="3">
        <f>Таблица1[[#This Row],[Годовой доход]]/12</f>
        <v>169410.33333333334</v>
      </c>
      <c r="X153" s="3">
        <f>Таблица1[[#This Row],[Ежемесячный платеж]]/Таблица1[[#This Row],[Ежем доход]]</f>
        <v>0.17399977569254924</v>
      </c>
      <c r="Y153" s="3"/>
      <c r="Z153" s="3"/>
      <c r="AA153" s="3"/>
      <c r="AB153" s="3"/>
    </row>
    <row r="154" spans="1:28" x14ac:dyDescent="0.2">
      <c r="A154">
        <v>1105</v>
      </c>
      <c r="B154" t="s">
        <v>1144</v>
      </c>
      <c r="C154" t="s">
        <v>18</v>
      </c>
      <c r="D154" t="s">
        <v>19</v>
      </c>
      <c r="E154" t="s">
        <v>52</v>
      </c>
      <c r="F154" t="s">
        <v>33</v>
      </c>
      <c r="G154" t="s">
        <v>25</v>
      </c>
      <c r="H154" s="1">
        <v>467126</v>
      </c>
      <c r="I154" s="3">
        <v>737</v>
      </c>
      <c r="J154" s="3">
        <v>3487640</v>
      </c>
      <c r="K154" s="3">
        <v>24064.639999999999</v>
      </c>
      <c r="L154" s="2">
        <v>22.1</v>
      </c>
      <c r="M154" s="11">
        <v>35.265240640000002</v>
      </c>
      <c r="N154" s="3">
        <v>11</v>
      </c>
      <c r="O154" s="3">
        <v>890302</v>
      </c>
      <c r="P154" s="3">
        <v>1285394</v>
      </c>
      <c r="Q154" s="10">
        <v>0</v>
      </c>
      <c r="R154" s="3">
        <f>(Таблица1[Размер кредита]-$AA$2)/$AA$3</f>
        <v>0.89687094151778413</v>
      </c>
      <c r="S154" s="3">
        <f>(Таблица1[Кредитный рейтинг]-$AA$7)/($AA$8-$AA$7)</f>
        <v>0.98135818908122507</v>
      </c>
      <c r="T154" s="3">
        <f>(Таблица1[Срок с последнего нарушения кредитного договора (мес,)]-$AA$12)/($AA$13-$AA$12)</f>
        <v>0.40074137090909095</v>
      </c>
      <c r="U154" s="3">
        <f>(Таблица1[Количество кредитных карт]-$AA$18)/($AA$19-$AA$18)</f>
        <v>0.23809523809523808</v>
      </c>
      <c r="V154" s="3">
        <f>(Таблица1[Число нарушений кредитных договоров]-$AA$23)/($AA$24-$AA$23)</f>
        <v>0</v>
      </c>
      <c r="W154" s="3">
        <f>Таблица1[[#This Row],[Годовой доход]]/12</f>
        <v>290636.66666666669</v>
      </c>
      <c r="X154" s="3">
        <f>Таблица1[[#This Row],[Ежемесячный платеж]]/Таблица1[[#This Row],[Ежем доход]]</f>
        <v>8.2799738505120929E-2</v>
      </c>
      <c r="Y154" s="3"/>
      <c r="Z154" s="3"/>
      <c r="AA154" s="3"/>
      <c r="AB154" s="3"/>
    </row>
    <row r="155" spans="1:28" x14ac:dyDescent="0.2">
      <c r="A155">
        <v>1843</v>
      </c>
      <c r="B155" t="s">
        <v>1880</v>
      </c>
      <c r="C155" t="s">
        <v>18</v>
      </c>
      <c r="D155" t="s">
        <v>19</v>
      </c>
      <c r="E155" t="s">
        <v>52</v>
      </c>
      <c r="F155" t="s">
        <v>21</v>
      </c>
      <c r="G155" t="s">
        <v>25</v>
      </c>
      <c r="H155" s="1">
        <v>179036</v>
      </c>
      <c r="I155" s="3">
        <v>0</v>
      </c>
      <c r="J155" s="3">
        <v>1168044</v>
      </c>
      <c r="K155" s="3">
        <v>29207.18</v>
      </c>
      <c r="L155" s="2">
        <v>21.5</v>
      </c>
      <c r="M155" s="11">
        <v>35.265240640000002</v>
      </c>
      <c r="N155" s="3">
        <v>16</v>
      </c>
      <c r="O155" s="3">
        <v>587689</v>
      </c>
      <c r="P155" s="3">
        <v>1283942</v>
      </c>
      <c r="Q155" s="10">
        <v>0</v>
      </c>
      <c r="R155" s="3">
        <f>(Таблица1[Размер кредита]-$AA$2)/$AA$3</f>
        <v>-0.74330635380372057</v>
      </c>
      <c r="S155" s="3">
        <f>(Таблица1[Кредитный рейтинг]-$AA$7)/($AA$8-$AA$7)</f>
        <v>0</v>
      </c>
      <c r="T155" s="3">
        <f>(Таблица1[Срок с последнего нарушения кредитного договора (мес,)]-$AA$12)/($AA$13-$AA$12)</f>
        <v>0.40074137090909095</v>
      </c>
      <c r="U155" s="3">
        <f>(Таблица1[Количество кредитных карт]-$AA$18)/($AA$19-$AA$18)</f>
        <v>0.35714285714285715</v>
      </c>
      <c r="V155" s="3">
        <f>(Таблица1[Число нарушений кредитных договоров]-$AA$23)/($AA$24-$AA$23)</f>
        <v>0</v>
      </c>
      <c r="W155" s="3">
        <f>Таблица1[[#This Row],[Годовой доход]]/12</f>
        <v>97337</v>
      </c>
      <c r="X155" s="3">
        <f>Таблица1[[#This Row],[Ежемесячный платеж]]/Таблица1[[#This Row],[Ежем доход]]</f>
        <v>0.30006246340035136</v>
      </c>
      <c r="Y155" s="3"/>
      <c r="Z155" s="3"/>
      <c r="AA155" s="3"/>
      <c r="AB155" s="3"/>
    </row>
    <row r="156" spans="1:28" x14ac:dyDescent="0.2">
      <c r="A156">
        <v>748</v>
      </c>
      <c r="B156" t="s">
        <v>789</v>
      </c>
      <c r="C156" t="s">
        <v>18</v>
      </c>
      <c r="D156" t="s">
        <v>19</v>
      </c>
      <c r="E156" t="s">
        <v>24</v>
      </c>
      <c r="F156" t="s">
        <v>21</v>
      </c>
      <c r="G156" t="s">
        <v>25</v>
      </c>
      <c r="H156" s="1">
        <v>175956</v>
      </c>
      <c r="I156" s="3">
        <v>749</v>
      </c>
      <c r="J156" s="3">
        <v>664867</v>
      </c>
      <c r="K156" s="3">
        <v>13962.15</v>
      </c>
      <c r="L156" s="2">
        <v>42.4</v>
      </c>
      <c r="M156" s="11">
        <v>35.265240640000002</v>
      </c>
      <c r="N156" s="3">
        <v>9</v>
      </c>
      <c r="O156" s="3">
        <v>168511</v>
      </c>
      <c r="P156" s="3">
        <v>1283700</v>
      </c>
      <c r="Q156" s="10">
        <v>0</v>
      </c>
      <c r="R156" s="3">
        <f>(Таблица1[Размер кредита]-$AA$2)/$AA$3</f>
        <v>-0.76084165898470646</v>
      </c>
      <c r="S156" s="3">
        <f>(Таблица1[Кредитный рейтинг]-$AA$7)/($AA$8-$AA$7)</f>
        <v>0.99733688415446076</v>
      </c>
      <c r="T156" s="3">
        <f>(Таблица1[Срок с последнего нарушения кредитного договора (мес,)]-$AA$12)/($AA$13-$AA$12)</f>
        <v>0.40074137090909095</v>
      </c>
      <c r="U156" s="3">
        <f>(Таблица1[Количество кредитных карт]-$AA$18)/($AA$19-$AA$18)</f>
        <v>0.19047619047619047</v>
      </c>
      <c r="V156" s="3">
        <f>(Таблица1[Число нарушений кредитных договоров]-$AA$23)/($AA$24-$AA$23)</f>
        <v>0</v>
      </c>
      <c r="W156" s="3">
        <f>Таблица1[[#This Row],[Годовой доход]]/12</f>
        <v>55405.583333333336</v>
      </c>
      <c r="X156" s="3">
        <f>Таблица1[[#This Row],[Ежемесячный платеж]]/Таблица1[[#This Row],[Ежем доход]]</f>
        <v>0.25199897122281595</v>
      </c>
      <c r="Y156" s="3"/>
      <c r="Z156" s="3"/>
      <c r="AA156" s="3"/>
      <c r="AB156" s="3"/>
    </row>
    <row r="157" spans="1:28" x14ac:dyDescent="0.2">
      <c r="A157">
        <v>1907</v>
      </c>
      <c r="B157" t="s">
        <v>1943</v>
      </c>
      <c r="C157" t="s">
        <v>18</v>
      </c>
      <c r="D157" t="s">
        <v>19</v>
      </c>
      <c r="E157" t="s">
        <v>24</v>
      </c>
      <c r="F157" t="s">
        <v>21</v>
      </c>
      <c r="G157" t="s">
        <v>25</v>
      </c>
      <c r="H157" s="1">
        <v>429880</v>
      </c>
      <c r="I157" s="3">
        <v>748</v>
      </c>
      <c r="J157" s="3">
        <v>1949115</v>
      </c>
      <c r="K157" s="3">
        <v>22252.42</v>
      </c>
      <c r="L157" s="2">
        <v>22.2</v>
      </c>
      <c r="M157" s="11">
        <v>35.265240640000002</v>
      </c>
      <c r="N157" s="3">
        <v>22</v>
      </c>
      <c r="O157" s="3">
        <v>302575</v>
      </c>
      <c r="P157" s="3">
        <v>1283348</v>
      </c>
      <c r="Q157" s="10">
        <v>0</v>
      </c>
      <c r="R157" s="3">
        <f>(Таблица1[Размер кредита]-$AA$2)/$AA$3</f>
        <v>0.68481900100771864</v>
      </c>
      <c r="S157" s="3">
        <f>(Таблица1[Кредитный рейтинг]-$AA$7)/($AA$8-$AA$7)</f>
        <v>0.99600532623169102</v>
      </c>
      <c r="T157" s="3">
        <f>(Таблица1[Срок с последнего нарушения кредитного договора (мес,)]-$AA$12)/($AA$13-$AA$12)</f>
        <v>0.40074137090909095</v>
      </c>
      <c r="U157" s="3">
        <f>(Таблица1[Количество кредитных карт]-$AA$18)/($AA$19-$AA$18)</f>
        <v>0.5</v>
      </c>
      <c r="V157" s="3">
        <f>(Таблица1[Число нарушений кредитных договоров]-$AA$23)/($AA$24-$AA$23)</f>
        <v>0</v>
      </c>
      <c r="W157" s="3">
        <f>Таблица1[[#This Row],[Годовой доход]]/12</f>
        <v>162426.25</v>
      </c>
      <c r="X157" s="3">
        <f>Таблица1[[#This Row],[Ежемесячный платеж]]/Таблица1[[#This Row],[Ежем доход]]</f>
        <v>0.13700014622020762</v>
      </c>
      <c r="Y157" s="3"/>
      <c r="Z157" s="3"/>
      <c r="AA157" s="3"/>
      <c r="AB157" s="3"/>
    </row>
    <row r="158" spans="1:28" x14ac:dyDescent="0.2">
      <c r="A158">
        <v>1019</v>
      </c>
      <c r="B158" t="s">
        <v>1058</v>
      </c>
      <c r="C158" t="s">
        <v>18</v>
      </c>
      <c r="D158" t="s">
        <v>19</v>
      </c>
      <c r="E158" t="s">
        <v>37</v>
      </c>
      <c r="F158" t="s">
        <v>21</v>
      </c>
      <c r="G158" t="s">
        <v>22</v>
      </c>
      <c r="H158" s="1">
        <v>759308</v>
      </c>
      <c r="I158" s="3">
        <v>680</v>
      </c>
      <c r="J158" s="3">
        <v>2950909</v>
      </c>
      <c r="K158" s="3">
        <v>30738.77</v>
      </c>
      <c r="L158" s="2">
        <v>28.3</v>
      </c>
      <c r="M158" s="11">
        <v>35.265240640000002</v>
      </c>
      <c r="N158" s="3">
        <v>14</v>
      </c>
      <c r="O158" s="3">
        <v>692075</v>
      </c>
      <c r="P158" s="3">
        <v>1282138</v>
      </c>
      <c r="Q158" s="10">
        <v>0</v>
      </c>
      <c r="R158" s="3">
        <f>(Таблица1[Размер кредита]-$AA$2)/$AA$3</f>
        <v>2.5603451422940275</v>
      </c>
      <c r="S158" s="3">
        <f>(Таблица1[Кредитный рейтинг]-$AA$7)/($AA$8-$AA$7)</f>
        <v>0.90545938748335553</v>
      </c>
      <c r="T158" s="3">
        <f>(Таблица1[Срок с последнего нарушения кредитного договора (мес,)]-$AA$12)/($AA$13-$AA$12)</f>
        <v>0.40074137090909095</v>
      </c>
      <c r="U158" s="3">
        <f>(Таблица1[Количество кредитных карт]-$AA$18)/($AA$19-$AA$18)</f>
        <v>0.30952380952380953</v>
      </c>
      <c r="V158" s="3">
        <f>(Таблица1[Число нарушений кредитных договоров]-$AA$23)/($AA$24-$AA$23)</f>
        <v>0</v>
      </c>
      <c r="W158" s="3">
        <f>Таблица1[[#This Row],[Годовой доход]]/12</f>
        <v>245909.08333333334</v>
      </c>
      <c r="X158" s="3">
        <f>Таблица1[[#This Row],[Ежемесячный платеж]]/Таблица1[[#This Row],[Ежем доход]]</f>
        <v>0.12500054728898791</v>
      </c>
      <c r="Y158" s="3"/>
      <c r="Z158" s="3"/>
      <c r="AA158" s="3"/>
      <c r="AB158" s="3"/>
    </row>
    <row r="159" spans="1:28" x14ac:dyDescent="0.2">
      <c r="A159">
        <v>1032</v>
      </c>
      <c r="B159" t="s">
        <v>1071</v>
      </c>
      <c r="C159" t="s">
        <v>18</v>
      </c>
      <c r="D159" t="s">
        <v>19</v>
      </c>
      <c r="E159" t="s">
        <v>20</v>
      </c>
      <c r="F159" t="s">
        <v>27</v>
      </c>
      <c r="G159" t="s">
        <v>25</v>
      </c>
      <c r="H159" s="1">
        <v>223784</v>
      </c>
      <c r="I159" s="3">
        <v>0</v>
      </c>
      <c r="J159" s="3">
        <v>1168044</v>
      </c>
      <c r="K159" s="3">
        <v>18060.07</v>
      </c>
      <c r="L159" s="2">
        <v>31</v>
      </c>
      <c r="M159" s="11">
        <v>14</v>
      </c>
      <c r="N159" s="3">
        <v>14</v>
      </c>
      <c r="O159" s="3">
        <v>399000</v>
      </c>
      <c r="P159" s="3">
        <v>1279784</v>
      </c>
      <c r="Q159" s="10">
        <v>0</v>
      </c>
      <c r="R159" s="3">
        <f>(Таблица1[Размер кредита]-$AA$2)/$AA$3</f>
        <v>-0.48854341995996792</v>
      </c>
      <c r="S159" s="3">
        <f>(Таблица1[Кредитный рейтинг]-$AA$7)/($AA$8-$AA$7)</f>
        <v>0</v>
      </c>
      <c r="T159" s="3">
        <f>(Таблица1[Срок с последнего нарушения кредитного договора (мес,)]-$AA$12)/($AA$13-$AA$12)</f>
        <v>0.15909090909090909</v>
      </c>
      <c r="U159" s="3">
        <f>(Таблица1[Количество кредитных карт]-$AA$18)/($AA$19-$AA$18)</f>
        <v>0.30952380952380953</v>
      </c>
      <c r="V159" s="3">
        <f>(Таблица1[Число нарушений кредитных договоров]-$AA$23)/($AA$24-$AA$23)</f>
        <v>0</v>
      </c>
      <c r="W159" s="3">
        <f>Таблица1[[#This Row],[Годовой доход]]/12</f>
        <v>97337</v>
      </c>
      <c r="X159" s="3">
        <f>Таблица1[[#This Row],[Ежемесячный платеж]]/Таблица1[[#This Row],[Ежем доход]]</f>
        <v>0.18554167479992192</v>
      </c>
      <c r="Y159" s="3"/>
      <c r="Z159" s="3"/>
      <c r="AA159" s="3"/>
      <c r="AB159" s="3"/>
    </row>
    <row r="160" spans="1:28" x14ac:dyDescent="0.2">
      <c r="A160">
        <v>875</v>
      </c>
      <c r="B160" t="s">
        <v>916</v>
      </c>
      <c r="C160" t="s">
        <v>18</v>
      </c>
      <c r="D160" t="s">
        <v>19</v>
      </c>
      <c r="E160" t="s">
        <v>30</v>
      </c>
      <c r="F160" t="s">
        <v>21</v>
      </c>
      <c r="G160" t="s">
        <v>25</v>
      </c>
      <c r="H160" s="1">
        <v>309594.52439999999</v>
      </c>
      <c r="I160" s="3">
        <v>726</v>
      </c>
      <c r="J160" s="3">
        <v>1199964</v>
      </c>
      <c r="K160" s="3">
        <v>34099.11</v>
      </c>
      <c r="L160" s="2">
        <v>19</v>
      </c>
      <c r="M160" s="11">
        <v>35.265240640000002</v>
      </c>
      <c r="N160" s="3">
        <v>31</v>
      </c>
      <c r="O160" s="3">
        <v>704406</v>
      </c>
      <c r="P160" s="3">
        <v>1276418</v>
      </c>
      <c r="Q160" s="10">
        <v>0</v>
      </c>
      <c r="R160" s="3">
        <f>(Таблица1[Размер кредита]-$AA$2)/$AA$3</f>
        <v>-1.2411115481956205E-10</v>
      </c>
      <c r="S160" s="3">
        <f>(Таблица1[Кредитный рейтинг]-$AA$7)/($AA$8-$AA$7)</f>
        <v>0.96671105193075901</v>
      </c>
      <c r="T160" s="3">
        <f>(Таблица1[Срок с последнего нарушения кредитного договора (мес,)]-$AA$12)/($AA$13-$AA$12)</f>
        <v>0.40074137090909095</v>
      </c>
      <c r="U160" s="3">
        <f>(Таблица1[Количество кредитных карт]-$AA$18)/($AA$19-$AA$18)</f>
        <v>0.7142857142857143</v>
      </c>
      <c r="V160" s="3">
        <f>(Таблица1[Число нарушений кредитных договоров]-$AA$23)/($AA$24-$AA$23)</f>
        <v>0</v>
      </c>
      <c r="W160" s="3">
        <f>Таблица1[[#This Row],[Годовой доход]]/12</f>
        <v>99997</v>
      </c>
      <c r="X160" s="3">
        <f>Таблица1[[#This Row],[Ежемесячный платеж]]/Таблица1[[#This Row],[Ежем доход]]</f>
        <v>0.34100133003990118</v>
      </c>
      <c r="Y160" s="3"/>
      <c r="Z160" s="3"/>
      <c r="AA160" s="3"/>
      <c r="AB160" s="3"/>
    </row>
    <row r="161" spans="1:28" x14ac:dyDescent="0.2">
      <c r="A161">
        <v>951</v>
      </c>
      <c r="B161" t="s">
        <v>992</v>
      </c>
      <c r="C161" t="s">
        <v>18</v>
      </c>
      <c r="D161" t="s">
        <v>29</v>
      </c>
      <c r="E161" t="s">
        <v>24</v>
      </c>
      <c r="F161" t="s">
        <v>21</v>
      </c>
      <c r="G161" t="s">
        <v>25</v>
      </c>
      <c r="H161" s="1">
        <v>523292</v>
      </c>
      <c r="I161" s="3">
        <v>0</v>
      </c>
      <c r="J161" s="3">
        <v>1168044</v>
      </c>
      <c r="K161" s="3">
        <v>31635.95</v>
      </c>
      <c r="L161" s="2">
        <v>27.4</v>
      </c>
      <c r="M161" s="11">
        <v>82</v>
      </c>
      <c r="N161" s="3">
        <v>15</v>
      </c>
      <c r="O161" s="3">
        <v>634334</v>
      </c>
      <c r="P161" s="3">
        <v>1268564</v>
      </c>
      <c r="Q161" s="10">
        <v>0</v>
      </c>
      <c r="R161" s="3">
        <f>(Таблица1[Размер кредита]-$AA$2)/$AA$3</f>
        <v>1.216639756711049</v>
      </c>
      <c r="S161" s="3">
        <f>(Таблица1[Кредитный рейтинг]-$AA$7)/($AA$8-$AA$7)</f>
        <v>0</v>
      </c>
      <c r="T161" s="3">
        <f>(Таблица1[Срок с последнего нарушения кредитного договора (мес,)]-$AA$12)/($AA$13-$AA$12)</f>
        <v>0.93181818181818177</v>
      </c>
      <c r="U161" s="3">
        <f>(Таблица1[Количество кредитных карт]-$AA$18)/($AA$19-$AA$18)</f>
        <v>0.33333333333333331</v>
      </c>
      <c r="V161" s="3">
        <f>(Таблица1[Число нарушений кредитных договоров]-$AA$23)/($AA$24-$AA$23)</f>
        <v>0</v>
      </c>
      <c r="W161" s="3">
        <f>Таблица1[[#This Row],[Годовой доход]]/12</f>
        <v>97337</v>
      </c>
      <c r="X161" s="3">
        <f>Таблица1[[#This Row],[Ежемесячный платеж]]/Таблица1[[#This Row],[Ежем доход]]</f>
        <v>0.32501463985945733</v>
      </c>
      <c r="Y161" s="3"/>
      <c r="Z161" s="3"/>
      <c r="AA161" s="3"/>
      <c r="AB161" s="3"/>
    </row>
    <row r="162" spans="1:28" x14ac:dyDescent="0.2">
      <c r="A162">
        <v>856</v>
      </c>
      <c r="B162" t="s">
        <v>897</v>
      </c>
      <c r="C162" t="s">
        <v>18</v>
      </c>
      <c r="D162" t="s">
        <v>19</v>
      </c>
      <c r="E162" t="s">
        <v>37</v>
      </c>
      <c r="F162" t="s">
        <v>33</v>
      </c>
      <c r="G162" t="s">
        <v>25</v>
      </c>
      <c r="H162" s="1">
        <v>309594.52439999999</v>
      </c>
      <c r="I162" s="3">
        <v>745</v>
      </c>
      <c r="J162" s="3">
        <v>1774676</v>
      </c>
      <c r="K162" s="3">
        <v>22863.84</v>
      </c>
      <c r="L162" s="2">
        <v>16.7</v>
      </c>
      <c r="M162" s="11">
        <v>35.265240640000002</v>
      </c>
      <c r="N162" s="3">
        <v>16</v>
      </c>
      <c r="O162" s="3">
        <v>483949</v>
      </c>
      <c r="P162" s="3">
        <v>1262074</v>
      </c>
      <c r="Q162" s="10">
        <v>0</v>
      </c>
      <c r="R162" s="3">
        <f>(Таблица1[Размер кредита]-$AA$2)/$AA$3</f>
        <v>-1.2411115481956205E-10</v>
      </c>
      <c r="S162" s="3">
        <f>(Таблица1[Кредитный рейтинг]-$AA$7)/($AA$8-$AA$7)</f>
        <v>0.99201065246338216</v>
      </c>
      <c r="T162" s="3">
        <f>(Таблица1[Срок с последнего нарушения кредитного договора (мес,)]-$AA$12)/($AA$13-$AA$12)</f>
        <v>0.40074137090909095</v>
      </c>
      <c r="U162" s="3">
        <f>(Таблица1[Количество кредитных карт]-$AA$18)/($AA$19-$AA$18)</f>
        <v>0.35714285714285715</v>
      </c>
      <c r="V162" s="3">
        <f>(Таблица1[Число нарушений кредитных договоров]-$AA$23)/($AA$24-$AA$23)</f>
        <v>0</v>
      </c>
      <c r="W162" s="3">
        <f>Таблица1[[#This Row],[Годовой доход]]/12</f>
        <v>147889.66666666666</v>
      </c>
      <c r="X162" s="3">
        <f>Таблица1[[#This Row],[Ежемесячный платеж]]/Таблица1[[#This Row],[Ежем доход]]</f>
        <v>0.15460065950066379</v>
      </c>
      <c r="Y162" s="3"/>
      <c r="Z162" s="3"/>
      <c r="AA162" s="3"/>
      <c r="AB162" s="3"/>
    </row>
    <row r="163" spans="1:28" x14ac:dyDescent="0.2">
      <c r="A163">
        <v>105</v>
      </c>
      <c r="B163" t="s">
        <v>147</v>
      </c>
      <c r="C163" t="s">
        <v>18</v>
      </c>
      <c r="D163" t="s">
        <v>19</v>
      </c>
      <c r="E163" t="s">
        <v>24</v>
      </c>
      <c r="F163" t="s">
        <v>21</v>
      </c>
      <c r="G163" t="s">
        <v>25</v>
      </c>
      <c r="H163" s="1">
        <v>448976</v>
      </c>
      <c r="I163" s="3">
        <v>742</v>
      </c>
      <c r="J163" s="3">
        <v>4071396</v>
      </c>
      <c r="K163" s="3">
        <v>10348.16</v>
      </c>
      <c r="L163" s="2">
        <v>19.7</v>
      </c>
      <c r="M163" s="11">
        <v>35.265240640000002</v>
      </c>
      <c r="N163" s="3">
        <v>7</v>
      </c>
      <c r="O163" s="3">
        <v>486001</v>
      </c>
      <c r="P163" s="3">
        <v>1253340</v>
      </c>
      <c r="Q163" s="10">
        <v>0</v>
      </c>
      <c r="R163" s="3">
        <f>(Таблица1[Размер кредита]-$AA$2)/$AA$3</f>
        <v>0.79353789312983136</v>
      </c>
      <c r="S163" s="3">
        <f>(Таблица1[Кредитный рейтинг]-$AA$7)/($AA$8-$AA$7)</f>
        <v>0.98801597869507318</v>
      </c>
      <c r="T163" s="3">
        <f>(Таблица1[Срок с последнего нарушения кредитного договора (мес,)]-$AA$12)/($AA$13-$AA$12)</f>
        <v>0.40074137090909095</v>
      </c>
      <c r="U163" s="3">
        <f>(Таблица1[Количество кредитных карт]-$AA$18)/($AA$19-$AA$18)</f>
        <v>0.14285714285714285</v>
      </c>
      <c r="V163" s="3">
        <f>(Таблица1[Число нарушений кредитных договоров]-$AA$23)/($AA$24-$AA$23)</f>
        <v>0</v>
      </c>
      <c r="W163" s="3">
        <f>Таблица1[[#This Row],[Годовой доход]]/12</f>
        <v>339283</v>
      </c>
      <c r="X163" s="3">
        <f>Таблица1[[#This Row],[Ежемесячный платеж]]/Таблица1[[#This Row],[Ежем доход]]</f>
        <v>3.0500084000672004E-2</v>
      </c>
      <c r="Y163" s="3"/>
      <c r="Z163" s="3"/>
      <c r="AA163" s="3"/>
      <c r="AB163" s="3"/>
    </row>
    <row r="164" spans="1:28" x14ac:dyDescent="0.2">
      <c r="A164">
        <v>482</v>
      </c>
      <c r="B164" t="s">
        <v>523</v>
      </c>
      <c r="C164" t="s">
        <v>18</v>
      </c>
      <c r="D164" t="s">
        <v>19</v>
      </c>
      <c r="E164" t="s">
        <v>24</v>
      </c>
      <c r="F164" t="s">
        <v>21</v>
      </c>
      <c r="G164" t="s">
        <v>25</v>
      </c>
      <c r="H164" s="1">
        <v>259138</v>
      </c>
      <c r="I164" s="3">
        <v>751</v>
      </c>
      <c r="J164" s="3">
        <v>2517804</v>
      </c>
      <c r="K164" s="3">
        <v>14687.19</v>
      </c>
      <c r="L164" s="2">
        <v>18.8</v>
      </c>
      <c r="M164" s="11">
        <v>37</v>
      </c>
      <c r="N164" s="3">
        <v>11</v>
      </c>
      <c r="O164" s="3">
        <v>138491</v>
      </c>
      <c r="P164" s="3">
        <v>1252878</v>
      </c>
      <c r="Q164" s="10">
        <v>0</v>
      </c>
      <c r="R164" s="3">
        <f>(Таблица1[Размер кредита]-$AA$2)/$AA$3</f>
        <v>-0.28726316691822235</v>
      </c>
      <c r="S164" s="3">
        <f>(Таблица1[Кредитный рейтинг]-$AA$7)/($AA$8-$AA$7)</f>
        <v>1</v>
      </c>
      <c r="T164" s="3">
        <f>(Таблица1[Срок с последнего нарушения кредитного договора (мес,)]-$AA$12)/($AA$13-$AA$12)</f>
        <v>0.42045454545454547</v>
      </c>
      <c r="U164" s="3">
        <f>(Таблица1[Количество кредитных карт]-$AA$18)/($AA$19-$AA$18)</f>
        <v>0.23809523809523808</v>
      </c>
      <c r="V164" s="3">
        <f>(Таблица1[Число нарушений кредитных договоров]-$AA$23)/($AA$24-$AA$23)</f>
        <v>0</v>
      </c>
      <c r="W164" s="3">
        <f>Таблица1[[#This Row],[Годовой доход]]/12</f>
        <v>209817</v>
      </c>
      <c r="X164" s="3">
        <f>Таблица1[[#This Row],[Ежемесячный платеж]]/Таблица1[[#This Row],[Ежем доход]]</f>
        <v>7.0000000000000007E-2</v>
      </c>
      <c r="Y164" s="3"/>
      <c r="Z164" s="3"/>
      <c r="AA164" s="3"/>
      <c r="AB164" s="3"/>
    </row>
    <row r="165" spans="1:28" x14ac:dyDescent="0.2">
      <c r="A165">
        <v>443</v>
      </c>
      <c r="B165" t="s">
        <v>484</v>
      </c>
      <c r="C165" t="s">
        <v>18</v>
      </c>
      <c r="D165" t="s">
        <v>19</v>
      </c>
      <c r="E165" t="s">
        <v>52</v>
      </c>
      <c r="F165" t="s">
        <v>33</v>
      </c>
      <c r="G165" t="s">
        <v>25</v>
      </c>
      <c r="H165" s="1">
        <v>390896</v>
      </c>
      <c r="I165" s="3">
        <v>735</v>
      </c>
      <c r="J165" s="3">
        <v>804460</v>
      </c>
      <c r="K165" s="3">
        <v>11932.95</v>
      </c>
      <c r="L165" s="2">
        <v>26.3</v>
      </c>
      <c r="M165" s="11">
        <v>35.265240640000002</v>
      </c>
      <c r="N165" s="3">
        <v>14</v>
      </c>
      <c r="O165" s="3">
        <v>335027</v>
      </c>
      <c r="P165" s="3">
        <v>1251360</v>
      </c>
      <c r="Q165" s="10">
        <v>1</v>
      </c>
      <c r="R165" s="3">
        <f>(Таблица1[Размер кредита]-$AA$2)/$AA$3</f>
        <v>0.46287213828838258</v>
      </c>
      <c r="S165" s="3">
        <f>(Таблица1[Кредитный рейтинг]-$AA$7)/($AA$8-$AA$7)</f>
        <v>0.97869507323568572</v>
      </c>
      <c r="T165" s="3">
        <f>(Таблица1[Срок с последнего нарушения кредитного договора (мес,)]-$AA$12)/($AA$13-$AA$12)</f>
        <v>0.40074137090909095</v>
      </c>
      <c r="U165" s="3">
        <f>(Таблица1[Количество кредитных карт]-$AA$18)/($AA$19-$AA$18)</f>
        <v>0.30952380952380953</v>
      </c>
      <c r="V165" s="3">
        <f>(Таблица1[Число нарушений кредитных договоров]-$AA$23)/($AA$24-$AA$23)</f>
        <v>0.14285714285714285</v>
      </c>
      <c r="W165" s="3">
        <f>Таблица1[[#This Row],[Годовой доход]]/12</f>
        <v>67038.333333333328</v>
      </c>
      <c r="X165" s="3">
        <f>Таблица1[[#This Row],[Ежемесячный платеж]]/Таблица1[[#This Row],[Ежем доход]]</f>
        <v>0.1780018894662258</v>
      </c>
      <c r="Y165" s="3"/>
      <c r="Z165" s="3"/>
      <c r="AA165" s="3"/>
      <c r="AB165" s="3"/>
    </row>
    <row r="166" spans="1:28" x14ac:dyDescent="0.2">
      <c r="A166">
        <v>797</v>
      </c>
      <c r="B166" t="s">
        <v>838</v>
      </c>
      <c r="C166" t="s">
        <v>35</v>
      </c>
      <c r="D166" t="s">
        <v>19</v>
      </c>
      <c r="E166" t="s">
        <v>41</v>
      </c>
      <c r="F166" t="s">
        <v>21</v>
      </c>
      <c r="G166" t="s">
        <v>22</v>
      </c>
      <c r="H166" s="1">
        <v>399014</v>
      </c>
      <c r="I166" s="3">
        <v>722</v>
      </c>
      <c r="J166" s="3">
        <v>2909945</v>
      </c>
      <c r="K166" s="3">
        <v>51409.06</v>
      </c>
      <c r="L166" s="2">
        <v>12.8</v>
      </c>
      <c r="M166" s="11">
        <v>42</v>
      </c>
      <c r="N166" s="3">
        <v>12</v>
      </c>
      <c r="O166" s="3">
        <v>938923</v>
      </c>
      <c r="P166" s="3">
        <v>1248192</v>
      </c>
      <c r="Q166" s="10">
        <v>0</v>
      </c>
      <c r="R166" s="3">
        <f>(Таблица1[Размер кредита]-$AA$2)/$AA$3</f>
        <v>0.50909019265826694</v>
      </c>
      <c r="S166" s="3">
        <f>(Таблица1[Кредитный рейтинг]-$AA$7)/($AA$8-$AA$7)</f>
        <v>0.96138482023968042</v>
      </c>
      <c r="T166" s="3">
        <f>(Таблица1[Срок с последнего нарушения кредитного договора (мес,)]-$AA$12)/($AA$13-$AA$12)</f>
        <v>0.47727272727272729</v>
      </c>
      <c r="U166" s="3">
        <f>(Таблица1[Количество кредитных карт]-$AA$18)/($AA$19-$AA$18)</f>
        <v>0.26190476190476192</v>
      </c>
      <c r="V166" s="3">
        <f>(Таблица1[Число нарушений кредитных договоров]-$AA$23)/($AA$24-$AA$23)</f>
        <v>0</v>
      </c>
      <c r="W166" s="3">
        <f>Таблица1[[#This Row],[Годовой доход]]/12</f>
        <v>242495.41666666666</v>
      </c>
      <c r="X166" s="3">
        <f>Таблица1[[#This Row],[Ежемесячный платеж]]/Таблица1[[#This Row],[Ежем доход]]</f>
        <v>0.21200013058666056</v>
      </c>
      <c r="Y166" s="3"/>
      <c r="Z166" s="3"/>
      <c r="AA166" s="3"/>
      <c r="AB166" s="3"/>
    </row>
    <row r="167" spans="1:28" x14ac:dyDescent="0.2">
      <c r="A167">
        <v>1394</v>
      </c>
      <c r="B167" t="s">
        <v>1433</v>
      </c>
      <c r="C167" t="s">
        <v>18</v>
      </c>
      <c r="D167" t="s">
        <v>29</v>
      </c>
      <c r="E167" t="s">
        <v>24</v>
      </c>
      <c r="F167" t="s">
        <v>21</v>
      </c>
      <c r="G167" t="s">
        <v>25</v>
      </c>
      <c r="H167" s="1">
        <v>309594.52439999999</v>
      </c>
      <c r="I167" s="3">
        <v>713</v>
      </c>
      <c r="J167" s="3">
        <v>2239416</v>
      </c>
      <c r="K167" s="3">
        <v>44228.2</v>
      </c>
      <c r="L167" s="2">
        <v>17.3</v>
      </c>
      <c r="M167" s="11">
        <v>35.265240640000002</v>
      </c>
      <c r="N167" s="3">
        <v>17</v>
      </c>
      <c r="O167" s="3">
        <v>632263</v>
      </c>
      <c r="P167" s="3">
        <v>1247180</v>
      </c>
      <c r="Q167" s="10">
        <v>0</v>
      </c>
      <c r="R167" s="3">
        <f>(Таблица1[Размер кредита]-$AA$2)/$AA$3</f>
        <v>-1.2411115481956205E-10</v>
      </c>
      <c r="S167" s="3">
        <f>(Таблица1[Кредитный рейтинг]-$AA$7)/($AA$8-$AA$7)</f>
        <v>0.94940079893475371</v>
      </c>
      <c r="T167" s="3">
        <f>(Таблица1[Срок с последнего нарушения кредитного договора (мес,)]-$AA$12)/($AA$13-$AA$12)</f>
        <v>0.40074137090909095</v>
      </c>
      <c r="U167" s="3">
        <f>(Таблица1[Количество кредитных карт]-$AA$18)/($AA$19-$AA$18)</f>
        <v>0.38095238095238093</v>
      </c>
      <c r="V167" s="3">
        <f>(Таблица1[Число нарушений кредитных договоров]-$AA$23)/($AA$24-$AA$23)</f>
        <v>0</v>
      </c>
      <c r="W167" s="3">
        <f>Таблица1[[#This Row],[Годовой доход]]/12</f>
        <v>186618</v>
      </c>
      <c r="X167" s="3">
        <f>Таблица1[[#This Row],[Ежемесячный платеж]]/Таблица1[[#This Row],[Ежем доход]]</f>
        <v>0.23699857462838525</v>
      </c>
      <c r="Y167" s="3"/>
      <c r="Z167" s="3"/>
      <c r="AA167" s="3"/>
      <c r="AB167" s="3"/>
    </row>
    <row r="168" spans="1:28" x14ac:dyDescent="0.2">
      <c r="A168">
        <v>440</v>
      </c>
      <c r="B168" t="s">
        <v>481</v>
      </c>
      <c r="C168" t="s">
        <v>18</v>
      </c>
      <c r="D168" t="s">
        <v>19</v>
      </c>
      <c r="E168" t="s">
        <v>37</v>
      </c>
      <c r="F168" t="s">
        <v>21</v>
      </c>
      <c r="G168" t="s">
        <v>25</v>
      </c>
      <c r="H168" s="1">
        <v>767624</v>
      </c>
      <c r="I168" s="3">
        <v>733</v>
      </c>
      <c r="J168" s="3">
        <v>2083825</v>
      </c>
      <c r="K168" s="3">
        <v>22574.85</v>
      </c>
      <c r="L168" s="2">
        <v>12.6</v>
      </c>
      <c r="M168" s="11">
        <v>35.265240640000002</v>
      </c>
      <c r="N168" s="3">
        <v>12</v>
      </c>
      <c r="O168" s="3">
        <v>434910</v>
      </c>
      <c r="P168" s="3">
        <v>1243396</v>
      </c>
      <c r="Q168" s="10">
        <v>0</v>
      </c>
      <c r="R168" s="3">
        <f>(Таблица1[Размер кредита]-$AA$2)/$AA$3</f>
        <v>2.6076904662826892</v>
      </c>
      <c r="S168" s="3">
        <f>(Таблица1[Кредитный рейтинг]-$AA$7)/($AA$8-$AA$7)</f>
        <v>0.97603195739014648</v>
      </c>
      <c r="T168" s="3">
        <f>(Таблица1[Срок с последнего нарушения кредитного договора (мес,)]-$AA$12)/($AA$13-$AA$12)</f>
        <v>0.40074137090909095</v>
      </c>
      <c r="U168" s="3">
        <f>(Таблица1[Количество кредитных карт]-$AA$18)/($AA$19-$AA$18)</f>
        <v>0.26190476190476192</v>
      </c>
      <c r="V168" s="3">
        <f>(Таблица1[Число нарушений кредитных договоров]-$AA$23)/($AA$24-$AA$23)</f>
        <v>0</v>
      </c>
      <c r="W168" s="3">
        <f>Таблица1[[#This Row],[Годовой доход]]/12</f>
        <v>173652.08333333334</v>
      </c>
      <c r="X168" s="3">
        <f>Таблица1[[#This Row],[Ежемесячный платеж]]/Таблица1[[#This Row],[Ежем доход]]</f>
        <v>0.13000045589240938</v>
      </c>
      <c r="Y168" s="3"/>
      <c r="Z168" s="3"/>
      <c r="AA168" s="3"/>
      <c r="AB168" s="3"/>
    </row>
    <row r="169" spans="1:28" x14ac:dyDescent="0.2">
      <c r="A169">
        <v>334</v>
      </c>
      <c r="B169" t="s">
        <v>376</v>
      </c>
      <c r="C169" t="s">
        <v>35</v>
      </c>
      <c r="D169" t="s">
        <v>19</v>
      </c>
      <c r="E169" t="s">
        <v>24</v>
      </c>
      <c r="F169" t="s">
        <v>33</v>
      </c>
      <c r="G169" t="s">
        <v>25</v>
      </c>
      <c r="H169" s="1">
        <v>340362</v>
      </c>
      <c r="I169" s="3">
        <v>0</v>
      </c>
      <c r="J169" s="3">
        <v>1168044</v>
      </c>
      <c r="K169" s="3">
        <v>22936.799999999999</v>
      </c>
      <c r="L169" s="2">
        <v>23.3</v>
      </c>
      <c r="M169" s="11">
        <v>35</v>
      </c>
      <c r="N169" s="3">
        <v>19</v>
      </c>
      <c r="O169" s="3">
        <v>427025</v>
      </c>
      <c r="P169" s="3">
        <v>1242340</v>
      </c>
      <c r="Q169" s="10">
        <v>0</v>
      </c>
      <c r="R169" s="3">
        <f>(Таблица1[Размер кредита]-$AA$2)/$AA$3</f>
        <v>0.17516788114034926</v>
      </c>
      <c r="S169" s="3">
        <f>(Таблица1[Кредитный рейтинг]-$AA$7)/($AA$8-$AA$7)</f>
        <v>0</v>
      </c>
      <c r="T169" s="3">
        <f>(Таблица1[Срок с последнего нарушения кредитного договора (мес,)]-$AA$12)/($AA$13-$AA$12)</f>
        <v>0.39772727272727271</v>
      </c>
      <c r="U169" s="3">
        <f>(Таблица1[Количество кредитных карт]-$AA$18)/($AA$19-$AA$18)</f>
        <v>0.42857142857142855</v>
      </c>
      <c r="V169" s="3">
        <f>(Таблица1[Число нарушений кредитных договоров]-$AA$23)/($AA$24-$AA$23)</f>
        <v>0</v>
      </c>
      <c r="W169" s="3">
        <f>Таблица1[[#This Row],[Годовой доход]]/12</f>
        <v>97337</v>
      </c>
      <c r="X169" s="3">
        <f>Таблица1[[#This Row],[Ежемесячный платеж]]/Таблица1[[#This Row],[Ежем доход]]</f>
        <v>0.23564317782549288</v>
      </c>
      <c r="Y169" s="3"/>
      <c r="Z169" s="3"/>
      <c r="AA169" s="3"/>
      <c r="AB169" s="3"/>
    </row>
    <row r="170" spans="1:28" x14ac:dyDescent="0.2">
      <c r="A170">
        <v>1303</v>
      </c>
      <c r="B170" t="s">
        <v>1342</v>
      </c>
      <c r="C170" t="s">
        <v>18</v>
      </c>
      <c r="D170" t="s">
        <v>29</v>
      </c>
      <c r="E170" t="s">
        <v>24</v>
      </c>
      <c r="F170" t="s">
        <v>27</v>
      </c>
      <c r="G170" t="s">
        <v>25</v>
      </c>
      <c r="H170" s="1">
        <v>756932</v>
      </c>
      <c r="I170" s="3">
        <v>677</v>
      </c>
      <c r="J170" s="3">
        <v>1561382</v>
      </c>
      <c r="K170" s="3">
        <v>29015.85</v>
      </c>
      <c r="L170" s="2">
        <v>21</v>
      </c>
      <c r="M170" s="11">
        <v>35.265240640000002</v>
      </c>
      <c r="N170" s="3">
        <v>10</v>
      </c>
      <c r="O170" s="3">
        <v>760608</v>
      </c>
      <c r="P170" s="3">
        <v>1242164</v>
      </c>
      <c r="Q170" s="10">
        <v>0</v>
      </c>
      <c r="R170" s="3">
        <f>(Таблица1[Размер кредита]-$AA$2)/$AA$3</f>
        <v>2.5468179068686951</v>
      </c>
      <c r="S170" s="3">
        <f>(Таблица1[Кредитный рейтинг]-$AA$7)/($AA$8-$AA$7)</f>
        <v>0.90146471371504655</v>
      </c>
      <c r="T170" s="3">
        <f>(Таблица1[Срок с последнего нарушения кредитного договора (мес,)]-$AA$12)/($AA$13-$AA$12)</f>
        <v>0.40074137090909095</v>
      </c>
      <c r="U170" s="3">
        <f>(Таблица1[Количество кредитных карт]-$AA$18)/($AA$19-$AA$18)</f>
        <v>0.21428571428571427</v>
      </c>
      <c r="V170" s="3">
        <f>(Таблица1[Число нарушений кредитных договоров]-$AA$23)/($AA$24-$AA$23)</f>
        <v>0</v>
      </c>
      <c r="W170" s="3">
        <f>Таблица1[[#This Row],[Годовой доход]]/12</f>
        <v>130115.16666666667</v>
      </c>
      <c r="X170" s="3">
        <f>Таблица1[[#This Row],[Ежемесячный платеж]]/Таблица1[[#This Row],[Ежем доход]]</f>
        <v>0.22300128988293702</v>
      </c>
      <c r="Y170" s="3"/>
      <c r="Z170" s="3"/>
      <c r="AA170" s="3"/>
      <c r="AB170" s="3"/>
    </row>
    <row r="171" spans="1:28" x14ac:dyDescent="0.2">
      <c r="A171">
        <v>1379</v>
      </c>
      <c r="B171" t="s">
        <v>1418</v>
      </c>
      <c r="C171" t="s">
        <v>18</v>
      </c>
      <c r="D171" t="s">
        <v>19</v>
      </c>
      <c r="E171" t="s">
        <v>32</v>
      </c>
      <c r="F171" t="s">
        <v>21</v>
      </c>
      <c r="G171" t="s">
        <v>25</v>
      </c>
      <c r="H171" s="1">
        <v>309594.52439999999</v>
      </c>
      <c r="I171" s="3">
        <v>742</v>
      </c>
      <c r="J171" s="3">
        <v>896990</v>
      </c>
      <c r="K171" s="3">
        <v>14277.17</v>
      </c>
      <c r="L171" s="2">
        <v>19.899999999999999</v>
      </c>
      <c r="M171" s="11">
        <v>35.265240640000002</v>
      </c>
      <c r="N171" s="3">
        <v>18</v>
      </c>
      <c r="O171" s="3">
        <v>456057</v>
      </c>
      <c r="P171" s="3">
        <v>1239568</v>
      </c>
      <c r="Q171" s="10">
        <v>0</v>
      </c>
      <c r="R171" s="3">
        <f>(Таблица1[Размер кредита]-$AA$2)/$AA$3</f>
        <v>-1.2411115481956205E-10</v>
      </c>
      <c r="S171" s="3">
        <f>(Таблица1[Кредитный рейтинг]-$AA$7)/($AA$8-$AA$7)</f>
        <v>0.98801597869507318</v>
      </c>
      <c r="T171" s="3">
        <f>(Таблица1[Срок с последнего нарушения кредитного договора (мес,)]-$AA$12)/($AA$13-$AA$12)</f>
        <v>0.40074137090909095</v>
      </c>
      <c r="U171" s="3">
        <f>(Таблица1[Количество кредитных карт]-$AA$18)/($AA$19-$AA$18)</f>
        <v>0.40476190476190477</v>
      </c>
      <c r="V171" s="3">
        <f>(Таблица1[Число нарушений кредитных договоров]-$AA$23)/($AA$24-$AA$23)</f>
        <v>0</v>
      </c>
      <c r="W171" s="3">
        <f>Таблица1[[#This Row],[Годовой доход]]/12</f>
        <v>74749.166666666672</v>
      </c>
      <c r="X171" s="3">
        <f>Таблица1[[#This Row],[Ежемесячный платеж]]/Таблица1[[#This Row],[Ежем доход]]</f>
        <v>0.19100105909764878</v>
      </c>
      <c r="Y171" s="3"/>
      <c r="Z171" s="3"/>
      <c r="AA171" s="3"/>
      <c r="AB171" s="3"/>
    </row>
    <row r="172" spans="1:28" x14ac:dyDescent="0.2">
      <c r="A172">
        <v>1503</v>
      </c>
      <c r="B172" t="s">
        <v>1542</v>
      </c>
      <c r="C172" t="s">
        <v>18</v>
      </c>
      <c r="D172" t="s">
        <v>19</v>
      </c>
      <c r="E172" t="s">
        <v>24</v>
      </c>
      <c r="F172" t="s">
        <v>33</v>
      </c>
      <c r="G172" t="s">
        <v>25</v>
      </c>
      <c r="H172" s="1">
        <v>483010</v>
      </c>
      <c r="I172" s="3">
        <v>749</v>
      </c>
      <c r="J172" s="3">
        <v>1536112</v>
      </c>
      <c r="K172" s="3">
        <v>27394.01</v>
      </c>
      <c r="L172" s="2">
        <v>16</v>
      </c>
      <c r="M172" s="11">
        <v>35.265240640000002</v>
      </c>
      <c r="N172" s="3">
        <v>12</v>
      </c>
      <c r="O172" s="3">
        <v>232579</v>
      </c>
      <c r="P172" s="3">
        <v>1235366</v>
      </c>
      <c r="Q172" s="10">
        <v>0</v>
      </c>
      <c r="R172" s="3">
        <f>(Таблица1[Размер кредита]-$AA$2)/$AA$3</f>
        <v>0.98730301537972587</v>
      </c>
      <c r="S172" s="3">
        <f>(Таблица1[Кредитный рейтинг]-$AA$7)/($AA$8-$AA$7)</f>
        <v>0.99733688415446076</v>
      </c>
      <c r="T172" s="3">
        <f>(Таблица1[Срок с последнего нарушения кредитного договора (мес,)]-$AA$12)/($AA$13-$AA$12)</f>
        <v>0.40074137090909095</v>
      </c>
      <c r="U172" s="3">
        <f>(Таблица1[Количество кредитных карт]-$AA$18)/($AA$19-$AA$18)</f>
        <v>0.26190476190476192</v>
      </c>
      <c r="V172" s="3">
        <f>(Таблица1[Число нарушений кредитных договоров]-$AA$23)/($AA$24-$AA$23)</f>
        <v>0</v>
      </c>
      <c r="W172" s="3">
        <f>Таблица1[[#This Row],[Годовой доход]]/12</f>
        <v>128009.33333333333</v>
      </c>
      <c r="X172" s="3">
        <f>Таблица1[[#This Row],[Ежемесячный платеж]]/Таблица1[[#This Row],[Ежем доход]]</f>
        <v>0.21400009895111816</v>
      </c>
      <c r="Y172" s="3"/>
      <c r="Z172" s="3"/>
      <c r="AA172" s="3"/>
      <c r="AB172" s="3"/>
    </row>
    <row r="173" spans="1:28" x14ac:dyDescent="0.2">
      <c r="A173">
        <v>1944</v>
      </c>
      <c r="B173" t="s">
        <v>1980</v>
      </c>
      <c r="C173" t="s">
        <v>35</v>
      </c>
      <c r="D173" t="s">
        <v>29</v>
      </c>
      <c r="E173" t="s">
        <v>52</v>
      </c>
      <c r="F173" t="s">
        <v>33</v>
      </c>
      <c r="G173" t="s">
        <v>25</v>
      </c>
      <c r="H173" s="1">
        <v>671946</v>
      </c>
      <c r="I173" s="3">
        <v>0</v>
      </c>
      <c r="J173" s="3">
        <v>1168044</v>
      </c>
      <c r="K173" s="3">
        <v>38760.379999999997</v>
      </c>
      <c r="L173" s="2">
        <v>17.3</v>
      </c>
      <c r="M173" s="11">
        <v>35.265240640000002</v>
      </c>
      <c r="N173" s="3">
        <v>13</v>
      </c>
      <c r="O173" s="3">
        <v>880593</v>
      </c>
      <c r="P173" s="3">
        <v>1234442</v>
      </c>
      <c r="Q173" s="10">
        <v>0</v>
      </c>
      <c r="R173" s="3">
        <f>(Таблица1[Размер кредита]-$AA$2)/$AA$3</f>
        <v>2.0629687360533482</v>
      </c>
      <c r="S173" s="3">
        <f>(Таблица1[Кредитный рейтинг]-$AA$7)/($AA$8-$AA$7)</f>
        <v>0</v>
      </c>
      <c r="T173" s="3">
        <f>(Таблица1[Срок с последнего нарушения кредитного договора (мес,)]-$AA$12)/($AA$13-$AA$12)</f>
        <v>0.40074137090909095</v>
      </c>
      <c r="U173" s="3">
        <f>(Таблица1[Количество кредитных карт]-$AA$18)/($AA$19-$AA$18)</f>
        <v>0.2857142857142857</v>
      </c>
      <c r="V173" s="3">
        <f>(Таблица1[Число нарушений кредитных договоров]-$AA$23)/($AA$24-$AA$23)</f>
        <v>0</v>
      </c>
      <c r="W173" s="3">
        <f>Таблица1[[#This Row],[Годовой доход]]/12</f>
        <v>97337</v>
      </c>
      <c r="X173" s="3">
        <f>Таблица1[[#This Row],[Ежемесячный платеж]]/Таблица1[[#This Row],[Ежем доход]]</f>
        <v>0.39820808120242041</v>
      </c>
      <c r="Y173" s="3"/>
      <c r="Z173" s="3"/>
      <c r="AA173" s="3"/>
      <c r="AB173" s="3"/>
    </row>
    <row r="174" spans="1:28" x14ac:dyDescent="0.2">
      <c r="A174">
        <v>1643</v>
      </c>
      <c r="B174" t="s">
        <v>1681</v>
      </c>
      <c r="C174" t="s">
        <v>18</v>
      </c>
      <c r="D174" t="s">
        <v>29</v>
      </c>
      <c r="E174" t="s">
        <v>20</v>
      </c>
      <c r="F174" t="s">
        <v>33</v>
      </c>
      <c r="G174" t="s">
        <v>25</v>
      </c>
      <c r="H174" s="1">
        <v>510488</v>
      </c>
      <c r="I174" s="3">
        <v>685</v>
      </c>
      <c r="J174" s="3">
        <v>1102171</v>
      </c>
      <c r="K174" s="3">
        <v>14971.05</v>
      </c>
      <c r="L174" s="2">
        <v>26</v>
      </c>
      <c r="M174" s="11">
        <v>15</v>
      </c>
      <c r="N174" s="3">
        <v>9</v>
      </c>
      <c r="O174" s="3">
        <v>428906</v>
      </c>
      <c r="P174" s="3">
        <v>1232308</v>
      </c>
      <c r="Q174" s="10">
        <v>0</v>
      </c>
      <c r="R174" s="3">
        <f>(Таблица1[Размер кредита]-$AA$2)/$AA$3</f>
        <v>1.1437429880300931</v>
      </c>
      <c r="S174" s="3">
        <f>(Таблица1[Кредитный рейтинг]-$AA$7)/($AA$8-$AA$7)</f>
        <v>0.91211717709720375</v>
      </c>
      <c r="T174" s="3">
        <f>(Таблица1[Срок с последнего нарушения кредитного договора (мес,)]-$AA$12)/($AA$13-$AA$12)</f>
        <v>0.17045454545454544</v>
      </c>
      <c r="U174" s="3">
        <f>(Таблица1[Количество кредитных карт]-$AA$18)/($AA$19-$AA$18)</f>
        <v>0.19047619047619047</v>
      </c>
      <c r="V174" s="3">
        <f>(Таблица1[Число нарушений кредитных договоров]-$AA$23)/($AA$24-$AA$23)</f>
        <v>0</v>
      </c>
      <c r="W174" s="3">
        <f>Таблица1[[#This Row],[Годовой доход]]/12</f>
        <v>91847.583333333328</v>
      </c>
      <c r="X174" s="3">
        <f>Таблица1[[#This Row],[Ежемесячный платеж]]/Таблица1[[#This Row],[Ежем доход]]</f>
        <v>0.16299884500680928</v>
      </c>
      <c r="Y174" s="3"/>
      <c r="Z174" s="3"/>
      <c r="AA174" s="3"/>
      <c r="AB174" s="3"/>
    </row>
    <row r="175" spans="1:28" x14ac:dyDescent="0.2">
      <c r="A175">
        <v>1471</v>
      </c>
      <c r="B175" t="s">
        <v>1510</v>
      </c>
      <c r="C175" t="s">
        <v>18</v>
      </c>
      <c r="D175" t="s">
        <v>19</v>
      </c>
      <c r="E175" t="s">
        <v>24</v>
      </c>
      <c r="F175" t="s">
        <v>33</v>
      </c>
      <c r="G175" t="s">
        <v>25</v>
      </c>
      <c r="H175" s="1">
        <v>194722</v>
      </c>
      <c r="I175" s="3">
        <v>718</v>
      </c>
      <c r="J175" s="3">
        <v>1643481</v>
      </c>
      <c r="K175" s="3">
        <v>18215.3</v>
      </c>
      <c r="L175" s="2">
        <v>19.899999999999999</v>
      </c>
      <c r="M175" s="11">
        <v>35.265240640000002</v>
      </c>
      <c r="N175" s="3">
        <v>6</v>
      </c>
      <c r="O175" s="3">
        <v>775637</v>
      </c>
      <c r="P175" s="3">
        <v>1228612</v>
      </c>
      <c r="Q175" s="10">
        <v>0</v>
      </c>
      <c r="R175" s="3">
        <f>(Таблица1[Размер кредита]-$AA$2)/$AA$3</f>
        <v>-0.65400154956055656</v>
      </c>
      <c r="S175" s="3">
        <f>(Таблица1[Кредитный рейтинг]-$AA$7)/($AA$8-$AA$7)</f>
        <v>0.95605858854860182</v>
      </c>
      <c r="T175" s="3">
        <f>(Таблица1[Срок с последнего нарушения кредитного договора (мес,)]-$AA$12)/($AA$13-$AA$12)</f>
        <v>0.40074137090909095</v>
      </c>
      <c r="U175" s="3">
        <f>(Таблица1[Количество кредитных карт]-$AA$18)/($AA$19-$AA$18)</f>
        <v>0.11904761904761904</v>
      </c>
      <c r="V175" s="3">
        <f>(Таблица1[Число нарушений кредитных договоров]-$AA$23)/($AA$24-$AA$23)</f>
        <v>0</v>
      </c>
      <c r="W175" s="3">
        <f>Таблица1[[#This Row],[Годовой доход]]/12</f>
        <v>136956.75</v>
      </c>
      <c r="X175" s="3">
        <f>Таблица1[[#This Row],[Ежемесячный платеж]]/Таблица1[[#This Row],[Ежем доход]]</f>
        <v>0.13300038150730065</v>
      </c>
      <c r="Y175" s="3"/>
      <c r="Z175" s="3"/>
      <c r="AA175" s="3"/>
      <c r="AB175" s="3"/>
    </row>
    <row r="176" spans="1:28" x14ac:dyDescent="0.2">
      <c r="A176">
        <v>1087</v>
      </c>
      <c r="B176" t="s">
        <v>1126</v>
      </c>
      <c r="C176" t="s">
        <v>18</v>
      </c>
      <c r="D176" t="s">
        <v>19</v>
      </c>
      <c r="E176" t="s">
        <v>69</v>
      </c>
      <c r="F176" t="s">
        <v>21</v>
      </c>
      <c r="G176" t="s">
        <v>25</v>
      </c>
      <c r="H176" s="1">
        <v>439692</v>
      </c>
      <c r="I176" s="3">
        <v>744</v>
      </c>
      <c r="J176" s="3">
        <v>2278404</v>
      </c>
      <c r="K176" s="3">
        <v>26201.57</v>
      </c>
      <c r="L176" s="2">
        <v>30.5</v>
      </c>
      <c r="M176" s="11">
        <v>20</v>
      </c>
      <c r="N176" s="3">
        <v>15</v>
      </c>
      <c r="O176" s="3">
        <v>565307</v>
      </c>
      <c r="P176" s="3">
        <v>1228084</v>
      </c>
      <c r="Q176" s="10">
        <v>0</v>
      </c>
      <c r="R176" s="3">
        <f>(Таблица1[Размер кредита]-$AA$2)/$AA$3</f>
        <v>0.74068147322714528</v>
      </c>
      <c r="S176" s="3">
        <f>(Таблица1[Кредитный рейтинг]-$AA$7)/($AA$8-$AA$7)</f>
        <v>0.99067909454061254</v>
      </c>
      <c r="T176" s="3">
        <f>(Таблица1[Срок с последнего нарушения кредитного договора (мес,)]-$AA$12)/($AA$13-$AA$12)</f>
        <v>0.22727272727272727</v>
      </c>
      <c r="U176" s="3">
        <f>(Таблица1[Количество кредитных карт]-$AA$18)/($AA$19-$AA$18)</f>
        <v>0.33333333333333331</v>
      </c>
      <c r="V176" s="3">
        <f>(Таблица1[Число нарушений кредитных договоров]-$AA$23)/($AA$24-$AA$23)</f>
        <v>0</v>
      </c>
      <c r="W176" s="3">
        <f>Таблица1[[#This Row],[Годовой доход]]/12</f>
        <v>189867</v>
      </c>
      <c r="X176" s="3">
        <f>Таблица1[[#This Row],[Ежемесячный платеж]]/Таблица1[[#This Row],[Ежем доход]]</f>
        <v>0.13799959971980386</v>
      </c>
      <c r="Y176" s="3"/>
      <c r="Z176" s="3"/>
      <c r="AA176" s="3"/>
      <c r="AB176" s="3"/>
    </row>
    <row r="177" spans="1:28" x14ac:dyDescent="0.2">
      <c r="A177">
        <v>1629</v>
      </c>
      <c r="B177" t="s">
        <v>1667</v>
      </c>
      <c r="C177" t="s">
        <v>18</v>
      </c>
      <c r="D177" t="s">
        <v>29</v>
      </c>
      <c r="E177" t="s">
        <v>41</v>
      </c>
      <c r="F177" t="s">
        <v>21</v>
      </c>
      <c r="G177" t="s">
        <v>25</v>
      </c>
      <c r="H177" s="1">
        <v>309594.52439999999</v>
      </c>
      <c r="I177" s="3">
        <v>733</v>
      </c>
      <c r="J177" s="3">
        <v>1503280</v>
      </c>
      <c r="K177" s="3">
        <v>31694.28</v>
      </c>
      <c r="L177" s="2">
        <v>15.5</v>
      </c>
      <c r="M177" s="11">
        <v>74</v>
      </c>
      <c r="N177" s="3">
        <v>11</v>
      </c>
      <c r="O177" s="3">
        <v>497344</v>
      </c>
      <c r="P177" s="3">
        <v>1225268</v>
      </c>
      <c r="Q177" s="10">
        <v>0</v>
      </c>
      <c r="R177" s="3">
        <f>(Таблица1[Размер кредита]-$AA$2)/$AA$3</f>
        <v>-1.2411115481956205E-10</v>
      </c>
      <c r="S177" s="3">
        <f>(Таблица1[Кредитный рейтинг]-$AA$7)/($AA$8-$AA$7)</f>
        <v>0.97603195739014648</v>
      </c>
      <c r="T177" s="3">
        <f>(Таблица1[Срок с последнего нарушения кредитного договора (мес,)]-$AA$12)/($AA$13-$AA$12)</f>
        <v>0.84090909090909094</v>
      </c>
      <c r="U177" s="3">
        <f>(Таблица1[Количество кредитных карт]-$AA$18)/($AA$19-$AA$18)</f>
        <v>0.23809523809523808</v>
      </c>
      <c r="V177" s="3">
        <f>(Таблица1[Число нарушений кредитных договоров]-$AA$23)/($AA$24-$AA$23)</f>
        <v>0</v>
      </c>
      <c r="W177" s="3">
        <f>Таблица1[[#This Row],[Годовой доход]]/12</f>
        <v>125273.33333333333</v>
      </c>
      <c r="X177" s="3">
        <f>Таблица1[[#This Row],[Ежемесячный платеж]]/Таблица1[[#This Row],[Ежем доход]]</f>
        <v>0.2530010111223458</v>
      </c>
      <c r="Y177" s="3"/>
      <c r="Z177" s="3"/>
      <c r="AA177" s="3"/>
      <c r="AB177" s="3"/>
    </row>
    <row r="178" spans="1:28" x14ac:dyDescent="0.2">
      <c r="A178">
        <v>665</v>
      </c>
      <c r="B178" t="s">
        <v>706</v>
      </c>
      <c r="C178" t="s">
        <v>18</v>
      </c>
      <c r="D178" t="s">
        <v>19</v>
      </c>
      <c r="E178" t="s">
        <v>30</v>
      </c>
      <c r="F178" t="s">
        <v>33</v>
      </c>
      <c r="G178" t="s">
        <v>25</v>
      </c>
      <c r="H178" s="1">
        <v>484484</v>
      </c>
      <c r="I178" s="3">
        <v>0</v>
      </c>
      <c r="J178" s="3">
        <v>1168044</v>
      </c>
      <c r="K178" s="3">
        <v>39551.54</v>
      </c>
      <c r="L178" s="2">
        <v>11.9</v>
      </c>
      <c r="M178" s="11">
        <v>77</v>
      </c>
      <c r="N178" s="3">
        <v>28</v>
      </c>
      <c r="O178" s="3">
        <v>559056</v>
      </c>
      <c r="P178" s="3">
        <v>1219086</v>
      </c>
      <c r="Q178" s="10">
        <v>0</v>
      </c>
      <c r="R178" s="3">
        <f>(Таблица1[Размер кредита]-$AA$2)/$AA$3</f>
        <v>0.99569491143062627</v>
      </c>
      <c r="S178" s="3">
        <f>(Таблица1[Кредитный рейтинг]-$AA$7)/($AA$8-$AA$7)</f>
        <v>0</v>
      </c>
      <c r="T178" s="3">
        <f>(Таблица1[Срок с последнего нарушения кредитного договора (мес,)]-$AA$12)/($AA$13-$AA$12)</f>
        <v>0.875</v>
      </c>
      <c r="U178" s="3">
        <f>(Таблица1[Количество кредитных карт]-$AA$18)/($AA$19-$AA$18)</f>
        <v>0.6428571428571429</v>
      </c>
      <c r="V178" s="3">
        <f>(Таблица1[Число нарушений кредитных договоров]-$AA$23)/($AA$24-$AA$23)</f>
        <v>0</v>
      </c>
      <c r="W178" s="3">
        <f>Таблица1[[#This Row],[Годовой доход]]/12</f>
        <v>97337</v>
      </c>
      <c r="X178" s="3">
        <f>Таблица1[[#This Row],[Ежемесячный платеж]]/Таблица1[[#This Row],[Ежем доход]]</f>
        <v>0.40633613117314077</v>
      </c>
      <c r="Y178" s="3"/>
      <c r="Z178" s="3"/>
      <c r="AA178" s="3"/>
      <c r="AB178" s="3"/>
    </row>
    <row r="179" spans="1:28" x14ac:dyDescent="0.2">
      <c r="A179">
        <v>583</v>
      </c>
      <c r="B179" t="s">
        <v>624</v>
      </c>
      <c r="C179" t="s">
        <v>18</v>
      </c>
      <c r="D179" t="s">
        <v>29</v>
      </c>
      <c r="E179" t="s">
        <v>47</v>
      </c>
      <c r="F179" t="s">
        <v>33</v>
      </c>
      <c r="G179" t="s">
        <v>25</v>
      </c>
      <c r="H179" s="1">
        <v>397430</v>
      </c>
      <c r="I179" s="3">
        <v>0</v>
      </c>
      <c r="J179" s="3">
        <v>1168044</v>
      </c>
      <c r="K179" s="3">
        <v>17517.62</v>
      </c>
      <c r="L179" s="2">
        <v>11.4</v>
      </c>
      <c r="M179" s="11">
        <v>35.265240640000002</v>
      </c>
      <c r="N179" s="3">
        <v>9</v>
      </c>
      <c r="O179" s="3">
        <v>351177</v>
      </c>
      <c r="P179" s="3">
        <v>1213828</v>
      </c>
      <c r="Q179" s="10">
        <v>0</v>
      </c>
      <c r="R179" s="3">
        <f>(Таблица1[Размер кредита]-$AA$2)/$AA$3</f>
        <v>0.50007203570804559</v>
      </c>
      <c r="S179" s="3">
        <f>(Таблица1[Кредитный рейтинг]-$AA$7)/($AA$8-$AA$7)</f>
        <v>0</v>
      </c>
      <c r="T179" s="3">
        <f>(Таблица1[Срок с последнего нарушения кредитного договора (мес,)]-$AA$12)/($AA$13-$AA$12)</f>
        <v>0.40074137090909095</v>
      </c>
      <c r="U179" s="3">
        <f>(Таблица1[Количество кредитных карт]-$AA$18)/($AA$19-$AA$18)</f>
        <v>0.19047619047619047</v>
      </c>
      <c r="V179" s="3">
        <f>(Таблица1[Число нарушений кредитных договоров]-$AA$23)/($AA$24-$AA$23)</f>
        <v>0</v>
      </c>
      <c r="W179" s="3">
        <f>Таблица1[[#This Row],[Годовой доход]]/12</f>
        <v>97337</v>
      </c>
      <c r="X179" s="3">
        <f>Таблица1[[#This Row],[Ежемесячный платеж]]/Таблица1[[#This Row],[Ежем доход]]</f>
        <v>0.17996876829982431</v>
      </c>
      <c r="Y179" s="3"/>
      <c r="Z179" s="3"/>
      <c r="AA179" s="3"/>
      <c r="AB179" s="3"/>
    </row>
    <row r="180" spans="1:28" x14ac:dyDescent="0.2">
      <c r="A180">
        <v>457</v>
      </c>
      <c r="B180" t="s">
        <v>498</v>
      </c>
      <c r="C180" t="s">
        <v>18</v>
      </c>
      <c r="D180" t="s">
        <v>29</v>
      </c>
      <c r="E180" t="s">
        <v>30</v>
      </c>
      <c r="F180" t="s">
        <v>21</v>
      </c>
      <c r="G180" t="s">
        <v>25</v>
      </c>
      <c r="H180" s="1">
        <v>309594.52439999999</v>
      </c>
      <c r="I180" s="3">
        <v>707</v>
      </c>
      <c r="J180" s="3">
        <v>1208324</v>
      </c>
      <c r="K180" s="3">
        <v>18527.66</v>
      </c>
      <c r="L180" s="2">
        <v>12.8</v>
      </c>
      <c r="M180" s="11">
        <v>45</v>
      </c>
      <c r="N180" s="3">
        <v>17</v>
      </c>
      <c r="O180" s="3">
        <v>631788</v>
      </c>
      <c r="P180" s="3">
        <v>1213190</v>
      </c>
      <c r="Q180" s="10">
        <v>0</v>
      </c>
      <c r="R180" s="3">
        <f>(Таблица1[Размер кредита]-$AA$2)/$AA$3</f>
        <v>-1.2411115481956205E-10</v>
      </c>
      <c r="S180" s="3">
        <f>(Таблица1[Кредитный рейтинг]-$AA$7)/($AA$8-$AA$7)</f>
        <v>0.94141145139813587</v>
      </c>
      <c r="T180" s="3">
        <f>(Таблица1[Срок с последнего нарушения кредитного договора (мес,)]-$AA$12)/($AA$13-$AA$12)</f>
        <v>0.51136363636363635</v>
      </c>
      <c r="U180" s="3">
        <f>(Таблица1[Количество кредитных карт]-$AA$18)/($AA$19-$AA$18)</f>
        <v>0.38095238095238093</v>
      </c>
      <c r="V180" s="3">
        <f>(Таблица1[Число нарушений кредитных договоров]-$AA$23)/($AA$24-$AA$23)</f>
        <v>0</v>
      </c>
      <c r="W180" s="3">
        <f>Таблица1[[#This Row],[Годовой доход]]/12</f>
        <v>100693.66666666667</v>
      </c>
      <c r="X180" s="3">
        <f>Таблица1[[#This Row],[Ежемесячный платеж]]/Таблица1[[#This Row],[Ежем доход]]</f>
        <v>0.1840002515881502</v>
      </c>
      <c r="Y180" s="3"/>
      <c r="Z180" s="3"/>
      <c r="AA180" s="3"/>
      <c r="AB180" s="3"/>
    </row>
    <row r="181" spans="1:28" x14ac:dyDescent="0.2">
      <c r="A181">
        <v>1796</v>
      </c>
      <c r="B181" t="s">
        <v>1834</v>
      </c>
      <c r="C181" t="s">
        <v>18</v>
      </c>
      <c r="D181" t="s">
        <v>19</v>
      </c>
      <c r="E181" t="s">
        <v>50</v>
      </c>
      <c r="F181" t="s">
        <v>21</v>
      </c>
      <c r="G181" t="s">
        <v>25</v>
      </c>
      <c r="H181" s="1">
        <v>270204</v>
      </c>
      <c r="I181" s="3">
        <v>749</v>
      </c>
      <c r="J181" s="3">
        <v>1633506</v>
      </c>
      <c r="K181" s="3">
        <v>31308.959999999999</v>
      </c>
      <c r="L181" s="2">
        <v>19.5</v>
      </c>
      <c r="M181" s="11">
        <v>14</v>
      </c>
      <c r="N181" s="3">
        <v>15</v>
      </c>
      <c r="O181" s="3">
        <v>605777</v>
      </c>
      <c r="P181" s="3">
        <v>1209362</v>
      </c>
      <c r="Q181" s="10">
        <v>0</v>
      </c>
      <c r="R181" s="3">
        <f>(Таблица1[Размер кредита]-$AA$2)/$AA$3</f>
        <v>-0.22426132044653724</v>
      </c>
      <c r="S181" s="3">
        <f>(Таблица1[Кредитный рейтинг]-$AA$7)/($AA$8-$AA$7)</f>
        <v>0.99733688415446076</v>
      </c>
      <c r="T181" s="3">
        <f>(Таблица1[Срок с последнего нарушения кредитного договора (мес,)]-$AA$12)/($AA$13-$AA$12)</f>
        <v>0.15909090909090909</v>
      </c>
      <c r="U181" s="3">
        <f>(Таблица1[Количество кредитных карт]-$AA$18)/($AA$19-$AA$18)</f>
        <v>0.33333333333333331</v>
      </c>
      <c r="V181" s="3">
        <f>(Таблица1[Число нарушений кредитных договоров]-$AA$23)/($AA$24-$AA$23)</f>
        <v>0</v>
      </c>
      <c r="W181" s="3">
        <f>Таблица1[[#This Row],[Годовой доход]]/12</f>
        <v>136125.5</v>
      </c>
      <c r="X181" s="3">
        <f>Таблица1[[#This Row],[Ежемесячный платеж]]/Таблица1[[#This Row],[Ежем доход]]</f>
        <v>0.2300006978854072</v>
      </c>
      <c r="Y181" s="3"/>
      <c r="Z181" s="3"/>
      <c r="AA181" s="3"/>
      <c r="AB181" s="3"/>
    </row>
    <row r="182" spans="1:28" x14ac:dyDescent="0.2">
      <c r="A182">
        <v>1345</v>
      </c>
      <c r="B182" t="s">
        <v>1384</v>
      </c>
      <c r="C182" t="s">
        <v>18</v>
      </c>
      <c r="D182" t="s">
        <v>19</v>
      </c>
      <c r="E182" t="s">
        <v>24</v>
      </c>
      <c r="F182" t="s">
        <v>33</v>
      </c>
      <c r="G182" t="s">
        <v>25</v>
      </c>
      <c r="H182" s="1">
        <v>673464</v>
      </c>
      <c r="I182" s="3">
        <v>739</v>
      </c>
      <c r="J182" s="3">
        <v>2617326</v>
      </c>
      <c r="K182" s="3">
        <v>25737.02</v>
      </c>
      <c r="L182" s="2">
        <v>21.1</v>
      </c>
      <c r="M182" s="11">
        <v>35.265240640000002</v>
      </c>
      <c r="N182" s="3">
        <v>6</v>
      </c>
      <c r="O182" s="3">
        <v>889162</v>
      </c>
      <c r="P182" s="3">
        <v>1208394</v>
      </c>
      <c r="Q182" s="10">
        <v>0</v>
      </c>
      <c r="R182" s="3">
        <f>(Таблица1[Размер кредита]-$AA$2)/$AA$3</f>
        <v>2.0716111364639769</v>
      </c>
      <c r="S182" s="3">
        <f>(Таблица1[Кредитный рейтинг]-$AA$7)/($AA$8-$AA$7)</f>
        <v>0.98402130492676432</v>
      </c>
      <c r="T182" s="3">
        <f>(Таблица1[Срок с последнего нарушения кредитного договора (мес,)]-$AA$12)/($AA$13-$AA$12)</f>
        <v>0.40074137090909095</v>
      </c>
      <c r="U182" s="3">
        <f>(Таблица1[Количество кредитных карт]-$AA$18)/($AA$19-$AA$18)</f>
        <v>0.11904761904761904</v>
      </c>
      <c r="V182" s="3">
        <f>(Таблица1[Число нарушений кредитных договоров]-$AA$23)/($AA$24-$AA$23)</f>
        <v>0</v>
      </c>
      <c r="W182" s="3">
        <f>Таблица1[[#This Row],[Годовой доход]]/12</f>
        <v>218110.5</v>
      </c>
      <c r="X182" s="3">
        <f>Таблица1[[#This Row],[Ежемесячный платеж]]/Таблица1[[#This Row],[Ежем доход]]</f>
        <v>0.11799991288819199</v>
      </c>
      <c r="Y182" s="3"/>
      <c r="Z182" s="3"/>
      <c r="AA182" s="3"/>
      <c r="AB182" s="3"/>
    </row>
    <row r="183" spans="1:28" x14ac:dyDescent="0.2">
      <c r="A183">
        <v>1157</v>
      </c>
      <c r="B183" t="s">
        <v>1196</v>
      </c>
      <c r="C183" t="s">
        <v>18</v>
      </c>
      <c r="D183" t="s">
        <v>19</v>
      </c>
      <c r="E183" t="s">
        <v>30</v>
      </c>
      <c r="F183" t="s">
        <v>27</v>
      </c>
      <c r="G183" t="s">
        <v>25</v>
      </c>
      <c r="H183" s="1">
        <v>86262</v>
      </c>
      <c r="I183" s="3">
        <v>738</v>
      </c>
      <c r="J183" s="3">
        <v>863208</v>
      </c>
      <c r="K183" s="3">
        <v>19997.88</v>
      </c>
      <c r="L183" s="2">
        <v>20.399999999999999</v>
      </c>
      <c r="M183" s="11">
        <v>46</v>
      </c>
      <c r="N183" s="3">
        <v>21</v>
      </c>
      <c r="O183" s="3">
        <v>269021</v>
      </c>
      <c r="P183" s="3">
        <v>1207338</v>
      </c>
      <c r="Q183" s="10">
        <v>1</v>
      </c>
      <c r="R183" s="3">
        <f>(Таблица1[Размер кредита]-$AA$2)/$AA$3</f>
        <v>-1.2714947962909895</v>
      </c>
      <c r="S183" s="3">
        <f>(Таблица1[Кредитный рейтинг]-$AA$7)/($AA$8-$AA$7)</f>
        <v>0.9826897470039947</v>
      </c>
      <c r="T183" s="3">
        <f>(Таблица1[Срок с последнего нарушения кредитного договора (мес,)]-$AA$12)/($AA$13-$AA$12)</f>
        <v>0.52272727272727271</v>
      </c>
      <c r="U183" s="3">
        <f>(Таблица1[Количество кредитных карт]-$AA$18)/($AA$19-$AA$18)</f>
        <v>0.47619047619047616</v>
      </c>
      <c r="V183" s="3">
        <f>(Таблица1[Число нарушений кредитных договоров]-$AA$23)/($AA$24-$AA$23)</f>
        <v>0.14285714285714285</v>
      </c>
      <c r="W183" s="3">
        <f>Таблица1[[#This Row],[Годовой доход]]/12</f>
        <v>71934</v>
      </c>
      <c r="X183" s="3">
        <f>Таблица1[[#This Row],[Ежемесячный платеж]]/Таблица1[[#This Row],[Ежем доход]]</f>
        <v>0.2780031695721078</v>
      </c>
      <c r="Y183" s="3"/>
      <c r="Z183" s="3"/>
      <c r="AA183" s="3"/>
      <c r="AB183" s="3"/>
    </row>
    <row r="184" spans="1:28" x14ac:dyDescent="0.2">
      <c r="A184">
        <v>1535</v>
      </c>
      <c r="B184" t="s">
        <v>1574</v>
      </c>
      <c r="C184" t="s">
        <v>18</v>
      </c>
      <c r="D184" t="s">
        <v>29</v>
      </c>
      <c r="E184" t="s">
        <v>24</v>
      </c>
      <c r="F184" t="s">
        <v>21</v>
      </c>
      <c r="G184" t="s">
        <v>25</v>
      </c>
      <c r="H184" s="1">
        <v>309594.52439999999</v>
      </c>
      <c r="I184" s="3">
        <v>727</v>
      </c>
      <c r="J184" s="3">
        <v>1467256</v>
      </c>
      <c r="K184" s="3">
        <v>21153.08</v>
      </c>
      <c r="L184" s="2">
        <v>38.5</v>
      </c>
      <c r="M184" s="11">
        <v>35.265240640000002</v>
      </c>
      <c r="N184" s="3">
        <v>16</v>
      </c>
      <c r="O184" s="3">
        <v>635968</v>
      </c>
      <c r="P184" s="3">
        <v>1207206</v>
      </c>
      <c r="Q184" s="10">
        <v>0</v>
      </c>
      <c r="R184" s="3">
        <f>(Таблица1[Размер кредита]-$AA$2)/$AA$3</f>
        <v>-1.2411115481956205E-10</v>
      </c>
      <c r="S184" s="3">
        <f>(Таблица1[Кредитный рейтинг]-$AA$7)/($AA$8-$AA$7)</f>
        <v>0.96804260985352863</v>
      </c>
      <c r="T184" s="3">
        <f>(Таблица1[Срок с последнего нарушения кредитного договора (мес,)]-$AA$12)/($AA$13-$AA$12)</f>
        <v>0.40074137090909095</v>
      </c>
      <c r="U184" s="3">
        <f>(Таблица1[Количество кредитных карт]-$AA$18)/($AA$19-$AA$18)</f>
        <v>0.35714285714285715</v>
      </c>
      <c r="V184" s="3">
        <f>(Таблица1[Число нарушений кредитных договоров]-$AA$23)/($AA$24-$AA$23)</f>
        <v>0</v>
      </c>
      <c r="W184" s="3">
        <f>Таблица1[[#This Row],[Годовой доход]]/12</f>
        <v>122271.33333333333</v>
      </c>
      <c r="X184" s="3">
        <f>Таблица1[[#This Row],[Ежемесячный платеж]]/Таблица1[[#This Row],[Ежем доход]]</f>
        <v>0.17300113954211127</v>
      </c>
      <c r="Y184" s="3"/>
      <c r="Z184" s="3"/>
      <c r="AA184" s="3"/>
      <c r="AB184" s="3"/>
    </row>
    <row r="185" spans="1:28" x14ac:dyDescent="0.2">
      <c r="A185">
        <v>805</v>
      </c>
      <c r="B185" t="s">
        <v>846</v>
      </c>
      <c r="C185" t="s">
        <v>18</v>
      </c>
      <c r="D185" t="s">
        <v>29</v>
      </c>
      <c r="E185" t="s">
        <v>24</v>
      </c>
      <c r="F185" t="s">
        <v>21</v>
      </c>
      <c r="G185" t="s">
        <v>25</v>
      </c>
      <c r="H185" s="1">
        <v>309594.52439999999</v>
      </c>
      <c r="I185" s="3">
        <v>739</v>
      </c>
      <c r="J185" s="3">
        <v>1461689</v>
      </c>
      <c r="K185" s="3">
        <v>21072.71</v>
      </c>
      <c r="L185" s="2">
        <v>34</v>
      </c>
      <c r="M185" s="11">
        <v>35.265240640000002</v>
      </c>
      <c r="N185" s="3">
        <v>11</v>
      </c>
      <c r="O185" s="3">
        <v>612731</v>
      </c>
      <c r="P185" s="3">
        <v>1204544</v>
      </c>
      <c r="Q185" s="10">
        <v>0</v>
      </c>
      <c r="R185" s="3">
        <f>(Таблица1[Размер кредита]-$AA$2)/$AA$3</f>
        <v>-1.2411115481956205E-10</v>
      </c>
      <c r="S185" s="3">
        <f>(Таблица1[Кредитный рейтинг]-$AA$7)/($AA$8-$AA$7)</f>
        <v>0.98402130492676432</v>
      </c>
      <c r="T185" s="3">
        <f>(Таблица1[Срок с последнего нарушения кредитного договора (мес,)]-$AA$12)/($AA$13-$AA$12)</f>
        <v>0.40074137090909095</v>
      </c>
      <c r="U185" s="3">
        <f>(Таблица1[Количество кредитных карт]-$AA$18)/($AA$19-$AA$18)</f>
        <v>0.23809523809523808</v>
      </c>
      <c r="V185" s="3">
        <f>(Таблица1[Число нарушений кредитных договоров]-$AA$23)/($AA$24-$AA$23)</f>
        <v>0</v>
      </c>
      <c r="W185" s="3">
        <f>Таблица1[[#This Row],[Годовой доход]]/12</f>
        <v>121807.41666666667</v>
      </c>
      <c r="X185" s="3">
        <f>Таблица1[[#This Row],[Ежемесячный платеж]]/Таблица1[[#This Row],[Ежем доход]]</f>
        <v>0.17300022097723933</v>
      </c>
      <c r="Y185" s="3"/>
      <c r="Z185" s="3"/>
      <c r="AA185" s="3"/>
      <c r="AB185" s="3"/>
    </row>
    <row r="186" spans="1:28" x14ac:dyDescent="0.2">
      <c r="A186">
        <v>367</v>
      </c>
      <c r="B186" t="s">
        <v>409</v>
      </c>
      <c r="C186" t="s">
        <v>18</v>
      </c>
      <c r="D186" t="s">
        <v>19</v>
      </c>
      <c r="E186" t="s">
        <v>24</v>
      </c>
      <c r="F186" t="s">
        <v>33</v>
      </c>
      <c r="G186" t="s">
        <v>25</v>
      </c>
      <c r="H186" s="1">
        <v>268004</v>
      </c>
      <c r="I186" s="3">
        <v>750</v>
      </c>
      <c r="J186" s="3">
        <v>867996</v>
      </c>
      <c r="K186" s="3">
        <v>21410.53</v>
      </c>
      <c r="L186" s="2">
        <v>23</v>
      </c>
      <c r="M186" s="11">
        <v>75</v>
      </c>
      <c r="N186" s="3">
        <v>15</v>
      </c>
      <c r="O186" s="3">
        <v>309776</v>
      </c>
      <c r="P186" s="3">
        <v>1203664</v>
      </c>
      <c r="Q186" s="10">
        <v>0</v>
      </c>
      <c r="R186" s="3">
        <f>(Таблица1[Размер кредита]-$AA$2)/$AA$3</f>
        <v>-0.23678653843295575</v>
      </c>
      <c r="S186" s="3">
        <f>(Таблица1[Кредитный рейтинг]-$AA$7)/($AA$8-$AA$7)</f>
        <v>0.99866844207723038</v>
      </c>
      <c r="T186" s="3">
        <f>(Таблица1[Срок с последнего нарушения кредитного договора (мес,)]-$AA$12)/($AA$13-$AA$12)</f>
        <v>0.85227272727272729</v>
      </c>
      <c r="U186" s="3">
        <f>(Таблица1[Количество кредитных карт]-$AA$18)/($AA$19-$AA$18)</f>
        <v>0.33333333333333331</v>
      </c>
      <c r="V186" s="3">
        <f>(Таблица1[Число нарушений кредитных договоров]-$AA$23)/($AA$24-$AA$23)</f>
        <v>0</v>
      </c>
      <c r="W186" s="3">
        <f>Таблица1[[#This Row],[Годовой доход]]/12</f>
        <v>72333</v>
      </c>
      <c r="X186" s="3">
        <f>Таблица1[[#This Row],[Ежемесячный платеж]]/Таблица1[[#This Row],[Ежем доход]]</f>
        <v>0.29599947465195692</v>
      </c>
      <c r="Y186" s="3"/>
      <c r="Z186" s="3"/>
      <c r="AA186" s="3"/>
      <c r="AB186" s="3"/>
    </row>
    <row r="187" spans="1:28" x14ac:dyDescent="0.2">
      <c r="A187">
        <v>1587</v>
      </c>
      <c r="B187" t="s">
        <v>1626</v>
      </c>
      <c r="C187" t="s">
        <v>18</v>
      </c>
      <c r="D187" t="s">
        <v>19</v>
      </c>
      <c r="E187" t="s">
        <v>52</v>
      </c>
      <c r="F187" t="s">
        <v>21</v>
      </c>
      <c r="G187" t="s">
        <v>25</v>
      </c>
      <c r="H187" s="1">
        <v>337766</v>
      </c>
      <c r="I187" s="3">
        <v>746</v>
      </c>
      <c r="J187" s="3">
        <v>1050111</v>
      </c>
      <c r="K187" s="3">
        <v>16276.73</v>
      </c>
      <c r="L187" s="2">
        <v>19.2</v>
      </c>
      <c r="M187" s="11">
        <v>35.265240640000002</v>
      </c>
      <c r="N187" s="3">
        <v>10</v>
      </c>
      <c r="O187" s="3">
        <v>334704</v>
      </c>
      <c r="P187" s="3">
        <v>1203598</v>
      </c>
      <c r="Q187" s="10">
        <v>0</v>
      </c>
      <c r="R187" s="3">
        <f>(Таблица1[Размер кредита]-$AA$2)/$AA$3</f>
        <v>0.16038812391637541</v>
      </c>
      <c r="S187" s="3">
        <f>(Таблица1[Кредитный рейтинг]-$AA$7)/($AA$8-$AA$7)</f>
        <v>0.99334221038615178</v>
      </c>
      <c r="T187" s="3">
        <f>(Таблица1[Срок с последнего нарушения кредитного договора (мес,)]-$AA$12)/($AA$13-$AA$12)</f>
        <v>0.40074137090909095</v>
      </c>
      <c r="U187" s="3">
        <f>(Таблица1[Количество кредитных карт]-$AA$18)/($AA$19-$AA$18)</f>
        <v>0.21428571428571427</v>
      </c>
      <c r="V187" s="3">
        <f>(Таблица1[Число нарушений кредитных договоров]-$AA$23)/($AA$24-$AA$23)</f>
        <v>0</v>
      </c>
      <c r="W187" s="3">
        <f>Таблица1[[#This Row],[Годовой доход]]/12</f>
        <v>87509.25</v>
      </c>
      <c r="X187" s="3">
        <f>Таблица1[[#This Row],[Ежемесячный платеж]]/Таблица1[[#This Row],[Ежем доход]]</f>
        <v>0.18600010855995222</v>
      </c>
      <c r="Y187" s="3"/>
      <c r="Z187" s="3"/>
      <c r="AA187" s="3"/>
      <c r="AB187" s="3"/>
    </row>
    <row r="188" spans="1:28" x14ac:dyDescent="0.2">
      <c r="A188">
        <v>750</v>
      </c>
      <c r="B188" t="s">
        <v>791</v>
      </c>
      <c r="C188" t="s">
        <v>35</v>
      </c>
      <c r="D188" t="s">
        <v>29</v>
      </c>
      <c r="E188" t="s">
        <v>24</v>
      </c>
      <c r="F188" t="s">
        <v>33</v>
      </c>
      <c r="G188" t="s">
        <v>25</v>
      </c>
      <c r="H188" s="1">
        <v>628584</v>
      </c>
      <c r="I188" s="3">
        <v>692</v>
      </c>
      <c r="J188" s="3">
        <v>1217102</v>
      </c>
      <c r="K188" s="3">
        <v>19879.509999999998</v>
      </c>
      <c r="L188" s="2">
        <v>28.8</v>
      </c>
      <c r="M188" s="11">
        <v>34</v>
      </c>
      <c r="N188" s="3">
        <v>24</v>
      </c>
      <c r="O188" s="3">
        <v>451934</v>
      </c>
      <c r="P188" s="3">
        <v>1202960</v>
      </c>
      <c r="Q188" s="10">
        <v>0</v>
      </c>
      <c r="R188" s="3">
        <f>(Таблица1[Размер кредита]-$AA$2)/$AA$3</f>
        <v>1.8160966895410391</v>
      </c>
      <c r="S188" s="3">
        <f>(Таблица1[Кредитный рейтинг]-$AA$7)/($AA$8-$AA$7)</f>
        <v>0.92143808255659121</v>
      </c>
      <c r="T188" s="3">
        <f>(Таблица1[Срок с последнего нарушения кредитного договора (мес,)]-$AA$12)/($AA$13-$AA$12)</f>
        <v>0.38636363636363635</v>
      </c>
      <c r="U188" s="3">
        <f>(Таблица1[Количество кредитных карт]-$AA$18)/($AA$19-$AA$18)</f>
        <v>0.54761904761904767</v>
      </c>
      <c r="V188" s="3">
        <f>(Таблица1[Число нарушений кредитных договоров]-$AA$23)/($AA$24-$AA$23)</f>
        <v>0</v>
      </c>
      <c r="W188" s="3">
        <f>Таблица1[[#This Row],[Годовой доход]]/12</f>
        <v>101425.16666666667</v>
      </c>
      <c r="X188" s="3">
        <f>Таблица1[[#This Row],[Ежемесячный платеж]]/Таблица1[[#This Row],[Ежем доход]]</f>
        <v>0.19600174841549842</v>
      </c>
      <c r="Y188" s="3"/>
      <c r="Z188" s="3"/>
      <c r="AA188" s="3"/>
      <c r="AB188" s="3"/>
    </row>
    <row r="189" spans="1:28" x14ac:dyDescent="0.2">
      <c r="A189">
        <v>1497</v>
      </c>
      <c r="B189" t="s">
        <v>1536</v>
      </c>
      <c r="C189" t="s">
        <v>35</v>
      </c>
      <c r="D189" t="s">
        <v>19</v>
      </c>
      <c r="E189" t="s">
        <v>50</v>
      </c>
      <c r="F189" t="s">
        <v>21</v>
      </c>
      <c r="G189" t="s">
        <v>25</v>
      </c>
      <c r="H189" s="1">
        <v>531850</v>
      </c>
      <c r="I189" s="3">
        <v>749</v>
      </c>
      <c r="J189" s="3">
        <v>1626799</v>
      </c>
      <c r="K189" s="3">
        <v>6547.97</v>
      </c>
      <c r="L189" s="2">
        <v>15.8</v>
      </c>
      <c r="M189" s="11">
        <v>70</v>
      </c>
      <c r="N189" s="3">
        <v>12</v>
      </c>
      <c r="O189" s="3">
        <v>380114</v>
      </c>
      <c r="P189" s="3">
        <v>1202542</v>
      </c>
      <c r="Q189" s="10">
        <v>0</v>
      </c>
      <c r="R189" s="3">
        <f>(Таблица1[Размер кредита]-$AA$2)/$AA$3</f>
        <v>1.265362854678217</v>
      </c>
      <c r="S189" s="3">
        <f>(Таблица1[Кредитный рейтинг]-$AA$7)/($AA$8-$AA$7)</f>
        <v>0.99733688415446076</v>
      </c>
      <c r="T189" s="3">
        <f>(Таблица1[Срок с последнего нарушения кредитного договора (мес,)]-$AA$12)/($AA$13-$AA$12)</f>
        <v>0.79545454545454541</v>
      </c>
      <c r="U189" s="3">
        <f>(Таблица1[Количество кредитных карт]-$AA$18)/($AA$19-$AA$18)</f>
        <v>0.26190476190476192</v>
      </c>
      <c r="V189" s="3">
        <f>(Таблица1[Число нарушений кредитных договоров]-$AA$23)/($AA$24-$AA$23)</f>
        <v>0</v>
      </c>
      <c r="W189" s="3">
        <f>Таблица1[[#This Row],[Годовой доход]]/12</f>
        <v>135566.58333333334</v>
      </c>
      <c r="X189" s="3">
        <f>Таблица1[[#This Row],[Ежемесячный платеж]]/Таблица1[[#This Row],[Ежем доход]]</f>
        <v>4.830076733511638E-2</v>
      </c>
      <c r="Y189" s="3"/>
      <c r="Z189" s="3"/>
      <c r="AA189" s="3"/>
      <c r="AB189" s="3"/>
    </row>
    <row r="190" spans="1:28" x14ac:dyDescent="0.2">
      <c r="A190">
        <v>1241</v>
      </c>
      <c r="B190" t="s">
        <v>1280</v>
      </c>
      <c r="C190" t="s">
        <v>18</v>
      </c>
      <c r="D190" t="s">
        <v>19</v>
      </c>
      <c r="E190" t="s">
        <v>47</v>
      </c>
      <c r="F190" t="s">
        <v>21</v>
      </c>
      <c r="G190" t="s">
        <v>67</v>
      </c>
      <c r="H190" s="1">
        <v>309594.52439999999</v>
      </c>
      <c r="I190" s="3">
        <v>747</v>
      </c>
      <c r="J190" s="3">
        <v>2157906</v>
      </c>
      <c r="K190" s="3">
        <v>11149.2</v>
      </c>
      <c r="L190" s="2">
        <v>36</v>
      </c>
      <c r="M190" s="11">
        <v>74</v>
      </c>
      <c r="N190" s="3">
        <v>18</v>
      </c>
      <c r="O190" s="3">
        <v>257526</v>
      </c>
      <c r="P190" s="3">
        <v>1192730</v>
      </c>
      <c r="Q190" s="10">
        <v>0</v>
      </c>
      <c r="R190" s="3">
        <f>(Таблица1[Размер кредита]-$AA$2)/$AA$3</f>
        <v>-1.2411115481956205E-10</v>
      </c>
      <c r="S190" s="3">
        <f>(Таблица1[Кредитный рейтинг]-$AA$7)/($AA$8-$AA$7)</f>
        <v>0.9946737683089214</v>
      </c>
      <c r="T190" s="3">
        <f>(Таблица1[Срок с последнего нарушения кредитного договора (мес,)]-$AA$12)/($AA$13-$AA$12)</f>
        <v>0.84090909090909094</v>
      </c>
      <c r="U190" s="3">
        <f>(Таблица1[Количество кредитных карт]-$AA$18)/($AA$19-$AA$18)</f>
        <v>0.40476190476190477</v>
      </c>
      <c r="V190" s="3">
        <f>(Таблица1[Число нарушений кредитных договоров]-$AA$23)/($AA$24-$AA$23)</f>
        <v>0</v>
      </c>
      <c r="W190" s="3">
        <f>Таблица1[[#This Row],[Годовой доход]]/12</f>
        <v>179825.5</v>
      </c>
      <c r="X190" s="3">
        <f>Таблица1[[#This Row],[Ежемесячный платеж]]/Таблица1[[#This Row],[Ежем доход]]</f>
        <v>6.2000105657985104E-2</v>
      </c>
      <c r="Y190" s="3"/>
      <c r="Z190" s="3"/>
      <c r="AA190" s="3"/>
      <c r="AB190" s="3"/>
    </row>
    <row r="191" spans="1:28" x14ac:dyDescent="0.2">
      <c r="A191">
        <v>660</v>
      </c>
      <c r="B191" s="4" t="s">
        <v>701</v>
      </c>
      <c r="C191" t="s">
        <v>18</v>
      </c>
      <c r="D191" t="s">
        <v>19</v>
      </c>
      <c r="E191" t="s">
        <v>20</v>
      </c>
      <c r="F191" t="s">
        <v>21</v>
      </c>
      <c r="G191" t="s">
        <v>25</v>
      </c>
      <c r="H191" s="1">
        <v>215622</v>
      </c>
      <c r="I191" s="3">
        <v>743</v>
      </c>
      <c r="J191" s="3">
        <v>1899430</v>
      </c>
      <c r="K191" s="3">
        <v>34189.74</v>
      </c>
      <c r="L191" s="2">
        <v>19.399999999999999</v>
      </c>
      <c r="M191" s="11">
        <v>20</v>
      </c>
      <c r="N191" s="3">
        <v>13</v>
      </c>
      <c r="O191" s="3">
        <v>324235</v>
      </c>
      <c r="P191" s="3">
        <v>1191806</v>
      </c>
      <c r="Q191" s="10">
        <v>0</v>
      </c>
      <c r="R191" s="3">
        <f>(Таблица1[Размер кредита]-$AA$2)/$AA$3</f>
        <v>-0.53501197868958061</v>
      </c>
      <c r="S191" s="3">
        <f>(Таблица1[Кредитный рейтинг]-$AA$7)/($AA$8-$AA$7)</f>
        <v>0.98934753661784292</v>
      </c>
      <c r="T191" s="3">
        <f>(Таблица1[Срок с последнего нарушения кредитного договора (мес,)]-$AA$12)/($AA$13-$AA$12)</f>
        <v>0.22727272727272727</v>
      </c>
      <c r="U191" s="3">
        <f>(Таблица1[Количество кредитных карт]-$AA$18)/($AA$19-$AA$18)</f>
        <v>0.2857142857142857</v>
      </c>
      <c r="V191" s="3">
        <f>(Таблица1[Число нарушений кредитных договоров]-$AA$23)/($AA$24-$AA$23)</f>
        <v>0</v>
      </c>
      <c r="W191" s="3">
        <f>Таблица1[[#This Row],[Годовой доход]]/12</f>
        <v>158285.83333333334</v>
      </c>
      <c r="X191" s="3">
        <f>Таблица1[[#This Row],[Ежемесячный платеж]]/Таблица1[[#This Row],[Ежем доход]]</f>
        <v>0.21599999999999997</v>
      </c>
      <c r="Y191" s="3"/>
      <c r="Z191" s="3"/>
      <c r="AA191" s="3"/>
      <c r="AB191" s="3"/>
    </row>
    <row r="192" spans="1:28" x14ac:dyDescent="0.2">
      <c r="A192">
        <v>935</v>
      </c>
      <c r="B192" t="s">
        <v>976</v>
      </c>
      <c r="C192" t="s">
        <v>35</v>
      </c>
      <c r="D192" t="s">
        <v>29</v>
      </c>
      <c r="E192" t="s">
        <v>24</v>
      </c>
      <c r="F192" t="s">
        <v>21</v>
      </c>
      <c r="G192" t="s">
        <v>25</v>
      </c>
      <c r="H192" s="1">
        <v>522456</v>
      </c>
      <c r="I192" s="3">
        <v>705</v>
      </c>
      <c r="J192" s="3">
        <v>1302469</v>
      </c>
      <c r="K192" s="3">
        <v>35492.19</v>
      </c>
      <c r="L192" s="2">
        <v>35</v>
      </c>
      <c r="M192" s="11">
        <v>35.265240640000002</v>
      </c>
      <c r="N192" s="3">
        <v>15</v>
      </c>
      <c r="O192" s="3">
        <v>589095</v>
      </c>
      <c r="P192" s="3">
        <v>1188330</v>
      </c>
      <c r="Q192" s="10">
        <v>0</v>
      </c>
      <c r="R192" s="3">
        <f>(Таблица1[Размер кредита]-$AA$2)/$AA$3</f>
        <v>1.2118801738762099</v>
      </c>
      <c r="S192" s="3">
        <f>(Таблица1[Кредитный рейтинг]-$AA$7)/($AA$8-$AA$7)</f>
        <v>0.93874833555259651</v>
      </c>
      <c r="T192" s="3">
        <f>(Таблица1[Срок с последнего нарушения кредитного договора (мес,)]-$AA$12)/($AA$13-$AA$12)</f>
        <v>0.40074137090909095</v>
      </c>
      <c r="U192" s="3">
        <f>(Таблица1[Количество кредитных карт]-$AA$18)/($AA$19-$AA$18)</f>
        <v>0.33333333333333331</v>
      </c>
      <c r="V192" s="3">
        <f>(Таблица1[Число нарушений кредитных договоров]-$AA$23)/($AA$24-$AA$23)</f>
        <v>0</v>
      </c>
      <c r="W192" s="3">
        <f>Таблица1[[#This Row],[Годовой доход]]/12</f>
        <v>108539.08333333333</v>
      </c>
      <c r="X192" s="3">
        <f>Таблица1[[#This Row],[Ежемесячный платеж]]/Таблица1[[#This Row],[Ежем доход]]</f>
        <v>0.326999168502283</v>
      </c>
      <c r="Y192" s="3"/>
      <c r="Z192" s="3"/>
      <c r="AA192" s="3"/>
      <c r="AB192" s="3"/>
    </row>
    <row r="193" spans="1:28" x14ac:dyDescent="0.2">
      <c r="A193">
        <v>1246</v>
      </c>
      <c r="B193" t="s">
        <v>1285</v>
      </c>
      <c r="C193" t="s">
        <v>18</v>
      </c>
      <c r="D193" t="s">
        <v>29</v>
      </c>
      <c r="E193" t="s">
        <v>50</v>
      </c>
      <c r="F193" t="s">
        <v>21</v>
      </c>
      <c r="G193" t="s">
        <v>25</v>
      </c>
      <c r="H193" s="1">
        <v>501138</v>
      </c>
      <c r="I193" s="3">
        <v>713</v>
      </c>
      <c r="J193" s="3">
        <v>1518632</v>
      </c>
      <c r="K193" s="3">
        <v>14679.97</v>
      </c>
      <c r="L193" s="2">
        <v>13.5</v>
      </c>
      <c r="M193" s="11">
        <v>35.265240640000002</v>
      </c>
      <c r="N193" s="3">
        <v>8</v>
      </c>
      <c r="O193" s="3">
        <v>584155</v>
      </c>
      <c r="P193" s="3">
        <v>1184568</v>
      </c>
      <c r="Q193" s="10">
        <v>0</v>
      </c>
      <c r="R193" s="3">
        <f>(Таблица1[Размер кредита]-$AA$2)/$AA$3</f>
        <v>1.0905108115878144</v>
      </c>
      <c r="S193" s="3">
        <f>(Таблица1[Кредитный рейтинг]-$AA$7)/($AA$8-$AA$7)</f>
        <v>0.94940079893475371</v>
      </c>
      <c r="T193" s="3">
        <f>(Таблица1[Срок с последнего нарушения кредитного договора (мес,)]-$AA$12)/($AA$13-$AA$12)</f>
        <v>0.40074137090909095</v>
      </c>
      <c r="U193" s="3">
        <f>(Таблица1[Количество кредитных карт]-$AA$18)/($AA$19-$AA$18)</f>
        <v>0.16666666666666666</v>
      </c>
      <c r="V193" s="3">
        <f>(Таблица1[Число нарушений кредитных договоров]-$AA$23)/($AA$24-$AA$23)</f>
        <v>0</v>
      </c>
      <c r="W193" s="3">
        <f>Таблица1[[#This Row],[Годовой доход]]/12</f>
        <v>126552.66666666667</v>
      </c>
      <c r="X193" s="3">
        <f>Таблица1[[#This Row],[Ежемесячный платеж]]/Таблица1[[#This Row],[Ежем доход]]</f>
        <v>0.11599889900910819</v>
      </c>
      <c r="Y193" s="3"/>
      <c r="Z193" s="3"/>
      <c r="AA193" s="3"/>
      <c r="AB193" s="3"/>
    </row>
    <row r="194" spans="1:28" x14ac:dyDescent="0.2">
      <c r="A194">
        <v>1877</v>
      </c>
      <c r="B194" t="s">
        <v>1913</v>
      </c>
      <c r="C194" t="s">
        <v>18</v>
      </c>
      <c r="D194" t="s">
        <v>19</v>
      </c>
      <c r="E194" t="s">
        <v>63</v>
      </c>
      <c r="F194" t="s">
        <v>33</v>
      </c>
      <c r="G194" t="s">
        <v>25</v>
      </c>
      <c r="H194" s="1">
        <v>549450</v>
      </c>
      <c r="I194" s="3">
        <v>728</v>
      </c>
      <c r="J194" s="3">
        <v>2372625</v>
      </c>
      <c r="K194" s="3">
        <v>26098.97</v>
      </c>
      <c r="L194" s="2">
        <v>21.7</v>
      </c>
      <c r="M194" s="11">
        <v>46</v>
      </c>
      <c r="N194" s="3">
        <v>10</v>
      </c>
      <c r="O194" s="3">
        <v>574218</v>
      </c>
      <c r="P194" s="3">
        <v>1183050</v>
      </c>
      <c r="Q194" s="10">
        <v>0</v>
      </c>
      <c r="R194" s="3">
        <f>(Таблица1[Размер кредита]-$AA$2)/$AA$3</f>
        <v>1.365564598569565</v>
      </c>
      <c r="S194" s="3">
        <f>(Таблица1[Кредитный рейтинг]-$AA$7)/($AA$8-$AA$7)</f>
        <v>0.96937416777629826</v>
      </c>
      <c r="T194" s="3">
        <f>(Таблица1[Срок с последнего нарушения кредитного договора (мес,)]-$AA$12)/($AA$13-$AA$12)</f>
        <v>0.52272727272727271</v>
      </c>
      <c r="U194" s="3">
        <f>(Таблица1[Количество кредитных карт]-$AA$18)/($AA$19-$AA$18)</f>
        <v>0.21428571428571427</v>
      </c>
      <c r="V194" s="3">
        <f>(Таблица1[Число нарушений кредитных договоров]-$AA$23)/($AA$24-$AA$23)</f>
        <v>0</v>
      </c>
      <c r="W194" s="3">
        <f>Таблица1[[#This Row],[Годовой доход]]/12</f>
        <v>197718.75</v>
      </c>
      <c r="X194" s="3">
        <f>Таблица1[[#This Row],[Ежемесячный платеж]]/Таблица1[[#This Row],[Ежем доход]]</f>
        <v>0.13200048048048049</v>
      </c>
      <c r="Y194" s="3"/>
      <c r="Z194" s="3"/>
      <c r="AA194" s="3"/>
      <c r="AB194" s="3"/>
    </row>
    <row r="195" spans="1:28" x14ac:dyDescent="0.2">
      <c r="A195">
        <v>1610</v>
      </c>
      <c r="B195" t="s">
        <v>1649</v>
      </c>
      <c r="C195" t="s">
        <v>18</v>
      </c>
      <c r="D195" t="s">
        <v>29</v>
      </c>
      <c r="E195" t="s">
        <v>32</v>
      </c>
      <c r="F195" t="s">
        <v>21</v>
      </c>
      <c r="G195" t="s">
        <v>25</v>
      </c>
      <c r="H195" s="1">
        <v>208582</v>
      </c>
      <c r="I195" s="3">
        <v>691</v>
      </c>
      <c r="J195" s="3">
        <v>1262797</v>
      </c>
      <c r="K195" s="3">
        <v>26150.65</v>
      </c>
      <c r="L195" s="2">
        <v>20</v>
      </c>
      <c r="M195" s="11">
        <v>35.265240640000002</v>
      </c>
      <c r="N195" s="3">
        <v>8</v>
      </c>
      <c r="O195" s="3">
        <v>982566</v>
      </c>
      <c r="P195" s="3">
        <v>1182654</v>
      </c>
      <c r="Q195" s="10">
        <v>0</v>
      </c>
      <c r="R195" s="3">
        <f>(Таблица1[Размер кредита]-$AA$2)/$AA$3</f>
        <v>-0.57509267624611993</v>
      </c>
      <c r="S195" s="3">
        <f>(Таблица1[Кредитный рейтинг]-$AA$7)/($AA$8-$AA$7)</f>
        <v>0.92010652463382159</v>
      </c>
      <c r="T195" s="3">
        <f>(Таблица1[Срок с последнего нарушения кредитного договора (мес,)]-$AA$12)/($AA$13-$AA$12)</f>
        <v>0.40074137090909095</v>
      </c>
      <c r="U195" s="3">
        <f>(Таблица1[Количество кредитных карт]-$AA$18)/($AA$19-$AA$18)</f>
        <v>0.16666666666666666</v>
      </c>
      <c r="V195" s="3">
        <f>(Таблица1[Число нарушений кредитных договоров]-$AA$23)/($AA$24-$AA$23)</f>
        <v>0</v>
      </c>
      <c r="W195" s="3">
        <f>Таблица1[[#This Row],[Годовой доход]]/12</f>
        <v>105233.08333333333</v>
      </c>
      <c r="X195" s="3">
        <f>Таблица1[[#This Row],[Ежемесячный платеж]]/Таблица1[[#This Row],[Ежем доход]]</f>
        <v>0.24850217414200385</v>
      </c>
      <c r="Y195" s="3"/>
      <c r="Z195" s="3"/>
      <c r="AA195" s="3"/>
      <c r="AB195" s="3"/>
    </row>
    <row r="196" spans="1:28" x14ac:dyDescent="0.2">
      <c r="A196">
        <v>878</v>
      </c>
      <c r="B196" t="s">
        <v>919</v>
      </c>
      <c r="C196" t="s">
        <v>18</v>
      </c>
      <c r="D196" t="s">
        <v>29</v>
      </c>
      <c r="E196" t="s">
        <v>50</v>
      </c>
      <c r="F196" t="s">
        <v>21</v>
      </c>
      <c r="G196" t="s">
        <v>25</v>
      </c>
      <c r="H196" s="1">
        <v>315920</v>
      </c>
      <c r="I196" s="3">
        <v>0</v>
      </c>
      <c r="J196" s="3">
        <v>1168044</v>
      </c>
      <c r="K196" s="3">
        <v>70936.88</v>
      </c>
      <c r="L196" s="2">
        <v>24</v>
      </c>
      <c r="M196" s="11">
        <v>13</v>
      </c>
      <c r="N196" s="3">
        <v>17</v>
      </c>
      <c r="O196" s="3">
        <v>361627</v>
      </c>
      <c r="P196" s="3">
        <v>1172864</v>
      </c>
      <c r="Q196" s="10">
        <v>0</v>
      </c>
      <c r="R196" s="3">
        <f>(Таблица1[Размер кредита]-$AA$2)/$AA$3</f>
        <v>3.6012709311239538E-2</v>
      </c>
      <c r="S196" s="3">
        <f>(Таблица1[Кредитный рейтинг]-$AA$7)/($AA$8-$AA$7)</f>
        <v>0</v>
      </c>
      <c r="T196" s="3">
        <f>(Таблица1[Срок с последнего нарушения кредитного договора (мес,)]-$AA$12)/($AA$13-$AA$12)</f>
        <v>0.14772727272727273</v>
      </c>
      <c r="U196" s="3">
        <f>(Таблица1[Количество кредитных карт]-$AA$18)/($AA$19-$AA$18)</f>
        <v>0.38095238095238093</v>
      </c>
      <c r="V196" s="3">
        <f>(Таблица1[Число нарушений кредитных договоров]-$AA$23)/($AA$24-$AA$23)</f>
        <v>0</v>
      </c>
      <c r="W196" s="3">
        <f>Таблица1[[#This Row],[Годовой доход]]/12</f>
        <v>97337</v>
      </c>
      <c r="X196" s="3">
        <f>Таблица1[[#This Row],[Ежемесячный платеж]]/Таблица1[[#This Row],[Ежем доход]]</f>
        <v>0.72877610774936563</v>
      </c>
      <c r="Y196" s="3"/>
      <c r="Z196" s="3"/>
      <c r="AA196" s="3"/>
      <c r="AB196" s="3"/>
    </row>
    <row r="197" spans="1:28" x14ac:dyDescent="0.2">
      <c r="A197">
        <v>693</v>
      </c>
      <c r="B197" t="s">
        <v>734</v>
      </c>
      <c r="C197" t="s">
        <v>18</v>
      </c>
      <c r="D197" t="s">
        <v>29</v>
      </c>
      <c r="E197" t="s">
        <v>24</v>
      </c>
      <c r="F197" t="s">
        <v>21</v>
      </c>
      <c r="G197" t="s">
        <v>25</v>
      </c>
      <c r="H197" s="1">
        <v>707872</v>
      </c>
      <c r="I197" s="3">
        <v>713</v>
      </c>
      <c r="J197" s="3">
        <v>2330749</v>
      </c>
      <c r="K197" s="3">
        <v>40593.879999999997</v>
      </c>
      <c r="L197" s="2">
        <v>25.5</v>
      </c>
      <c r="M197" s="11">
        <v>35.265240640000002</v>
      </c>
      <c r="N197" s="3">
        <v>10</v>
      </c>
      <c r="O197" s="3">
        <v>876090</v>
      </c>
      <c r="P197" s="3">
        <v>1172754</v>
      </c>
      <c r="Q197" s="10">
        <v>0</v>
      </c>
      <c r="R197" s="3">
        <f>(Таблица1[Размер кредита]-$AA$2)/$AA$3</f>
        <v>2.2675055457715625</v>
      </c>
      <c r="S197" s="3">
        <f>(Таблица1[Кредитный рейтинг]-$AA$7)/($AA$8-$AA$7)</f>
        <v>0.94940079893475371</v>
      </c>
      <c r="T197" s="3">
        <f>(Таблица1[Срок с последнего нарушения кредитного договора (мес,)]-$AA$12)/($AA$13-$AA$12)</f>
        <v>0.40074137090909095</v>
      </c>
      <c r="U197" s="3">
        <f>(Таблица1[Количество кредитных карт]-$AA$18)/($AA$19-$AA$18)</f>
        <v>0.21428571428571427</v>
      </c>
      <c r="V197" s="3">
        <f>(Таблица1[Число нарушений кредитных договоров]-$AA$23)/($AA$24-$AA$23)</f>
        <v>0</v>
      </c>
      <c r="W197" s="3">
        <f>Таблица1[[#This Row],[Годовой доход]]/12</f>
        <v>194229.08333333334</v>
      </c>
      <c r="X197" s="3">
        <f>Таблица1[[#This Row],[Ежемесячный платеж]]/Таблица1[[#This Row],[Ежем доход]]</f>
        <v>0.20900000815188591</v>
      </c>
      <c r="Y197" s="3"/>
      <c r="Z197" s="3"/>
      <c r="AA197" s="3"/>
      <c r="AB197" s="3"/>
    </row>
    <row r="198" spans="1:28" x14ac:dyDescent="0.2">
      <c r="A198">
        <v>128</v>
      </c>
      <c r="B198" t="s">
        <v>170</v>
      </c>
      <c r="C198" t="s">
        <v>18</v>
      </c>
      <c r="D198" t="s">
        <v>19</v>
      </c>
      <c r="E198" t="s">
        <v>52</v>
      </c>
      <c r="F198" t="s">
        <v>21</v>
      </c>
      <c r="G198" t="s">
        <v>25</v>
      </c>
      <c r="H198" s="1">
        <v>278058</v>
      </c>
      <c r="I198" s="3">
        <v>0</v>
      </c>
      <c r="J198" s="3">
        <v>1168044</v>
      </c>
      <c r="K198" s="3">
        <v>18706.64</v>
      </c>
      <c r="L198" s="2">
        <v>15.9</v>
      </c>
      <c r="M198" s="11">
        <v>35.265240640000002</v>
      </c>
      <c r="N198" s="3">
        <v>10</v>
      </c>
      <c r="O198" s="3">
        <v>207423</v>
      </c>
      <c r="P198" s="3">
        <v>1171566</v>
      </c>
      <c r="Q198" s="10">
        <v>0</v>
      </c>
      <c r="R198" s="3">
        <f>(Таблица1[Размер кредита]-$AA$2)/$AA$3</f>
        <v>-0.17954629223502314</v>
      </c>
      <c r="S198" s="3">
        <f>(Таблица1[Кредитный рейтинг]-$AA$7)/($AA$8-$AA$7)</f>
        <v>0</v>
      </c>
      <c r="T198" s="3">
        <f>(Таблица1[Срок с последнего нарушения кредитного договора (мес,)]-$AA$12)/($AA$13-$AA$12)</f>
        <v>0.40074137090909095</v>
      </c>
      <c r="U198" s="3">
        <f>(Таблица1[Количество кредитных карт]-$AA$18)/($AA$19-$AA$18)</f>
        <v>0.21428571428571427</v>
      </c>
      <c r="V198" s="3">
        <f>(Таблица1[Число нарушений кредитных договоров]-$AA$23)/($AA$24-$AA$23)</f>
        <v>0</v>
      </c>
      <c r="W198" s="3">
        <f>Таблица1[[#This Row],[Годовой доход]]/12</f>
        <v>97337</v>
      </c>
      <c r="X198" s="3">
        <f>Таблица1[[#This Row],[Ежемесячный платеж]]/Таблица1[[#This Row],[Ежем доход]]</f>
        <v>0.1921842670310365</v>
      </c>
      <c r="Y198" s="3"/>
      <c r="Z198" s="3"/>
      <c r="AA198" s="3"/>
      <c r="AB198" s="3"/>
    </row>
    <row r="199" spans="1:28" x14ac:dyDescent="0.2">
      <c r="A199">
        <v>1177</v>
      </c>
      <c r="B199" t="s">
        <v>1216</v>
      </c>
      <c r="C199" t="s">
        <v>18</v>
      </c>
      <c r="D199" t="s">
        <v>19</v>
      </c>
      <c r="E199" t="s">
        <v>47</v>
      </c>
      <c r="F199" t="s">
        <v>21</v>
      </c>
      <c r="G199" t="s">
        <v>22</v>
      </c>
      <c r="H199" s="1">
        <v>26400</v>
      </c>
      <c r="I199" s="3">
        <v>659</v>
      </c>
      <c r="J199" s="3">
        <v>1330532</v>
      </c>
      <c r="K199" s="3">
        <v>24392.959999999999</v>
      </c>
      <c r="L199" s="2">
        <v>15.7</v>
      </c>
      <c r="M199" s="11">
        <v>35.265240640000002</v>
      </c>
      <c r="N199" s="3">
        <v>16</v>
      </c>
      <c r="O199" s="3">
        <v>602699</v>
      </c>
      <c r="P199" s="3">
        <v>1166968</v>
      </c>
      <c r="Q199" s="10">
        <v>0</v>
      </c>
      <c r="R199" s="3">
        <f>(Таблица1[Размер кредита]-$AA$2)/$AA$3</f>
        <v>-1.6123059777014372</v>
      </c>
      <c r="S199" s="3">
        <f>(Таблица1[Кредитный рейтинг]-$AA$7)/($AA$8-$AA$7)</f>
        <v>0.87749667110519303</v>
      </c>
      <c r="T199" s="3">
        <f>(Таблица1[Срок с последнего нарушения кредитного договора (мес,)]-$AA$12)/($AA$13-$AA$12)</f>
        <v>0.40074137090909095</v>
      </c>
      <c r="U199" s="3">
        <f>(Таблица1[Количество кредитных карт]-$AA$18)/($AA$19-$AA$18)</f>
        <v>0.35714285714285715</v>
      </c>
      <c r="V199" s="3">
        <f>(Таблица1[Число нарушений кредитных договоров]-$AA$23)/($AA$24-$AA$23)</f>
        <v>0</v>
      </c>
      <c r="W199" s="3">
        <f>Таблица1[[#This Row],[Годовой доход]]/12</f>
        <v>110877.66666666667</v>
      </c>
      <c r="X199" s="3">
        <f>Таблица1[[#This Row],[Ежемесячный платеж]]/Таблица1[[#This Row],[Ежем доход]]</f>
        <v>0.21999885759981719</v>
      </c>
      <c r="Y199" s="3"/>
      <c r="Z199" s="3"/>
      <c r="AA199" s="3"/>
      <c r="AB199" s="3"/>
    </row>
    <row r="200" spans="1:28" x14ac:dyDescent="0.2">
      <c r="A200">
        <v>1074</v>
      </c>
      <c r="B200" t="s">
        <v>1113</v>
      </c>
      <c r="C200" t="s">
        <v>18</v>
      </c>
      <c r="D200" t="s">
        <v>29</v>
      </c>
      <c r="E200" t="s">
        <v>24</v>
      </c>
      <c r="F200" t="s">
        <v>21</v>
      </c>
      <c r="G200" t="s">
        <v>25</v>
      </c>
      <c r="H200" s="1">
        <v>533126</v>
      </c>
      <c r="I200" s="3">
        <v>744</v>
      </c>
      <c r="J200" s="3">
        <v>3069488</v>
      </c>
      <c r="K200" s="3">
        <v>27369.69</v>
      </c>
      <c r="L200" s="2">
        <v>16.7</v>
      </c>
      <c r="M200" s="11">
        <v>35.265240640000002</v>
      </c>
      <c r="N200" s="3">
        <v>11</v>
      </c>
      <c r="O200" s="3">
        <v>631161</v>
      </c>
      <c r="P200" s="3">
        <v>1163734</v>
      </c>
      <c r="Q200" s="10">
        <v>0</v>
      </c>
      <c r="R200" s="3">
        <f>(Таблица1[Размер кредита]-$AA$2)/$AA$3</f>
        <v>1.2726274811103397</v>
      </c>
      <c r="S200" s="3">
        <f>(Таблица1[Кредитный рейтинг]-$AA$7)/($AA$8-$AA$7)</f>
        <v>0.99067909454061254</v>
      </c>
      <c r="T200" s="3">
        <f>(Таблица1[Срок с последнего нарушения кредитного договора (мес,)]-$AA$12)/($AA$13-$AA$12)</f>
        <v>0.40074137090909095</v>
      </c>
      <c r="U200" s="3">
        <f>(Таблица1[Количество кредитных карт]-$AA$18)/($AA$19-$AA$18)</f>
        <v>0.23809523809523808</v>
      </c>
      <c r="V200" s="3">
        <f>(Таблица1[Число нарушений кредитных договоров]-$AA$23)/($AA$24-$AA$23)</f>
        <v>0</v>
      </c>
      <c r="W200" s="3">
        <f>Таблица1[[#This Row],[Годовой доход]]/12</f>
        <v>255790.66666666666</v>
      </c>
      <c r="X200" s="3">
        <f>Таблица1[[#This Row],[Ежемесячный платеж]]/Таблица1[[#This Row],[Ежем доход]]</f>
        <v>0.10700034663761514</v>
      </c>
      <c r="Y200" s="3"/>
      <c r="Z200" s="3"/>
      <c r="AA200" s="3"/>
      <c r="AB200" s="3"/>
    </row>
    <row r="201" spans="1:28" x14ac:dyDescent="0.2">
      <c r="A201">
        <v>1479</v>
      </c>
      <c r="B201" t="s">
        <v>1518</v>
      </c>
      <c r="C201" t="s">
        <v>18</v>
      </c>
      <c r="D201" t="s">
        <v>19</v>
      </c>
      <c r="E201" t="s">
        <v>37</v>
      </c>
      <c r="F201" t="s">
        <v>33</v>
      </c>
      <c r="G201" t="s">
        <v>39</v>
      </c>
      <c r="H201" s="1">
        <v>773696</v>
      </c>
      <c r="I201" s="3">
        <v>0</v>
      </c>
      <c r="J201" s="3">
        <v>1168044</v>
      </c>
      <c r="K201" s="3">
        <v>8120.03</v>
      </c>
      <c r="L201" s="2">
        <v>14.4</v>
      </c>
      <c r="M201" s="11">
        <v>35.265240640000002</v>
      </c>
      <c r="N201" s="3">
        <v>16</v>
      </c>
      <c r="O201" s="3">
        <v>361570</v>
      </c>
      <c r="P201" s="3">
        <v>1162942</v>
      </c>
      <c r="Q201" s="10">
        <v>0</v>
      </c>
      <c r="R201" s="3">
        <f>(Таблица1[Размер кредита]-$AA$2)/$AA$3</f>
        <v>2.6422600679252044</v>
      </c>
      <c r="S201" s="3">
        <f>(Таблица1[Кредитный рейтинг]-$AA$7)/($AA$8-$AA$7)</f>
        <v>0</v>
      </c>
      <c r="T201" s="3">
        <f>(Таблица1[Срок с последнего нарушения кредитного договора (мес,)]-$AA$12)/($AA$13-$AA$12)</f>
        <v>0.40074137090909095</v>
      </c>
      <c r="U201" s="3">
        <f>(Таблица1[Количество кредитных карт]-$AA$18)/($AA$19-$AA$18)</f>
        <v>0.35714285714285715</v>
      </c>
      <c r="V201" s="3">
        <f>(Таблица1[Число нарушений кредитных договоров]-$AA$23)/($AA$24-$AA$23)</f>
        <v>0</v>
      </c>
      <c r="W201" s="3">
        <f>Таблица1[[#This Row],[Годовой доход]]/12</f>
        <v>97337</v>
      </c>
      <c r="X201" s="3">
        <f>Таблица1[[#This Row],[Ежемесячный платеж]]/Таблица1[[#This Row],[Ежем доход]]</f>
        <v>8.3421823150497759E-2</v>
      </c>
      <c r="Y201" s="3"/>
      <c r="Z201" s="3"/>
      <c r="AA201" s="3"/>
      <c r="AB201" s="3"/>
    </row>
    <row r="202" spans="1:28" x14ac:dyDescent="0.2">
      <c r="A202">
        <v>557</v>
      </c>
      <c r="B202" t="s">
        <v>598</v>
      </c>
      <c r="C202" t="s">
        <v>18</v>
      </c>
      <c r="D202" t="s">
        <v>19</v>
      </c>
      <c r="E202" t="s">
        <v>52</v>
      </c>
      <c r="F202" t="s">
        <v>21</v>
      </c>
      <c r="G202" t="s">
        <v>25</v>
      </c>
      <c r="H202" s="1">
        <v>774246</v>
      </c>
      <c r="I202" s="3">
        <v>736</v>
      </c>
      <c r="J202" s="3">
        <v>2838543</v>
      </c>
      <c r="K202" s="3">
        <v>40685.839999999997</v>
      </c>
      <c r="L202" s="2">
        <v>20.100000000000001</v>
      </c>
      <c r="M202" s="11">
        <v>35.265240640000002</v>
      </c>
      <c r="N202" s="3">
        <v>15</v>
      </c>
      <c r="O202" s="3">
        <v>752590</v>
      </c>
      <c r="P202" s="3">
        <v>1158784</v>
      </c>
      <c r="Q202" s="10">
        <v>0</v>
      </c>
      <c r="R202" s="3">
        <f>(Таблица1[Размер кредита]-$AA$2)/$AA$3</f>
        <v>2.645391372421809</v>
      </c>
      <c r="S202" s="3">
        <f>(Таблица1[Кредитный рейтинг]-$AA$7)/($AA$8-$AA$7)</f>
        <v>0.98002663115845534</v>
      </c>
      <c r="T202" s="3">
        <f>(Таблица1[Срок с последнего нарушения кредитного договора (мес,)]-$AA$12)/($AA$13-$AA$12)</f>
        <v>0.40074137090909095</v>
      </c>
      <c r="U202" s="3">
        <f>(Таблица1[Количество кредитных карт]-$AA$18)/($AA$19-$AA$18)</f>
        <v>0.33333333333333331</v>
      </c>
      <c r="V202" s="3">
        <f>(Таблица1[Число нарушений кредитных договоров]-$AA$23)/($AA$24-$AA$23)</f>
        <v>0</v>
      </c>
      <c r="W202" s="3">
        <f>Таблица1[[#This Row],[Годовой доход]]/12</f>
        <v>236545.25</v>
      </c>
      <c r="X202" s="3">
        <f>Таблица1[[#This Row],[Ежемесячный платеж]]/Таблица1[[#This Row],[Ежем доход]]</f>
        <v>0.17200024096869412</v>
      </c>
      <c r="Y202" s="3"/>
      <c r="Z202" s="3"/>
      <c r="AA202" s="3"/>
      <c r="AB202" s="3"/>
    </row>
    <row r="203" spans="1:28" x14ac:dyDescent="0.2">
      <c r="A203">
        <v>461</v>
      </c>
      <c r="B203" t="s">
        <v>502</v>
      </c>
      <c r="C203" t="s">
        <v>18</v>
      </c>
      <c r="D203" t="s">
        <v>19</v>
      </c>
      <c r="E203" t="s">
        <v>63</v>
      </c>
      <c r="F203" t="s">
        <v>33</v>
      </c>
      <c r="G203" t="s">
        <v>39</v>
      </c>
      <c r="H203" s="1">
        <v>556996</v>
      </c>
      <c r="I203" s="3">
        <v>733</v>
      </c>
      <c r="J203" s="3">
        <v>4521715</v>
      </c>
      <c r="K203" s="3">
        <v>44086.65</v>
      </c>
      <c r="L203" s="2">
        <v>27</v>
      </c>
      <c r="M203" s="11">
        <v>40</v>
      </c>
      <c r="N203" s="3">
        <v>18</v>
      </c>
      <c r="O203" s="3">
        <v>106001</v>
      </c>
      <c r="P203" s="3">
        <v>1157904</v>
      </c>
      <c r="Q203" s="10">
        <v>0</v>
      </c>
      <c r="R203" s="3">
        <f>(Таблица1[Размер кредита]-$AA$2)/$AA$3</f>
        <v>1.4085260962629806</v>
      </c>
      <c r="S203" s="3">
        <f>(Таблица1[Кредитный рейтинг]-$AA$7)/($AA$8-$AA$7)</f>
        <v>0.97603195739014648</v>
      </c>
      <c r="T203" s="3">
        <f>(Таблица1[Срок с последнего нарушения кредитного договора (мес,)]-$AA$12)/($AA$13-$AA$12)</f>
        <v>0.45454545454545453</v>
      </c>
      <c r="U203" s="3">
        <f>(Таблица1[Количество кредитных карт]-$AA$18)/($AA$19-$AA$18)</f>
        <v>0.40476190476190477</v>
      </c>
      <c r="V203" s="3">
        <f>(Таблица1[Число нарушений кредитных договоров]-$AA$23)/($AA$24-$AA$23)</f>
        <v>0</v>
      </c>
      <c r="W203" s="3">
        <f>Таблица1[[#This Row],[Годовой доход]]/12</f>
        <v>376809.58333333331</v>
      </c>
      <c r="X203" s="3">
        <f>Таблица1[[#This Row],[Ежемесячный платеж]]/Таблица1[[#This Row],[Ежем доход]]</f>
        <v>0.11699981091245247</v>
      </c>
      <c r="Y203" s="3"/>
      <c r="Z203" s="3"/>
      <c r="AA203" s="3"/>
      <c r="AB203" s="3"/>
    </row>
    <row r="204" spans="1:28" x14ac:dyDescent="0.2">
      <c r="A204">
        <v>1397</v>
      </c>
      <c r="B204" t="s">
        <v>1436</v>
      </c>
      <c r="C204" t="s">
        <v>18</v>
      </c>
      <c r="D204" t="s">
        <v>19</v>
      </c>
      <c r="E204" t="s">
        <v>52</v>
      </c>
      <c r="F204" t="s">
        <v>21</v>
      </c>
      <c r="G204" t="s">
        <v>75</v>
      </c>
      <c r="H204" s="1">
        <v>309594.52439999999</v>
      </c>
      <c r="I204" s="3">
        <v>747</v>
      </c>
      <c r="J204" s="3">
        <v>2071817</v>
      </c>
      <c r="K204" s="3">
        <v>19164.349999999999</v>
      </c>
      <c r="L204" s="2">
        <v>25.9</v>
      </c>
      <c r="M204" s="11">
        <v>36</v>
      </c>
      <c r="N204" s="3">
        <v>12</v>
      </c>
      <c r="O204" s="3">
        <v>503538</v>
      </c>
      <c r="P204" s="3">
        <v>1154560</v>
      </c>
      <c r="Q204" s="10">
        <v>0</v>
      </c>
      <c r="R204" s="3">
        <f>(Таблица1[Размер кредита]-$AA$2)/$AA$3</f>
        <v>-1.2411115481956205E-10</v>
      </c>
      <c r="S204" s="3">
        <f>(Таблица1[Кредитный рейтинг]-$AA$7)/($AA$8-$AA$7)</f>
        <v>0.9946737683089214</v>
      </c>
      <c r="T204" s="3">
        <f>(Таблица1[Срок с последнего нарушения кредитного договора (мес,)]-$AA$12)/($AA$13-$AA$12)</f>
        <v>0.40909090909090912</v>
      </c>
      <c r="U204" s="3">
        <f>(Таблица1[Количество кредитных карт]-$AA$18)/($AA$19-$AA$18)</f>
        <v>0.26190476190476192</v>
      </c>
      <c r="V204" s="3">
        <f>(Таблица1[Число нарушений кредитных договоров]-$AA$23)/($AA$24-$AA$23)</f>
        <v>0</v>
      </c>
      <c r="W204" s="3">
        <f>Таблица1[[#This Row],[Годовой доход]]/12</f>
        <v>172651.41666666666</v>
      </c>
      <c r="X204" s="3">
        <f>Таблица1[[#This Row],[Ежемесячный платеж]]/Таблица1[[#This Row],[Ежем доход]]</f>
        <v>0.1110002476087415</v>
      </c>
      <c r="Y204" s="3"/>
      <c r="Z204" s="3"/>
      <c r="AA204" s="3"/>
      <c r="AB204" s="3"/>
    </row>
    <row r="205" spans="1:28" x14ac:dyDescent="0.2">
      <c r="A205">
        <v>1218</v>
      </c>
      <c r="B205" t="s">
        <v>1257</v>
      </c>
      <c r="C205" t="s">
        <v>18</v>
      </c>
      <c r="D205" t="s">
        <v>29</v>
      </c>
      <c r="E205" t="s">
        <v>52</v>
      </c>
      <c r="F205" t="s">
        <v>21</v>
      </c>
      <c r="G205" t="s">
        <v>25</v>
      </c>
      <c r="H205" s="1">
        <v>638660</v>
      </c>
      <c r="I205" s="3">
        <v>656</v>
      </c>
      <c r="J205" s="3">
        <v>1226032</v>
      </c>
      <c r="K205" s="3">
        <v>26053.37</v>
      </c>
      <c r="L205" s="2">
        <v>20.2</v>
      </c>
      <c r="M205" s="11">
        <v>49</v>
      </c>
      <c r="N205" s="3">
        <v>10</v>
      </c>
      <c r="O205" s="3">
        <v>547143</v>
      </c>
      <c r="P205" s="3">
        <v>1151876</v>
      </c>
      <c r="Q205" s="10">
        <v>0</v>
      </c>
      <c r="R205" s="3">
        <f>(Таблица1[Размер кредита]-$AA$2)/$AA$3</f>
        <v>1.8734621879188358</v>
      </c>
      <c r="S205" s="3">
        <f>(Таблица1[Кредитный рейтинг]-$AA$7)/($AA$8-$AA$7)</f>
        <v>0.87350199733688416</v>
      </c>
      <c r="T205" s="3">
        <f>(Таблица1[Срок с последнего нарушения кредитного договора (мес,)]-$AA$12)/($AA$13-$AA$12)</f>
        <v>0.55681818181818177</v>
      </c>
      <c r="U205" s="3">
        <f>(Таблица1[Количество кредитных карт]-$AA$18)/($AA$19-$AA$18)</f>
        <v>0.21428571428571427</v>
      </c>
      <c r="V205" s="3">
        <f>(Таблица1[Число нарушений кредитных договоров]-$AA$23)/($AA$24-$AA$23)</f>
        <v>0</v>
      </c>
      <c r="W205" s="3">
        <f>Таблица1[[#This Row],[Годовой доход]]/12</f>
        <v>102169.33333333333</v>
      </c>
      <c r="X205" s="3">
        <f>Таблица1[[#This Row],[Ежемесячный платеж]]/Таблица1[[#This Row],[Ежем доход]]</f>
        <v>0.25500185965782296</v>
      </c>
      <c r="Y205" s="3"/>
      <c r="Z205" s="3"/>
      <c r="AA205" s="3"/>
      <c r="AB205" s="3"/>
    </row>
    <row r="206" spans="1:28" x14ac:dyDescent="0.2">
      <c r="A206">
        <v>1096</v>
      </c>
      <c r="B206" t="s">
        <v>1135</v>
      </c>
      <c r="C206" t="s">
        <v>18</v>
      </c>
      <c r="D206" t="s">
        <v>19</v>
      </c>
      <c r="E206" t="s">
        <v>24</v>
      </c>
      <c r="F206" t="s">
        <v>21</v>
      </c>
      <c r="G206" t="s">
        <v>25</v>
      </c>
      <c r="H206" s="1">
        <v>110440</v>
      </c>
      <c r="I206" s="3">
        <v>750</v>
      </c>
      <c r="J206" s="3">
        <v>1068142</v>
      </c>
      <c r="K206" s="3">
        <v>8144.73</v>
      </c>
      <c r="L206" s="2">
        <v>18.5</v>
      </c>
      <c r="M206" s="11">
        <v>35.265240640000002</v>
      </c>
      <c r="N206" s="3">
        <v>14</v>
      </c>
      <c r="O206" s="3">
        <v>98154</v>
      </c>
      <c r="P206" s="3">
        <v>1148026</v>
      </c>
      <c r="Q206" s="10">
        <v>0</v>
      </c>
      <c r="R206" s="3">
        <f>(Таблица1[Размер кредита]-$AA$2)/$AA$3</f>
        <v>-1.1338426506202499</v>
      </c>
      <c r="S206" s="3">
        <f>(Таблица1[Кредитный рейтинг]-$AA$7)/($AA$8-$AA$7)</f>
        <v>0.99866844207723038</v>
      </c>
      <c r="T206" s="3">
        <f>(Таблица1[Срок с последнего нарушения кредитного договора (мес,)]-$AA$12)/($AA$13-$AA$12)</f>
        <v>0.40074137090909095</v>
      </c>
      <c r="U206" s="3">
        <f>(Таблица1[Количество кредитных карт]-$AA$18)/($AA$19-$AA$18)</f>
        <v>0.30952380952380953</v>
      </c>
      <c r="V206" s="3">
        <f>(Таблица1[Число нарушений кредитных договоров]-$AA$23)/($AA$24-$AA$23)</f>
        <v>0</v>
      </c>
      <c r="W206" s="3">
        <f>Таблица1[[#This Row],[Годовой доход]]/12</f>
        <v>89011.833333333328</v>
      </c>
      <c r="X206" s="3">
        <f>Таблица1[[#This Row],[Ежемесячный платеж]]/Таблица1[[#This Row],[Ежем доход]]</f>
        <v>9.1501654274431674E-2</v>
      </c>
      <c r="Y206" s="3"/>
      <c r="Z206" s="3"/>
      <c r="AA206" s="3"/>
      <c r="AB206" s="3"/>
    </row>
    <row r="207" spans="1:28" x14ac:dyDescent="0.2">
      <c r="A207">
        <v>408</v>
      </c>
      <c r="B207" t="s">
        <v>450</v>
      </c>
      <c r="C207" t="s">
        <v>18</v>
      </c>
      <c r="D207" t="s">
        <v>19</v>
      </c>
      <c r="E207" t="s">
        <v>47</v>
      </c>
      <c r="F207" t="s">
        <v>33</v>
      </c>
      <c r="G207" t="s">
        <v>25</v>
      </c>
      <c r="H207" s="1">
        <v>756844</v>
      </c>
      <c r="I207" s="3">
        <v>0</v>
      </c>
      <c r="J207" s="3">
        <v>1168044</v>
      </c>
      <c r="K207" s="3">
        <v>25198.94</v>
      </c>
      <c r="L207" s="2">
        <v>26.9</v>
      </c>
      <c r="M207" s="11">
        <v>35.265240640000002</v>
      </c>
      <c r="N207" s="3">
        <v>10</v>
      </c>
      <c r="O207" s="3">
        <v>876147</v>
      </c>
      <c r="P207" s="3">
        <v>1147586</v>
      </c>
      <c r="Q207" s="10">
        <v>0</v>
      </c>
      <c r="R207" s="3">
        <f>(Таблица1[Размер кредита]-$AA$2)/$AA$3</f>
        <v>2.5463168981492386</v>
      </c>
      <c r="S207" s="3">
        <f>(Таблица1[Кредитный рейтинг]-$AA$7)/($AA$8-$AA$7)</f>
        <v>0</v>
      </c>
      <c r="T207" s="3">
        <f>(Таблица1[Срок с последнего нарушения кредитного договора (мес,)]-$AA$12)/($AA$13-$AA$12)</f>
        <v>0.40074137090909095</v>
      </c>
      <c r="U207" s="3">
        <f>(Таблица1[Количество кредитных карт]-$AA$18)/($AA$19-$AA$18)</f>
        <v>0.21428571428571427</v>
      </c>
      <c r="V207" s="3">
        <f>(Таблица1[Число нарушений кредитных договоров]-$AA$23)/($AA$24-$AA$23)</f>
        <v>0</v>
      </c>
      <c r="W207" s="3">
        <f>Таблица1[[#This Row],[Годовой доход]]/12</f>
        <v>97337</v>
      </c>
      <c r="X207" s="3">
        <f>Таблица1[[#This Row],[Ежемесячный платеж]]/Таблица1[[#This Row],[Ежем доход]]</f>
        <v>0.25888346671871948</v>
      </c>
      <c r="Y207" s="3"/>
      <c r="Z207" s="3"/>
      <c r="AA207" s="3"/>
      <c r="AB207" s="3"/>
    </row>
    <row r="208" spans="1:28" x14ac:dyDescent="0.2">
      <c r="A208">
        <v>902</v>
      </c>
      <c r="B208" t="s">
        <v>943</v>
      </c>
      <c r="C208" t="s">
        <v>35</v>
      </c>
      <c r="D208" t="s">
        <v>29</v>
      </c>
      <c r="E208" t="s">
        <v>47</v>
      </c>
      <c r="F208" t="s">
        <v>21</v>
      </c>
      <c r="G208" t="s">
        <v>25</v>
      </c>
      <c r="H208" s="1">
        <v>672804</v>
      </c>
      <c r="I208" s="3">
        <v>720</v>
      </c>
      <c r="J208" s="3">
        <v>2699976</v>
      </c>
      <c r="K208" s="3">
        <v>33299.78</v>
      </c>
      <c r="L208" s="2">
        <v>16.100000000000001</v>
      </c>
      <c r="M208" s="11">
        <v>35.265240640000002</v>
      </c>
      <c r="N208" s="3">
        <v>11</v>
      </c>
      <c r="O208" s="3">
        <v>456836</v>
      </c>
      <c r="P208" s="3">
        <v>1147432</v>
      </c>
      <c r="Q208" s="10">
        <v>0</v>
      </c>
      <c r="R208" s="3">
        <f>(Таблица1[Размер кредита]-$AA$2)/$AA$3</f>
        <v>2.0678535710680515</v>
      </c>
      <c r="S208" s="3">
        <f>(Таблица1[Кредитный рейтинг]-$AA$7)/($AA$8-$AA$7)</f>
        <v>0.95872170439414117</v>
      </c>
      <c r="T208" s="3">
        <f>(Таблица1[Срок с последнего нарушения кредитного договора (мес,)]-$AA$12)/($AA$13-$AA$12)</f>
        <v>0.40074137090909095</v>
      </c>
      <c r="U208" s="3">
        <f>(Таблица1[Количество кредитных карт]-$AA$18)/($AA$19-$AA$18)</f>
        <v>0.23809523809523808</v>
      </c>
      <c r="V208" s="3">
        <f>(Таблица1[Число нарушений кредитных договоров]-$AA$23)/($AA$24-$AA$23)</f>
        <v>0</v>
      </c>
      <c r="W208" s="3">
        <f>Таблица1[[#This Row],[Годовой доход]]/12</f>
        <v>224998</v>
      </c>
      <c r="X208" s="3">
        <f>Таблица1[[#This Row],[Ежемесячный платеж]]/Таблица1[[#This Row],[Ежем доход]]</f>
        <v>0.14800033778078026</v>
      </c>
      <c r="Y208" s="3"/>
      <c r="Z208" s="3"/>
      <c r="AA208" s="3"/>
      <c r="AB208" s="3"/>
    </row>
    <row r="209" spans="1:28" x14ac:dyDescent="0.2">
      <c r="A209">
        <v>493</v>
      </c>
      <c r="B209" t="s">
        <v>534</v>
      </c>
      <c r="C209" t="s">
        <v>18</v>
      </c>
      <c r="D209" t="s">
        <v>29</v>
      </c>
      <c r="E209" t="s">
        <v>47</v>
      </c>
      <c r="F209" t="s">
        <v>21</v>
      </c>
      <c r="G209" t="s">
        <v>25</v>
      </c>
      <c r="H209" s="1">
        <v>764918</v>
      </c>
      <c r="I209" s="3">
        <v>0</v>
      </c>
      <c r="J209" s="3">
        <v>1168044</v>
      </c>
      <c r="K209" s="3">
        <v>17232.43</v>
      </c>
      <c r="L209" s="2">
        <v>16.5</v>
      </c>
      <c r="M209" s="11">
        <v>35.265240640000002</v>
      </c>
      <c r="N209" s="3">
        <v>7</v>
      </c>
      <c r="O209" s="3">
        <v>333735</v>
      </c>
      <c r="P209" s="3">
        <v>1146706</v>
      </c>
      <c r="Q209" s="10">
        <v>0</v>
      </c>
      <c r="R209" s="3">
        <f>(Таблица1[Размер кредита]-$AA$2)/$AA$3</f>
        <v>2.5922844481593947</v>
      </c>
      <c r="S209" s="3">
        <f>(Таблица1[Кредитный рейтинг]-$AA$7)/($AA$8-$AA$7)</f>
        <v>0</v>
      </c>
      <c r="T209" s="3">
        <f>(Таблица1[Срок с последнего нарушения кредитного договора (мес,)]-$AA$12)/($AA$13-$AA$12)</f>
        <v>0.40074137090909095</v>
      </c>
      <c r="U209" s="3">
        <f>(Таблица1[Количество кредитных карт]-$AA$18)/($AA$19-$AA$18)</f>
        <v>0.14285714285714285</v>
      </c>
      <c r="V209" s="3">
        <f>(Таблица1[Число нарушений кредитных договоров]-$AA$23)/($AA$24-$AA$23)</f>
        <v>0</v>
      </c>
      <c r="W209" s="3">
        <f>Таблица1[[#This Row],[Годовой доход]]/12</f>
        <v>97337</v>
      </c>
      <c r="X209" s="3">
        <f>Таблица1[[#This Row],[Ежемесячный платеж]]/Таблица1[[#This Row],[Ежем доход]]</f>
        <v>0.1770388444270935</v>
      </c>
      <c r="Y209" s="3"/>
      <c r="Z209" s="3"/>
      <c r="AA209" s="3"/>
      <c r="AB209" s="3"/>
    </row>
    <row r="210" spans="1:28" x14ac:dyDescent="0.2">
      <c r="A210">
        <v>910</v>
      </c>
      <c r="B210" t="s">
        <v>951</v>
      </c>
      <c r="C210" t="s">
        <v>35</v>
      </c>
      <c r="D210" t="s">
        <v>19</v>
      </c>
      <c r="E210" t="s">
        <v>24</v>
      </c>
      <c r="F210" t="s">
        <v>33</v>
      </c>
      <c r="G210" t="s">
        <v>25</v>
      </c>
      <c r="H210" s="1">
        <v>325776</v>
      </c>
      <c r="I210" s="3">
        <v>739</v>
      </c>
      <c r="J210" s="3">
        <v>1312976</v>
      </c>
      <c r="K210" s="3">
        <v>23852.41</v>
      </c>
      <c r="L210" s="2">
        <v>15.6</v>
      </c>
      <c r="M210" s="11">
        <v>20</v>
      </c>
      <c r="N210" s="3">
        <v>18</v>
      </c>
      <c r="O210" s="3">
        <v>319143</v>
      </c>
      <c r="P210" s="3">
        <v>1144088</v>
      </c>
      <c r="Q210" s="10">
        <v>0</v>
      </c>
      <c r="R210" s="3">
        <f>(Таблица1[Размер кредита]-$AA$2)/$AA$3</f>
        <v>9.2125685890394493E-2</v>
      </c>
      <c r="S210" s="3">
        <f>(Таблица1[Кредитный рейтинг]-$AA$7)/($AA$8-$AA$7)</f>
        <v>0.98402130492676432</v>
      </c>
      <c r="T210" s="3">
        <f>(Таблица1[Срок с последнего нарушения кредитного договора (мес,)]-$AA$12)/($AA$13-$AA$12)</f>
        <v>0.22727272727272727</v>
      </c>
      <c r="U210" s="3">
        <f>(Таблица1[Количество кредитных карт]-$AA$18)/($AA$19-$AA$18)</f>
        <v>0.40476190476190477</v>
      </c>
      <c r="V210" s="3">
        <f>(Таблица1[Число нарушений кредитных договоров]-$AA$23)/($AA$24-$AA$23)</f>
        <v>0</v>
      </c>
      <c r="W210" s="3">
        <f>Таблица1[[#This Row],[Годовой доход]]/12</f>
        <v>109414.66666666667</v>
      </c>
      <c r="X210" s="3">
        <f>Таблица1[[#This Row],[Ежемесячный платеж]]/Таблица1[[#This Row],[Ежем доход]]</f>
        <v>0.21800011576753878</v>
      </c>
      <c r="Y210" s="3"/>
      <c r="Z210" s="3"/>
      <c r="AA210" s="3"/>
      <c r="AB210" s="3"/>
    </row>
    <row r="211" spans="1:28" x14ac:dyDescent="0.2">
      <c r="A211">
        <v>795</v>
      </c>
      <c r="B211" t="s">
        <v>836</v>
      </c>
      <c r="C211" t="s">
        <v>35</v>
      </c>
      <c r="D211" t="s">
        <v>29</v>
      </c>
      <c r="E211" t="s">
        <v>24</v>
      </c>
      <c r="F211" t="s">
        <v>33</v>
      </c>
      <c r="G211" t="s">
        <v>25</v>
      </c>
      <c r="H211" s="1">
        <v>450120</v>
      </c>
      <c r="I211" s="3">
        <v>673</v>
      </c>
      <c r="J211" s="3">
        <v>981578</v>
      </c>
      <c r="K211" s="3">
        <v>19467.78</v>
      </c>
      <c r="L211" s="2">
        <v>16.5</v>
      </c>
      <c r="M211" s="11">
        <v>35.265240640000002</v>
      </c>
      <c r="N211" s="3">
        <v>15</v>
      </c>
      <c r="O211" s="3">
        <v>515394</v>
      </c>
      <c r="P211" s="3">
        <v>1143230</v>
      </c>
      <c r="Q211" s="10">
        <v>0</v>
      </c>
      <c r="R211" s="3">
        <f>(Таблица1[Размер кредита]-$AA$2)/$AA$3</f>
        <v>0.80005100648276906</v>
      </c>
      <c r="S211" s="3">
        <f>(Таблица1[Кредитный рейтинг]-$AA$7)/($AA$8-$AA$7)</f>
        <v>0.89613848202396806</v>
      </c>
      <c r="T211" s="3">
        <f>(Таблица1[Срок с последнего нарушения кредитного договора (мес,)]-$AA$12)/($AA$13-$AA$12)</f>
        <v>0.40074137090909095</v>
      </c>
      <c r="U211" s="3">
        <f>(Таблица1[Количество кредитных карт]-$AA$18)/($AA$19-$AA$18)</f>
        <v>0.33333333333333331</v>
      </c>
      <c r="V211" s="3">
        <f>(Таблица1[Число нарушений кредитных договоров]-$AA$23)/($AA$24-$AA$23)</f>
        <v>0</v>
      </c>
      <c r="W211" s="3">
        <f>Таблица1[[#This Row],[Годовой доход]]/12</f>
        <v>81798.166666666672</v>
      </c>
      <c r="X211" s="3">
        <f>Таблица1[[#This Row],[Ежемесячный платеж]]/Таблица1[[#This Row],[Ежем доход]]</f>
        <v>0.23799775463590256</v>
      </c>
      <c r="Y211" s="3"/>
      <c r="Z211" s="3"/>
      <c r="AA211" s="3"/>
      <c r="AB211" s="3"/>
    </row>
    <row r="212" spans="1:28" x14ac:dyDescent="0.2">
      <c r="A212">
        <v>1968</v>
      </c>
      <c r="B212" t="s">
        <v>2004</v>
      </c>
      <c r="C212" t="s">
        <v>18</v>
      </c>
      <c r="D212" t="s">
        <v>29</v>
      </c>
      <c r="E212" t="s">
        <v>32</v>
      </c>
      <c r="F212" t="s">
        <v>21</v>
      </c>
      <c r="G212" t="s">
        <v>25</v>
      </c>
      <c r="H212" s="1">
        <v>402094</v>
      </c>
      <c r="I212" s="3">
        <v>745</v>
      </c>
      <c r="J212" s="3">
        <v>1504819</v>
      </c>
      <c r="K212" s="3">
        <v>14170.39</v>
      </c>
      <c r="L212" s="2">
        <v>22.8</v>
      </c>
      <c r="M212" s="11">
        <v>51</v>
      </c>
      <c r="N212" s="3">
        <v>14</v>
      </c>
      <c r="O212" s="3">
        <v>292087</v>
      </c>
      <c r="P212" s="3">
        <v>1142614</v>
      </c>
      <c r="Q212" s="10">
        <v>0</v>
      </c>
      <c r="R212" s="3">
        <f>(Таблица1[Размер кредита]-$AA$2)/$AA$3</f>
        <v>0.52662549783925283</v>
      </c>
      <c r="S212" s="3">
        <f>(Таблица1[Кредитный рейтинг]-$AA$7)/($AA$8-$AA$7)</f>
        <v>0.99201065246338216</v>
      </c>
      <c r="T212" s="3">
        <f>(Таблица1[Срок с последнего нарушения кредитного договора (мес,)]-$AA$12)/($AA$13-$AA$12)</f>
        <v>0.57954545454545459</v>
      </c>
      <c r="U212" s="3">
        <f>(Таблица1[Количество кредитных карт]-$AA$18)/($AA$19-$AA$18)</f>
        <v>0.30952380952380953</v>
      </c>
      <c r="V212" s="3">
        <f>(Таблица1[Число нарушений кредитных договоров]-$AA$23)/($AA$24-$AA$23)</f>
        <v>0</v>
      </c>
      <c r="W212" s="3">
        <f>Таблица1[[#This Row],[Годовой доход]]/12</f>
        <v>125401.58333333333</v>
      </c>
      <c r="X212" s="3">
        <f>Таблица1[[#This Row],[Ежемесячный платеж]]/Таблица1[[#This Row],[Ежем доход]]</f>
        <v>0.11300008838272244</v>
      </c>
      <c r="Y212" s="3"/>
      <c r="Z212" s="3"/>
      <c r="AA212" s="3"/>
      <c r="AB212" s="3"/>
    </row>
    <row r="213" spans="1:28" x14ac:dyDescent="0.2">
      <c r="A213">
        <v>1284</v>
      </c>
      <c r="B213" t="s">
        <v>1323</v>
      </c>
      <c r="C213" t="s">
        <v>18</v>
      </c>
      <c r="D213" t="s">
        <v>19</v>
      </c>
      <c r="E213" t="s">
        <v>24</v>
      </c>
      <c r="F213" t="s">
        <v>33</v>
      </c>
      <c r="G213" t="s">
        <v>25</v>
      </c>
      <c r="H213" s="1">
        <v>309594.52439999999</v>
      </c>
      <c r="I213" s="3">
        <v>745</v>
      </c>
      <c r="J213" s="3">
        <v>2873370</v>
      </c>
      <c r="K213" s="3">
        <v>24184.15</v>
      </c>
      <c r="L213" s="2">
        <v>25.5</v>
      </c>
      <c r="M213" s="11">
        <v>35.265240640000002</v>
      </c>
      <c r="N213" s="3">
        <v>9</v>
      </c>
      <c r="O213" s="3">
        <v>844702</v>
      </c>
      <c r="P213" s="3">
        <v>1142592</v>
      </c>
      <c r="Q213" s="10">
        <v>0</v>
      </c>
      <c r="R213" s="3">
        <f>(Таблица1[Размер кредита]-$AA$2)/$AA$3</f>
        <v>-1.2411115481956205E-10</v>
      </c>
      <c r="S213" s="3">
        <f>(Таблица1[Кредитный рейтинг]-$AA$7)/($AA$8-$AA$7)</f>
        <v>0.99201065246338216</v>
      </c>
      <c r="T213" s="3">
        <f>(Таблица1[Срок с последнего нарушения кредитного договора (мес,)]-$AA$12)/($AA$13-$AA$12)</f>
        <v>0.40074137090909095</v>
      </c>
      <c r="U213" s="3">
        <f>(Таблица1[Количество кредитных карт]-$AA$18)/($AA$19-$AA$18)</f>
        <v>0.19047619047619047</v>
      </c>
      <c r="V213" s="3">
        <f>(Таблица1[Число нарушений кредитных договоров]-$AA$23)/($AA$24-$AA$23)</f>
        <v>0</v>
      </c>
      <c r="W213" s="3">
        <f>Таблица1[[#This Row],[Годовой доход]]/12</f>
        <v>239447.5</v>
      </c>
      <c r="X213" s="3">
        <f>Таблица1[[#This Row],[Ежемесячный платеж]]/Таблица1[[#This Row],[Ежем доход]]</f>
        <v>0.10099980162666139</v>
      </c>
      <c r="Y213" s="3"/>
      <c r="Z213" s="3"/>
      <c r="AA213" s="3"/>
      <c r="AB213" s="3"/>
    </row>
    <row r="214" spans="1:28" x14ac:dyDescent="0.2">
      <c r="A214">
        <v>1982</v>
      </c>
      <c r="B214" t="s">
        <v>2018</v>
      </c>
      <c r="C214" t="s">
        <v>18</v>
      </c>
      <c r="D214" t="s">
        <v>19</v>
      </c>
      <c r="E214" t="s">
        <v>47</v>
      </c>
      <c r="F214" t="s">
        <v>33</v>
      </c>
      <c r="G214" t="s">
        <v>25</v>
      </c>
      <c r="H214" s="1">
        <v>474166</v>
      </c>
      <c r="I214" s="3">
        <v>747</v>
      </c>
      <c r="J214" s="3">
        <v>2885226</v>
      </c>
      <c r="K214" s="3">
        <v>35824.69</v>
      </c>
      <c r="L214" s="2">
        <v>20.100000000000001</v>
      </c>
      <c r="M214" s="11">
        <v>35.265240640000002</v>
      </c>
      <c r="N214" s="3">
        <v>8</v>
      </c>
      <c r="O214" s="3">
        <v>753882</v>
      </c>
      <c r="P214" s="3">
        <v>1142548</v>
      </c>
      <c r="Q214" s="10">
        <v>0</v>
      </c>
      <c r="R214" s="3">
        <f>(Таблица1[Размер кредита]-$AA$2)/$AA$3</f>
        <v>0.93695163907432344</v>
      </c>
      <c r="S214" s="3">
        <f>(Таблица1[Кредитный рейтинг]-$AA$7)/($AA$8-$AA$7)</f>
        <v>0.9946737683089214</v>
      </c>
      <c r="T214" s="3">
        <f>(Таблица1[Срок с последнего нарушения кредитного договора (мес,)]-$AA$12)/($AA$13-$AA$12)</f>
        <v>0.40074137090909095</v>
      </c>
      <c r="U214" s="3">
        <f>(Таблица1[Количество кредитных карт]-$AA$18)/($AA$19-$AA$18)</f>
        <v>0.16666666666666666</v>
      </c>
      <c r="V214" s="3">
        <f>(Таблица1[Число нарушений кредитных договоров]-$AA$23)/($AA$24-$AA$23)</f>
        <v>0</v>
      </c>
      <c r="W214" s="3">
        <f>Таблица1[[#This Row],[Годовой доход]]/12</f>
        <v>240435.5</v>
      </c>
      <c r="X214" s="3">
        <f>Таблица1[[#This Row],[Ежемесячный платеж]]/Таблица1[[#This Row],[Ежем доход]]</f>
        <v>0.1489991702556403</v>
      </c>
      <c r="Y214" s="3"/>
      <c r="Z214" s="3"/>
      <c r="AA214" s="3"/>
      <c r="AB214" s="3"/>
    </row>
    <row r="215" spans="1:28" x14ac:dyDescent="0.2">
      <c r="A215">
        <v>1068</v>
      </c>
      <c r="B215" t="s">
        <v>1107</v>
      </c>
      <c r="C215" t="s">
        <v>18</v>
      </c>
      <c r="D215" t="s">
        <v>29</v>
      </c>
      <c r="E215" t="s">
        <v>24</v>
      </c>
      <c r="F215" t="s">
        <v>33</v>
      </c>
      <c r="G215" t="s">
        <v>25</v>
      </c>
      <c r="H215" s="1">
        <v>309594.52439999999</v>
      </c>
      <c r="I215" s="3">
        <v>703</v>
      </c>
      <c r="J215" s="3">
        <v>1000540</v>
      </c>
      <c r="K215" s="3">
        <v>15758.6</v>
      </c>
      <c r="L215" s="2">
        <v>12.3</v>
      </c>
      <c r="M215" s="11">
        <v>35.265240640000002</v>
      </c>
      <c r="N215" s="3">
        <v>9</v>
      </c>
      <c r="O215" s="3">
        <v>556244</v>
      </c>
      <c r="P215" s="3">
        <v>1141976</v>
      </c>
      <c r="Q215" s="10">
        <v>0</v>
      </c>
      <c r="R215" s="3">
        <f>(Таблица1[Размер кредита]-$AA$2)/$AA$3</f>
        <v>-1.2411115481956205E-10</v>
      </c>
      <c r="S215" s="3">
        <f>(Таблица1[Кредитный рейтинг]-$AA$7)/($AA$8-$AA$7)</f>
        <v>0.93608521970705727</v>
      </c>
      <c r="T215" s="3">
        <f>(Таблица1[Срок с последнего нарушения кредитного договора (мес,)]-$AA$12)/($AA$13-$AA$12)</f>
        <v>0.40074137090909095</v>
      </c>
      <c r="U215" s="3">
        <f>(Таблица1[Количество кредитных карт]-$AA$18)/($AA$19-$AA$18)</f>
        <v>0.19047619047619047</v>
      </c>
      <c r="V215" s="3">
        <f>(Таблица1[Число нарушений кредитных договоров]-$AA$23)/($AA$24-$AA$23)</f>
        <v>0</v>
      </c>
      <c r="W215" s="3">
        <f>Таблица1[[#This Row],[Годовой доход]]/12</f>
        <v>83378.333333333328</v>
      </c>
      <c r="X215" s="3">
        <f>Таблица1[[#This Row],[Ежемесячный платеж]]/Таблица1[[#This Row],[Ежем доход]]</f>
        <v>0.18900113938473226</v>
      </c>
      <c r="Y215" s="3"/>
      <c r="Z215" s="3"/>
      <c r="AA215" s="3"/>
      <c r="AB215" s="3"/>
    </row>
    <row r="216" spans="1:28" x14ac:dyDescent="0.2">
      <c r="A216">
        <v>228</v>
      </c>
      <c r="B216" t="s">
        <v>270</v>
      </c>
      <c r="C216" t="s">
        <v>18</v>
      </c>
      <c r="D216" t="s">
        <v>19</v>
      </c>
      <c r="E216" t="s">
        <v>24</v>
      </c>
      <c r="F216" t="s">
        <v>21</v>
      </c>
      <c r="G216" t="s">
        <v>25</v>
      </c>
      <c r="H216" s="1">
        <v>763840</v>
      </c>
      <c r="I216" s="3">
        <v>742</v>
      </c>
      <c r="J216" s="3">
        <v>1639776</v>
      </c>
      <c r="K216" s="3">
        <v>23640.18</v>
      </c>
      <c r="L216" s="2">
        <v>21.4</v>
      </c>
      <c r="M216" s="11">
        <v>35.265240640000002</v>
      </c>
      <c r="N216" s="3">
        <v>9</v>
      </c>
      <c r="O216" s="3">
        <v>606461</v>
      </c>
      <c r="P216" s="3">
        <v>1141800</v>
      </c>
      <c r="Q216" s="10">
        <v>0</v>
      </c>
      <c r="R216" s="3">
        <f>(Таблица1[Размер кредита]-$AA$2)/$AA$3</f>
        <v>2.5861470913460494</v>
      </c>
      <c r="S216" s="3">
        <f>(Таблица1[Кредитный рейтинг]-$AA$7)/($AA$8-$AA$7)</f>
        <v>0.98801597869507318</v>
      </c>
      <c r="T216" s="3">
        <f>(Таблица1[Срок с последнего нарушения кредитного договора (мес,)]-$AA$12)/($AA$13-$AA$12)</f>
        <v>0.40074137090909095</v>
      </c>
      <c r="U216" s="3">
        <f>(Таблица1[Количество кредитных карт]-$AA$18)/($AA$19-$AA$18)</f>
        <v>0.19047619047619047</v>
      </c>
      <c r="V216" s="3">
        <f>(Таблица1[Число нарушений кредитных договоров]-$AA$23)/($AA$24-$AA$23)</f>
        <v>0</v>
      </c>
      <c r="W216" s="3">
        <f>Таблица1[[#This Row],[Годовой доход]]/12</f>
        <v>136648</v>
      </c>
      <c r="X216" s="3">
        <f>Таблица1[[#This Row],[Ежемесячный платеж]]/Таблица1[[#This Row],[Ежем доход]]</f>
        <v>0.17300055617352614</v>
      </c>
      <c r="Y216" s="3"/>
      <c r="Z216" s="3"/>
      <c r="AA216" s="3"/>
      <c r="AB216" s="3"/>
    </row>
    <row r="217" spans="1:28" x14ac:dyDescent="0.2">
      <c r="A217">
        <v>1850</v>
      </c>
      <c r="B217" t="s">
        <v>1887</v>
      </c>
      <c r="C217" t="s">
        <v>18</v>
      </c>
      <c r="D217" t="s">
        <v>19</v>
      </c>
      <c r="E217" t="s">
        <v>24</v>
      </c>
      <c r="F217" t="s">
        <v>21</v>
      </c>
      <c r="G217" t="s">
        <v>25</v>
      </c>
      <c r="H217" s="1">
        <v>309594.52439999999</v>
      </c>
      <c r="I217" s="3">
        <v>736</v>
      </c>
      <c r="J217" s="3">
        <v>2649094</v>
      </c>
      <c r="K217" s="3">
        <v>51657.39</v>
      </c>
      <c r="L217" s="2">
        <v>28</v>
      </c>
      <c r="M217" s="11">
        <v>34</v>
      </c>
      <c r="N217" s="3">
        <v>22</v>
      </c>
      <c r="O217" s="3">
        <v>699067</v>
      </c>
      <c r="P217" s="3">
        <v>1140062</v>
      </c>
      <c r="Q217" s="10">
        <v>0</v>
      </c>
      <c r="R217" s="3">
        <f>(Таблица1[Размер кредита]-$AA$2)/$AA$3</f>
        <v>-1.2411115481956205E-10</v>
      </c>
      <c r="S217" s="3">
        <f>(Таблица1[Кредитный рейтинг]-$AA$7)/($AA$8-$AA$7)</f>
        <v>0.98002663115845534</v>
      </c>
      <c r="T217" s="3">
        <f>(Таблица1[Срок с последнего нарушения кредитного договора (мес,)]-$AA$12)/($AA$13-$AA$12)</f>
        <v>0.38636363636363635</v>
      </c>
      <c r="U217" s="3">
        <f>(Таблица1[Количество кредитных карт]-$AA$18)/($AA$19-$AA$18)</f>
        <v>0.5</v>
      </c>
      <c r="V217" s="3">
        <f>(Таблица1[Число нарушений кредитных договоров]-$AA$23)/($AA$24-$AA$23)</f>
        <v>0</v>
      </c>
      <c r="W217" s="3">
        <f>Таблица1[[#This Row],[Годовой доход]]/12</f>
        <v>220757.83333333334</v>
      </c>
      <c r="X217" s="3">
        <f>Таблица1[[#This Row],[Ежемесячный платеж]]/Таблица1[[#This Row],[Ежем доход]]</f>
        <v>0.23400025820148321</v>
      </c>
      <c r="Y217" s="3"/>
      <c r="Z217" s="3"/>
      <c r="AA217" s="3"/>
      <c r="AB217" s="3"/>
    </row>
    <row r="218" spans="1:28" x14ac:dyDescent="0.2">
      <c r="A218">
        <v>1759</v>
      </c>
      <c r="B218" t="s">
        <v>1797</v>
      </c>
      <c r="C218" t="s">
        <v>18</v>
      </c>
      <c r="D218" t="s">
        <v>19</v>
      </c>
      <c r="E218" t="s">
        <v>24</v>
      </c>
      <c r="F218" t="s">
        <v>21</v>
      </c>
      <c r="G218" t="s">
        <v>25</v>
      </c>
      <c r="H218" s="1">
        <v>614394</v>
      </c>
      <c r="I218" s="3">
        <v>724</v>
      </c>
      <c r="J218" s="3">
        <v>1705554</v>
      </c>
      <c r="K218" s="3">
        <v>14639.31</v>
      </c>
      <c r="L218" s="2">
        <v>16.600000000000001</v>
      </c>
      <c r="M218" s="11">
        <v>7</v>
      </c>
      <c r="N218" s="3">
        <v>14</v>
      </c>
      <c r="O218" s="3">
        <v>489820</v>
      </c>
      <c r="P218" s="3">
        <v>1136586</v>
      </c>
      <c r="Q218" s="10">
        <v>0</v>
      </c>
      <c r="R218" s="3">
        <f>(Таблица1[Размер кредита]-$AA$2)/$AA$3</f>
        <v>1.7353090335286396</v>
      </c>
      <c r="S218" s="3">
        <f>(Таблица1[Кредитный рейтинг]-$AA$7)/($AA$8-$AA$7)</f>
        <v>0.96404793608521966</v>
      </c>
      <c r="T218" s="3">
        <f>(Таблица1[Срок с последнего нарушения кредитного договора (мес,)]-$AA$12)/($AA$13-$AA$12)</f>
        <v>7.9545454545454544E-2</v>
      </c>
      <c r="U218" s="3">
        <f>(Таблица1[Количество кредитных карт]-$AA$18)/($AA$19-$AA$18)</f>
        <v>0.30952380952380953</v>
      </c>
      <c r="V218" s="3">
        <f>(Таблица1[Число нарушений кредитных договоров]-$AA$23)/($AA$24-$AA$23)</f>
        <v>0</v>
      </c>
      <c r="W218" s="3">
        <f>Таблица1[[#This Row],[Годовой доход]]/12</f>
        <v>142129.5</v>
      </c>
      <c r="X218" s="3">
        <f>Таблица1[[#This Row],[Ежемесячный платеж]]/Таблица1[[#This Row],[Ежем доход]]</f>
        <v>0.10299979947864447</v>
      </c>
      <c r="Y218" s="3"/>
      <c r="Z218" s="3"/>
      <c r="AA218" s="3"/>
      <c r="AB218" s="3"/>
    </row>
    <row r="219" spans="1:28" x14ac:dyDescent="0.2">
      <c r="A219">
        <v>1897</v>
      </c>
      <c r="B219" t="s">
        <v>1933</v>
      </c>
      <c r="C219" t="s">
        <v>18</v>
      </c>
      <c r="D219" t="s">
        <v>29</v>
      </c>
      <c r="E219" t="s">
        <v>20</v>
      </c>
      <c r="F219" t="s">
        <v>21</v>
      </c>
      <c r="G219" t="s">
        <v>25</v>
      </c>
      <c r="H219" s="1">
        <v>448404</v>
      </c>
      <c r="I219" s="3">
        <v>717</v>
      </c>
      <c r="J219" s="3">
        <v>968145</v>
      </c>
      <c r="K219" s="3">
        <v>17265.3</v>
      </c>
      <c r="L219" s="2">
        <v>24.7</v>
      </c>
      <c r="M219" s="11">
        <v>7</v>
      </c>
      <c r="N219" s="3">
        <v>12</v>
      </c>
      <c r="O219" s="3">
        <v>583661</v>
      </c>
      <c r="P219" s="3">
        <v>1132010</v>
      </c>
      <c r="Q219" s="10">
        <v>0</v>
      </c>
      <c r="R219" s="3">
        <f>(Таблица1[Размер кредита]-$AA$2)/$AA$3</f>
        <v>0.79028133645336263</v>
      </c>
      <c r="S219" s="3">
        <f>(Таблица1[Кредитный рейтинг]-$AA$7)/($AA$8-$AA$7)</f>
        <v>0.9547270306258322</v>
      </c>
      <c r="T219" s="3">
        <f>(Таблица1[Срок с последнего нарушения кредитного договора (мес,)]-$AA$12)/($AA$13-$AA$12)</f>
        <v>7.9545454545454544E-2</v>
      </c>
      <c r="U219" s="3">
        <f>(Таблица1[Количество кредитных карт]-$AA$18)/($AA$19-$AA$18)</f>
        <v>0.26190476190476192</v>
      </c>
      <c r="V219" s="3">
        <f>(Таблица1[Число нарушений кредитных договоров]-$AA$23)/($AA$24-$AA$23)</f>
        <v>0</v>
      </c>
      <c r="W219" s="3">
        <f>Таблица1[[#This Row],[Годовой доход]]/12</f>
        <v>80678.75</v>
      </c>
      <c r="X219" s="3">
        <f>Таблица1[[#This Row],[Ежемесячный платеж]]/Таблица1[[#This Row],[Ежем доход]]</f>
        <v>0.21400058875478362</v>
      </c>
      <c r="Y219" s="3"/>
      <c r="Z219" s="3"/>
      <c r="AA219" s="3"/>
      <c r="AB219" s="3"/>
    </row>
    <row r="220" spans="1:28" x14ac:dyDescent="0.2">
      <c r="A220">
        <v>361</v>
      </c>
      <c r="B220" t="s">
        <v>403</v>
      </c>
      <c r="C220" t="s">
        <v>18</v>
      </c>
      <c r="D220" t="s">
        <v>19</v>
      </c>
      <c r="E220" t="s">
        <v>24</v>
      </c>
      <c r="F220" t="s">
        <v>21</v>
      </c>
      <c r="G220" t="s">
        <v>25</v>
      </c>
      <c r="H220" s="1">
        <v>780406</v>
      </c>
      <c r="I220" s="3">
        <v>715</v>
      </c>
      <c r="J220" s="3">
        <v>3369897</v>
      </c>
      <c r="K220" s="3">
        <v>35945.53</v>
      </c>
      <c r="L220" s="2">
        <v>9.1999999999999993</v>
      </c>
      <c r="M220" s="11">
        <v>35.265240640000002</v>
      </c>
      <c r="N220" s="3">
        <v>6</v>
      </c>
      <c r="O220" s="3">
        <v>457710</v>
      </c>
      <c r="P220" s="3">
        <v>1130008</v>
      </c>
      <c r="Q220" s="10">
        <v>0</v>
      </c>
      <c r="R220" s="3">
        <f>(Таблица1[Размер кредита]-$AA$2)/$AA$3</f>
        <v>2.6804619827837808</v>
      </c>
      <c r="S220" s="3">
        <f>(Таблица1[Кредитный рейтинг]-$AA$7)/($AA$8-$AA$7)</f>
        <v>0.95206391478029295</v>
      </c>
      <c r="T220" s="3">
        <f>(Таблица1[Срок с последнего нарушения кредитного договора (мес,)]-$AA$12)/($AA$13-$AA$12)</f>
        <v>0.40074137090909095</v>
      </c>
      <c r="U220" s="3">
        <f>(Таблица1[Количество кредитных карт]-$AA$18)/($AA$19-$AA$18)</f>
        <v>0.11904761904761904</v>
      </c>
      <c r="V220" s="3">
        <f>(Таблица1[Число нарушений кредитных договоров]-$AA$23)/($AA$24-$AA$23)</f>
        <v>0</v>
      </c>
      <c r="W220" s="3">
        <f>Таблица1[[#This Row],[Годовой доход]]/12</f>
        <v>280824.75</v>
      </c>
      <c r="X220" s="3">
        <f>Таблица1[[#This Row],[Ежемесячный платеж]]/Таблица1[[#This Row],[Ежем доход]]</f>
        <v>0.12799986468429153</v>
      </c>
      <c r="Y220" s="3"/>
      <c r="Z220" s="3"/>
      <c r="AA220" s="3"/>
      <c r="AB220" s="3"/>
    </row>
    <row r="221" spans="1:28" x14ac:dyDescent="0.2">
      <c r="A221">
        <v>1710</v>
      </c>
      <c r="B221" t="s">
        <v>1748</v>
      </c>
      <c r="C221" t="s">
        <v>18</v>
      </c>
      <c r="D221" t="s">
        <v>29</v>
      </c>
      <c r="E221" t="s">
        <v>24</v>
      </c>
      <c r="F221" t="s">
        <v>21</v>
      </c>
      <c r="G221" t="s">
        <v>67</v>
      </c>
      <c r="H221" s="1">
        <v>197714</v>
      </c>
      <c r="I221" s="3">
        <v>746</v>
      </c>
      <c r="J221" s="3">
        <v>1081480</v>
      </c>
      <c r="K221" s="3">
        <v>7209.93</v>
      </c>
      <c r="L221" s="2">
        <v>20.5</v>
      </c>
      <c r="M221" s="11">
        <v>35.265240640000002</v>
      </c>
      <c r="N221" s="3">
        <v>14</v>
      </c>
      <c r="O221" s="3">
        <v>101479</v>
      </c>
      <c r="P221" s="3">
        <v>1129722</v>
      </c>
      <c r="Q221" s="10">
        <v>0</v>
      </c>
      <c r="R221" s="3">
        <f>(Таблица1[Размер кредита]-$AA$2)/$AA$3</f>
        <v>-0.63696725309902735</v>
      </c>
      <c r="S221" s="3">
        <f>(Таблица1[Кредитный рейтинг]-$AA$7)/($AA$8-$AA$7)</f>
        <v>0.99334221038615178</v>
      </c>
      <c r="T221" s="3">
        <f>(Таблица1[Срок с последнего нарушения кредитного договора (мес,)]-$AA$12)/($AA$13-$AA$12)</f>
        <v>0.40074137090909095</v>
      </c>
      <c r="U221" s="3">
        <f>(Таблица1[Количество кредитных карт]-$AA$18)/($AA$19-$AA$18)</f>
        <v>0.30952380952380953</v>
      </c>
      <c r="V221" s="3">
        <f>(Таблица1[Число нарушений кредитных договоров]-$AA$23)/($AA$24-$AA$23)</f>
        <v>0</v>
      </c>
      <c r="W221" s="3">
        <f>Таблица1[[#This Row],[Годовой доход]]/12</f>
        <v>90123.333333333328</v>
      </c>
      <c r="X221" s="3">
        <f>Таблица1[[#This Row],[Ежемесячный платеж]]/Таблица1[[#This Row],[Ежем доход]]</f>
        <v>8.0000702740688698E-2</v>
      </c>
      <c r="Y221" s="3"/>
      <c r="Z221" s="3"/>
      <c r="AA221" s="3"/>
      <c r="AB221" s="3"/>
    </row>
    <row r="222" spans="1:28" x14ac:dyDescent="0.2">
      <c r="A222">
        <v>1302</v>
      </c>
      <c r="B222" t="s">
        <v>1341</v>
      </c>
      <c r="C222" t="s">
        <v>18</v>
      </c>
      <c r="D222" t="s">
        <v>19</v>
      </c>
      <c r="E222" t="s">
        <v>52</v>
      </c>
      <c r="F222" t="s">
        <v>21</v>
      </c>
      <c r="G222" t="s">
        <v>25</v>
      </c>
      <c r="H222" s="1">
        <v>519024</v>
      </c>
      <c r="I222" s="3">
        <v>0</v>
      </c>
      <c r="J222" s="3">
        <v>1168044</v>
      </c>
      <c r="K222" s="3">
        <v>38328.129999999997</v>
      </c>
      <c r="L222" s="2">
        <v>24.5</v>
      </c>
      <c r="M222" s="11">
        <v>35.265240640000002</v>
      </c>
      <c r="N222" s="3">
        <v>15</v>
      </c>
      <c r="O222" s="3">
        <v>871872</v>
      </c>
      <c r="P222" s="3">
        <v>1126708</v>
      </c>
      <c r="Q222" s="10">
        <v>0</v>
      </c>
      <c r="R222" s="3">
        <f>(Таблица1[Размер кредита]-$AA$2)/$AA$3</f>
        <v>1.1923408338173971</v>
      </c>
      <c r="S222" s="3">
        <f>(Таблица1[Кредитный рейтинг]-$AA$7)/($AA$8-$AA$7)</f>
        <v>0</v>
      </c>
      <c r="T222" s="3">
        <f>(Таблица1[Срок с последнего нарушения кредитного договора (мес,)]-$AA$12)/($AA$13-$AA$12)</f>
        <v>0.40074137090909095</v>
      </c>
      <c r="U222" s="3">
        <f>(Таблица1[Количество кредитных карт]-$AA$18)/($AA$19-$AA$18)</f>
        <v>0.33333333333333331</v>
      </c>
      <c r="V222" s="3">
        <f>(Таблица1[Число нарушений кредитных договоров]-$AA$23)/($AA$24-$AA$23)</f>
        <v>0</v>
      </c>
      <c r="W222" s="3">
        <f>Таблица1[[#This Row],[Годовой доход]]/12</f>
        <v>97337</v>
      </c>
      <c r="X222" s="3">
        <f>Таблица1[[#This Row],[Ежемесячный платеж]]/Таблица1[[#This Row],[Ежем доход]]</f>
        <v>0.39376732383369117</v>
      </c>
      <c r="Y222" s="3"/>
      <c r="Z222" s="3"/>
      <c r="AA222" s="3"/>
      <c r="AB222" s="3"/>
    </row>
    <row r="223" spans="1:28" x14ac:dyDescent="0.2">
      <c r="A223">
        <v>964</v>
      </c>
      <c r="B223" t="s">
        <v>1005</v>
      </c>
      <c r="C223" t="s">
        <v>18</v>
      </c>
      <c r="D223" t="s">
        <v>19</v>
      </c>
      <c r="E223" t="s">
        <v>24</v>
      </c>
      <c r="F223" t="s">
        <v>33</v>
      </c>
      <c r="G223" t="s">
        <v>25</v>
      </c>
      <c r="H223" s="1">
        <v>64988</v>
      </c>
      <c r="I223" s="3">
        <v>0</v>
      </c>
      <c r="J223" s="3">
        <v>1168044</v>
      </c>
      <c r="K223" s="3">
        <v>7577.96</v>
      </c>
      <c r="L223" s="2">
        <v>23.1</v>
      </c>
      <c r="M223" s="11">
        <v>35.265240640000002</v>
      </c>
      <c r="N223" s="3">
        <v>9</v>
      </c>
      <c r="O223" s="3">
        <v>5833</v>
      </c>
      <c r="P223" s="3">
        <v>1126620</v>
      </c>
      <c r="Q223" s="10">
        <v>0</v>
      </c>
      <c r="R223" s="3">
        <f>(Таблица1[Размер кредита]-$AA$2)/$AA$3</f>
        <v>-1.3926136542196565</v>
      </c>
      <c r="S223" s="3">
        <f>(Таблица1[Кредитный рейтинг]-$AA$7)/($AA$8-$AA$7)</f>
        <v>0</v>
      </c>
      <c r="T223" s="3">
        <f>(Таблица1[Срок с последнего нарушения кредитного договора (мес,)]-$AA$12)/($AA$13-$AA$12)</f>
        <v>0.40074137090909095</v>
      </c>
      <c r="U223" s="3">
        <f>(Таблица1[Количество кредитных карт]-$AA$18)/($AA$19-$AA$18)</f>
        <v>0.19047619047619047</v>
      </c>
      <c r="V223" s="3">
        <f>(Таблица1[Число нарушений кредитных договоров]-$AA$23)/($AA$24-$AA$23)</f>
        <v>0</v>
      </c>
      <c r="W223" s="3">
        <f>Таблица1[[#This Row],[Годовой доход]]/12</f>
        <v>97337</v>
      </c>
      <c r="X223" s="3">
        <f>Таблица1[[#This Row],[Ежемесячный платеж]]/Таблица1[[#This Row],[Ежем доход]]</f>
        <v>7.7852820612922119E-2</v>
      </c>
      <c r="Y223" s="3"/>
      <c r="Z223" s="3"/>
      <c r="AA223" s="3"/>
      <c r="AB223" s="3"/>
    </row>
    <row r="224" spans="1:28" x14ac:dyDescent="0.2">
      <c r="A224">
        <v>1963</v>
      </c>
      <c r="B224" t="s">
        <v>1999</v>
      </c>
      <c r="C224" t="s">
        <v>18</v>
      </c>
      <c r="D224" t="s">
        <v>29</v>
      </c>
      <c r="E224" t="s">
        <v>69</v>
      </c>
      <c r="F224" t="s">
        <v>21</v>
      </c>
      <c r="G224" t="s">
        <v>25</v>
      </c>
      <c r="H224" s="1">
        <v>516538</v>
      </c>
      <c r="I224" s="3">
        <v>721</v>
      </c>
      <c r="J224" s="3">
        <v>2323472</v>
      </c>
      <c r="K224" s="3">
        <v>36594.57</v>
      </c>
      <c r="L224" s="2">
        <v>17.3</v>
      </c>
      <c r="M224" s="11">
        <v>35.265240640000002</v>
      </c>
      <c r="N224" s="3">
        <v>14</v>
      </c>
      <c r="O224" s="3">
        <v>774782</v>
      </c>
      <c r="P224" s="3">
        <v>1125630</v>
      </c>
      <c r="Q224" s="10">
        <v>0</v>
      </c>
      <c r="R224" s="3">
        <f>(Таблица1[Размер кредита]-$AA$2)/$AA$3</f>
        <v>1.1781873374927441</v>
      </c>
      <c r="S224" s="3">
        <f>(Таблица1[Кредитный рейтинг]-$AA$7)/($AA$8-$AA$7)</f>
        <v>0.96005326231691079</v>
      </c>
      <c r="T224" s="3">
        <f>(Таблица1[Срок с последнего нарушения кредитного договора (мес,)]-$AA$12)/($AA$13-$AA$12)</f>
        <v>0.40074137090909095</v>
      </c>
      <c r="U224" s="3">
        <f>(Таблица1[Количество кредитных карт]-$AA$18)/($AA$19-$AA$18)</f>
        <v>0.30952380952380953</v>
      </c>
      <c r="V224" s="3">
        <f>(Таблица1[Число нарушений кредитных договоров]-$AA$23)/($AA$24-$AA$23)</f>
        <v>0</v>
      </c>
      <c r="W224" s="3">
        <f>Таблица1[[#This Row],[Годовой доход]]/12</f>
        <v>193622.66666666666</v>
      </c>
      <c r="X224" s="3">
        <f>Таблица1[[#This Row],[Ежемесячный платеж]]/Таблица1[[#This Row],[Ежем доход]]</f>
        <v>0.1889994112259584</v>
      </c>
      <c r="Y224" s="3"/>
      <c r="Z224" s="3"/>
      <c r="AA224" s="3"/>
      <c r="AB224" s="3"/>
    </row>
    <row r="225" spans="1:28" x14ac:dyDescent="0.2">
      <c r="A225">
        <v>1437</v>
      </c>
      <c r="B225" t="s">
        <v>1476</v>
      </c>
      <c r="C225" t="s">
        <v>18</v>
      </c>
      <c r="D225" t="s">
        <v>19</v>
      </c>
      <c r="E225" t="s">
        <v>24</v>
      </c>
      <c r="F225" t="s">
        <v>33</v>
      </c>
      <c r="G225" t="s">
        <v>25</v>
      </c>
      <c r="H225" s="1">
        <v>676170</v>
      </c>
      <c r="I225" s="3">
        <v>744</v>
      </c>
      <c r="J225" s="3">
        <v>1557240</v>
      </c>
      <c r="K225" s="3">
        <v>18297.57</v>
      </c>
      <c r="L225" s="2">
        <v>24.7</v>
      </c>
      <c r="M225" s="11">
        <v>35.265240640000002</v>
      </c>
      <c r="N225" s="3">
        <v>5</v>
      </c>
      <c r="O225" s="3">
        <v>712994</v>
      </c>
      <c r="P225" s="3">
        <v>1120196</v>
      </c>
      <c r="Q225" s="10">
        <v>0</v>
      </c>
      <c r="R225" s="3">
        <f>(Таблица1[Размер кредита]-$AA$2)/$AA$3</f>
        <v>2.0870171545872718</v>
      </c>
      <c r="S225" s="3">
        <f>(Таблица1[Кредитный рейтинг]-$AA$7)/($AA$8-$AA$7)</f>
        <v>0.99067909454061254</v>
      </c>
      <c r="T225" s="3">
        <f>(Таблица1[Срок с последнего нарушения кредитного договора (мес,)]-$AA$12)/($AA$13-$AA$12)</f>
        <v>0.40074137090909095</v>
      </c>
      <c r="U225" s="3">
        <f>(Таблица1[Количество кредитных карт]-$AA$18)/($AA$19-$AA$18)</f>
        <v>9.5238095238095233E-2</v>
      </c>
      <c r="V225" s="3">
        <f>(Таблица1[Число нарушений кредитных договоров]-$AA$23)/($AA$24-$AA$23)</f>
        <v>0</v>
      </c>
      <c r="W225" s="3">
        <f>Таблица1[[#This Row],[Годовой доход]]/12</f>
        <v>129770</v>
      </c>
      <c r="X225" s="3">
        <f>Таблица1[[#This Row],[Ежемесячный платеж]]/Таблица1[[#This Row],[Ежем доход]]</f>
        <v>0.14099999999999999</v>
      </c>
      <c r="Y225" s="3"/>
      <c r="Z225" s="3"/>
      <c r="AA225" s="3"/>
      <c r="AB225" s="3"/>
    </row>
    <row r="226" spans="1:28" x14ac:dyDescent="0.2">
      <c r="A226">
        <v>92</v>
      </c>
      <c r="B226" t="s">
        <v>134</v>
      </c>
      <c r="C226" t="s">
        <v>18</v>
      </c>
      <c r="D226" t="s">
        <v>19</v>
      </c>
      <c r="E226" t="s">
        <v>24</v>
      </c>
      <c r="F226" t="s">
        <v>33</v>
      </c>
      <c r="G226" t="s">
        <v>25</v>
      </c>
      <c r="H226" s="1">
        <v>336908</v>
      </c>
      <c r="I226" s="3">
        <v>0</v>
      </c>
      <c r="J226" s="3">
        <v>1168044</v>
      </c>
      <c r="K226" s="3">
        <v>6652.47</v>
      </c>
      <c r="L226" s="2">
        <v>29.1</v>
      </c>
      <c r="M226" s="11">
        <v>35.265240640000002</v>
      </c>
      <c r="N226" s="3">
        <v>8</v>
      </c>
      <c r="O226" s="3">
        <v>277419</v>
      </c>
      <c r="P226" s="3">
        <v>1119250</v>
      </c>
      <c r="Q226" s="10">
        <v>0</v>
      </c>
      <c r="R226" s="3">
        <f>(Таблица1[Размер кредита]-$AA$2)/$AA$3</f>
        <v>0.15550328890167217</v>
      </c>
      <c r="S226" s="3">
        <f>(Таблица1[Кредитный рейтинг]-$AA$7)/($AA$8-$AA$7)</f>
        <v>0</v>
      </c>
      <c r="T226" s="3">
        <f>(Таблица1[Срок с последнего нарушения кредитного договора (мес,)]-$AA$12)/($AA$13-$AA$12)</f>
        <v>0.40074137090909095</v>
      </c>
      <c r="U226" s="3">
        <f>(Таблица1[Количество кредитных карт]-$AA$18)/($AA$19-$AA$18)</f>
        <v>0.16666666666666666</v>
      </c>
      <c r="V226" s="3">
        <f>(Таблица1[Число нарушений кредитных договоров]-$AA$23)/($AA$24-$AA$23)</f>
        <v>0</v>
      </c>
      <c r="W226" s="3">
        <f>Таблица1[[#This Row],[Годовой доход]]/12</f>
        <v>97337</v>
      </c>
      <c r="X226" s="3">
        <f>Таблица1[[#This Row],[Ежемесячный платеж]]/Таблица1[[#This Row],[Ежем доход]]</f>
        <v>6.8344719890689049E-2</v>
      </c>
      <c r="Y226" s="3"/>
      <c r="Z226" s="3"/>
      <c r="AA226" s="3"/>
      <c r="AB226" s="3"/>
    </row>
    <row r="227" spans="1:28" x14ac:dyDescent="0.2">
      <c r="A227">
        <v>299</v>
      </c>
      <c r="B227" t="s">
        <v>341</v>
      </c>
      <c r="C227" t="s">
        <v>18</v>
      </c>
      <c r="D227" t="s">
        <v>29</v>
      </c>
      <c r="E227" t="s">
        <v>32</v>
      </c>
      <c r="F227" t="s">
        <v>21</v>
      </c>
      <c r="G227" t="s">
        <v>25</v>
      </c>
      <c r="H227" s="1">
        <v>588544</v>
      </c>
      <c r="I227" s="3">
        <v>687</v>
      </c>
      <c r="J227" s="3">
        <v>1491158</v>
      </c>
      <c r="K227" s="3">
        <v>15284.36</v>
      </c>
      <c r="L227" s="2">
        <v>16.3</v>
      </c>
      <c r="M227" s="11">
        <v>71</v>
      </c>
      <c r="N227" s="3">
        <v>17</v>
      </c>
      <c r="O227" s="3">
        <v>428963</v>
      </c>
      <c r="P227" s="3">
        <v>1118722</v>
      </c>
      <c r="Q227" s="10">
        <v>0</v>
      </c>
      <c r="R227" s="3">
        <f>(Таблица1[Размер кредита]-$AA$2)/$AA$3</f>
        <v>1.588137722188222</v>
      </c>
      <c r="S227" s="3">
        <f>(Таблица1[Кредитный рейтинг]-$AA$7)/($AA$8-$AA$7)</f>
        <v>0.91478029294274299</v>
      </c>
      <c r="T227" s="3">
        <f>(Таблица1[Срок с последнего нарушения кредитного договора (мес,)]-$AA$12)/($AA$13-$AA$12)</f>
        <v>0.80681818181818177</v>
      </c>
      <c r="U227" s="3">
        <f>(Таблица1[Количество кредитных карт]-$AA$18)/($AA$19-$AA$18)</f>
        <v>0.38095238095238093</v>
      </c>
      <c r="V227" s="3">
        <f>(Таблица1[Число нарушений кредитных договоров]-$AA$23)/($AA$24-$AA$23)</f>
        <v>0</v>
      </c>
      <c r="W227" s="3">
        <f>Таблица1[[#This Row],[Годовой доход]]/12</f>
        <v>124263.16666666667</v>
      </c>
      <c r="X227" s="3">
        <f>Таблица1[[#This Row],[Ежемесячный платеж]]/Таблица1[[#This Row],[Ежем доход]]</f>
        <v>0.1229999235493489</v>
      </c>
      <c r="Y227" s="3"/>
      <c r="Z227" s="3"/>
      <c r="AA227" s="3"/>
      <c r="AB227" s="3"/>
    </row>
    <row r="228" spans="1:28" x14ac:dyDescent="0.2">
      <c r="A228">
        <v>454</v>
      </c>
      <c r="B228" t="s">
        <v>495</v>
      </c>
      <c r="C228" t="s">
        <v>35</v>
      </c>
      <c r="D228" t="s">
        <v>29</v>
      </c>
      <c r="E228" t="s">
        <v>24</v>
      </c>
      <c r="F228" t="s">
        <v>21</v>
      </c>
      <c r="G228" t="s">
        <v>25</v>
      </c>
      <c r="H228" s="1">
        <v>781022</v>
      </c>
      <c r="I228" s="3">
        <v>653</v>
      </c>
      <c r="J228" s="3">
        <v>2004253</v>
      </c>
      <c r="K228" s="3">
        <v>35993.22</v>
      </c>
      <c r="L228" s="2">
        <v>26.4</v>
      </c>
      <c r="M228" s="11">
        <v>48</v>
      </c>
      <c r="N228" s="3">
        <v>17</v>
      </c>
      <c r="O228" s="3">
        <v>622554</v>
      </c>
      <c r="P228" s="3">
        <v>1115862</v>
      </c>
      <c r="Q228" s="10">
        <v>0</v>
      </c>
      <c r="R228" s="3">
        <f>(Таблица1[Размер кредита]-$AA$2)/$AA$3</f>
        <v>2.6839690438199781</v>
      </c>
      <c r="S228" s="3">
        <f>(Таблица1[Кредитный рейтинг]-$AA$7)/($AA$8-$AA$7)</f>
        <v>0.86950732356857519</v>
      </c>
      <c r="T228" s="3">
        <f>(Таблица1[Срок с последнего нарушения кредитного договора (мес,)]-$AA$12)/($AA$13-$AA$12)</f>
        <v>0.54545454545454541</v>
      </c>
      <c r="U228" s="3">
        <f>(Таблица1[Количество кредитных карт]-$AA$18)/($AA$19-$AA$18)</f>
        <v>0.38095238095238093</v>
      </c>
      <c r="V228" s="3">
        <f>(Таблица1[Число нарушений кредитных договоров]-$AA$23)/($AA$24-$AA$23)</f>
        <v>0</v>
      </c>
      <c r="W228" s="3">
        <f>Таблица1[[#This Row],[Годовой доход]]/12</f>
        <v>167021.08333333334</v>
      </c>
      <c r="X228" s="3">
        <f>Таблица1[[#This Row],[Ежемесячный платеж]]/Таблица1[[#This Row],[Ежем доход]]</f>
        <v>0.21550105700228464</v>
      </c>
      <c r="Y228" s="3"/>
      <c r="Z228" s="3"/>
      <c r="AA228" s="3"/>
      <c r="AB228" s="3"/>
    </row>
    <row r="229" spans="1:28" x14ac:dyDescent="0.2">
      <c r="A229">
        <v>1446</v>
      </c>
      <c r="B229" t="s">
        <v>1485</v>
      </c>
      <c r="C229" t="s">
        <v>18</v>
      </c>
      <c r="D229" t="s">
        <v>19</v>
      </c>
      <c r="E229" t="s">
        <v>24</v>
      </c>
      <c r="F229" t="s">
        <v>27</v>
      </c>
      <c r="G229" t="s">
        <v>25</v>
      </c>
      <c r="H229" s="1">
        <v>782936</v>
      </c>
      <c r="I229" s="3">
        <v>715</v>
      </c>
      <c r="J229" s="3">
        <v>1719405</v>
      </c>
      <c r="K229" s="3">
        <v>29373.24</v>
      </c>
      <c r="L229" s="2">
        <v>10.7</v>
      </c>
      <c r="M229" s="11">
        <v>35.265240640000002</v>
      </c>
      <c r="N229" s="3">
        <v>12</v>
      </c>
      <c r="O229" s="3">
        <v>561830</v>
      </c>
      <c r="P229" s="3">
        <v>1115840</v>
      </c>
      <c r="Q229" s="10">
        <v>0</v>
      </c>
      <c r="R229" s="3">
        <f>(Таблица1[Размер кредита]-$AA$2)/$AA$3</f>
        <v>2.6948659834681621</v>
      </c>
      <c r="S229" s="3">
        <f>(Таблица1[Кредитный рейтинг]-$AA$7)/($AA$8-$AA$7)</f>
        <v>0.95206391478029295</v>
      </c>
      <c r="T229" s="3">
        <f>(Таблица1[Срок с последнего нарушения кредитного договора (мес,)]-$AA$12)/($AA$13-$AA$12)</f>
        <v>0.40074137090909095</v>
      </c>
      <c r="U229" s="3">
        <f>(Таблица1[Количество кредитных карт]-$AA$18)/($AA$19-$AA$18)</f>
        <v>0.26190476190476192</v>
      </c>
      <c r="V229" s="3">
        <f>(Таблица1[Число нарушений кредитных договоров]-$AA$23)/($AA$24-$AA$23)</f>
        <v>0</v>
      </c>
      <c r="W229" s="3">
        <f>Таблица1[[#This Row],[Годовой доход]]/12</f>
        <v>143283.75</v>
      </c>
      <c r="X229" s="3">
        <f>Таблица1[[#This Row],[Ежемесячный платеж]]/Таблица1[[#This Row],[Ежем доход]]</f>
        <v>0.20500049726504227</v>
      </c>
      <c r="Y229" s="3"/>
      <c r="Z229" s="3"/>
      <c r="AA229" s="3"/>
      <c r="AB229" s="3"/>
    </row>
    <row r="230" spans="1:28" x14ac:dyDescent="0.2">
      <c r="A230">
        <v>580</v>
      </c>
      <c r="B230" t="s">
        <v>621</v>
      </c>
      <c r="C230" t="s">
        <v>18</v>
      </c>
      <c r="D230" t="s">
        <v>29</v>
      </c>
      <c r="E230" t="s">
        <v>24</v>
      </c>
      <c r="F230" t="s">
        <v>21</v>
      </c>
      <c r="G230" t="s">
        <v>25</v>
      </c>
      <c r="H230" s="1">
        <v>230362</v>
      </c>
      <c r="I230" s="3">
        <v>731</v>
      </c>
      <c r="J230" s="3">
        <v>1013479</v>
      </c>
      <c r="K230" s="3">
        <v>24306.7</v>
      </c>
      <c r="L230" s="2">
        <v>22</v>
      </c>
      <c r="M230" s="11">
        <v>35.265240640000002</v>
      </c>
      <c r="N230" s="3">
        <v>16</v>
      </c>
      <c r="O230" s="3">
        <v>542735</v>
      </c>
      <c r="P230" s="3">
        <v>1114234</v>
      </c>
      <c r="Q230" s="10">
        <v>0</v>
      </c>
      <c r="R230" s="3">
        <f>(Таблица1[Размер кредита]-$AA$2)/$AA$3</f>
        <v>-0.45109301818057657</v>
      </c>
      <c r="S230" s="3">
        <f>(Таблица1[Кредитный рейтинг]-$AA$7)/($AA$8-$AA$7)</f>
        <v>0.97336884154460723</v>
      </c>
      <c r="T230" s="3">
        <f>(Таблица1[Срок с последнего нарушения кредитного договора (мес,)]-$AA$12)/($AA$13-$AA$12)</f>
        <v>0.40074137090909095</v>
      </c>
      <c r="U230" s="3">
        <f>(Таблица1[Количество кредитных карт]-$AA$18)/($AA$19-$AA$18)</f>
        <v>0.35714285714285715</v>
      </c>
      <c r="V230" s="3">
        <f>(Таблица1[Число нарушений кредитных договоров]-$AA$23)/($AA$24-$AA$23)</f>
        <v>0</v>
      </c>
      <c r="W230" s="3">
        <f>Таблица1[[#This Row],[Годовой доход]]/12</f>
        <v>84456.583333333328</v>
      </c>
      <c r="X230" s="3">
        <f>Таблица1[[#This Row],[Ежемесячный платеж]]/Таблица1[[#This Row],[Ежем доход]]</f>
        <v>0.28780112858776552</v>
      </c>
      <c r="Y230" s="3"/>
      <c r="Z230" s="3"/>
      <c r="AA230" s="3"/>
      <c r="AB230" s="3"/>
    </row>
    <row r="231" spans="1:28" x14ac:dyDescent="0.2">
      <c r="A231">
        <v>1799</v>
      </c>
      <c r="B231" t="s">
        <v>1837</v>
      </c>
      <c r="C231" t="s">
        <v>18</v>
      </c>
      <c r="D231" t="s">
        <v>19</v>
      </c>
      <c r="E231" t="s">
        <v>24</v>
      </c>
      <c r="F231" t="s">
        <v>21</v>
      </c>
      <c r="G231" t="s">
        <v>25</v>
      </c>
      <c r="H231" s="1">
        <v>220176</v>
      </c>
      <c r="I231" s="3">
        <v>747</v>
      </c>
      <c r="J231" s="3">
        <v>1357683</v>
      </c>
      <c r="K231" s="3">
        <v>10420.36</v>
      </c>
      <c r="L231" s="2">
        <v>23.7</v>
      </c>
      <c r="M231" s="11">
        <v>35.265240640000002</v>
      </c>
      <c r="N231" s="3">
        <v>14</v>
      </c>
      <c r="O231" s="3">
        <v>444448</v>
      </c>
      <c r="P231" s="3">
        <v>1111484</v>
      </c>
      <c r="Q231" s="10">
        <v>1</v>
      </c>
      <c r="R231" s="3">
        <f>(Таблица1[Размер кредита]-$AA$2)/$AA$3</f>
        <v>-0.50908477745769432</v>
      </c>
      <c r="S231" s="3">
        <f>(Таблица1[Кредитный рейтинг]-$AA$7)/($AA$8-$AA$7)</f>
        <v>0.9946737683089214</v>
      </c>
      <c r="T231" s="3">
        <f>(Таблица1[Срок с последнего нарушения кредитного договора (мес,)]-$AA$12)/($AA$13-$AA$12)</f>
        <v>0.40074137090909095</v>
      </c>
      <c r="U231" s="3">
        <f>(Таблица1[Количество кредитных карт]-$AA$18)/($AA$19-$AA$18)</f>
        <v>0.30952380952380953</v>
      </c>
      <c r="V231" s="3">
        <f>(Таблица1[Число нарушений кредитных договоров]-$AA$23)/($AA$24-$AA$23)</f>
        <v>0.14285714285714285</v>
      </c>
      <c r="W231" s="3">
        <f>Таблица1[[#This Row],[Годовой доход]]/12</f>
        <v>113140.25</v>
      </c>
      <c r="X231" s="3">
        <f>Таблица1[[#This Row],[Ежемесячный платеж]]/Таблица1[[#This Row],[Ежем доход]]</f>
        <v>9.2101263697048574E-2</v>
      </c>
      <c r="Y231" s="3"/>
      <c r="Z231" s="3"/>
      <c r="AA231" s="3"/>
      <c r="AB231" s="3"/>
    </row>
    <row r="232" spans="1:28" x14ac:dyDescent="0.2">
      <c r="A232">
        <v>1222</v>
      </c>
      <c r="B232" t="s">
        <v>1261</v>
      </c>
      <c r="C232" t="s">
        <v>18</v>
      </c>
      <c r="D232" t="s">
        <v>19</v>
      </c>
      <c r="E232" t="s">
        <v>37</v>
      </c>
      <c r="F232" t="s">
        <v>33</v>
      </c>
      <c r="G232" t="s">
        <v>25</v>
      </c>
      <c r="H232" s="1">
        <v>563750</v>
      </c>
      <c r="I232" s="3">
        <v>0</v>
      </c>
      <c r="J232" s="3">
        <v>1168044</v>
      </c>
      <c r="K232" s="3">
        <v>20351.47</v>
      </c>
      <c r="L232" s="2">
        <v>14.1</v>
      </c>
      <c r="M232" s="11">
        <v>35.265240640000002</v>
      </c>
      <c r="N232" s="3">
        <v>8</v>
      </c>
      <c r="O232" s="3">
        <v>284867</v>
      </c>
      <c r="P232" s="3">
        <v>1110560</v>
      </c>
      <c r="Q232" s="10">
        <v>0</v>
      </c>
      <c r="R232" s="3">
        <f>(Таблица1[Размер кредита]-$AA$2)/$AA$3</f>
        <v>1.4469785154812853</v>
      </c>
      <c r="S232" s="3">
        <f>(Таблица1[Кредитный рейтинг]-$AA$7)/($AA$8-$AA$7)</f>
        <v>0</v>
      </c>
      <c r="T232" s="3">
        <f>(Таблица1[Срок с последнего нарушения кредитного договора (мес,)]-$AA$12)/($AA$13-$AA$12)</f>
        <v>0.40074137090909095</v>
      </c>
      <c r="U232" s="3">
        <f>(Таблица1[Количество кредитных карт]-$AA$18)/($AA$19-$AA$18)</f>
        <v>0.16666666666666666</v>
      </c>
      <c r="V232" s="3">
        <f>(Таблица1[Число нарушений кредитных договоров]-$AA$23)/($AA$24-$AA$23)</f>
        <v>0</v>
      </c>
      <c r="W232" s="3">
        <f>Таблица1[[#This Row],[Годовой доход]]/12</f>
        <v>97337</v>
      </c>
      <c r="X232" s="3">
        <f>Таблица1[[#This Row],[Ежемесячный платеж]]/Таблица1[[#This Row],[Ежем доход]]</f>
        <v>0.20908256880733947</v>
      </c>
      <c r="Y232" s="3"/>
      <c r="Z232" s="3"/>
      <c r="AA232" s="3"/>
      <c r="AB232" s="3"/>
    </row>
    <row r="233" spans="1:28" x14ac:dyDescent="0.2">
      <c r="A233">
        <v>1523</v>
      </c>
      <c r="B233" t="s">
        <v>1562</v>
      </c>
      <c r="C233" t="s">
        <v>18</v>
      </c>
      <c r="D233" t="s">
        <v>19</v>
      </c>
      <c r="E233" t="s">
        <v>24</v>
      </c>
      <c r="F233" t="s">
        <v>21</v>
      </c>
      <c r="G233" t="s">
        <v>25</v>
      </c>
      <c r="H233" s="1">
        <v>286968</v>
      </c>
      <c r="I233" s="3">
        <v>719</v>
      </c>
      <c r="J233" s="3">
        <v>1408185</v>
      </c>
      <c r="K233" s="3">
        <v>20066.66</v>
      </c>
      <c r="L233" s="2">
        <v>17.899999999999999</v>
      </c>
      <c r="M233" s="11">
        <v>6</v>
      </c>
      <c r="N233" s="3">
        <v>17</v>
      </c>
      <c r="O233" s="3">
        <v>457900</v>
      </c>
      <c r="P233" s="3">
        <v>1109218</v>
      </c>
      <c r="Q233" s="10">
        <v>0</v>
      </c>
      <c r="R233" s="3">
        <f>(Таблица1[Размер кредита]-$AA$2)/$AA$3</f>
        <v>-0.12881915939002814</v>
      </c>
      <c r="S233" s="3">
        <f>(Таблица1[Кредитный рейтинг]-$AA$7)/($AA$8-$AA$7)</f>
        <v>0.95739014647137155</v>
      </c>
      <c r="T233" s="3">
        <f>(Таблица1[Срок с последнего нарушения кредитного договора (мес,)]-$AA$12)/($AA$13-$AA$12)</f>
        <v>6.8181818181818177E-2</v>
      </c>
      <c r="U233" s="3">
        <f>(Таблица1[Количество кредитных карт]-$AA$18)/($AA$19-$AA$18)</f>
        <v>0.38095238095238093</v>
      </c>
      <c r="V233" s="3">
        <f>(Таблица1[Число нарушений кредитных договоров]-$AA$23)/($AA$24-$AA$23)</f>
        <v>0</v>
      </c>
      <c r="W233" s="3">
        <f>Таблица1[[#This Row],[Годовой доход]]/12</f>
        <v>117348.75</v>
      </c>
      <c r="X233" s="3">
        <f>Таблица1[[#This Row],[Ежемесячный платеж]]/Таблица1[[#This Row],[Ежем доход]]</f>
        <v>0.17100020238818053</v>
      </c>
      <c r="Y233" s="3"/>
      <c r="Z233" s="3"/>
      <c r="AA233" s="3"/>
      <c r="AB233" s="3"/>
    </row>
    <row r="234" spans="1:28" x14ac:dyDescent="0.2">
      <c r="A234">
        <v>927</v>
      </c>
      <c r="B234" t="s">
        <v>968</v>
      </c>
      <c r="C234" t="s">
        <v>18</v>
      </c>
      <c r="D234" t="s">
        <v>29</v>
      </c>
      <c r="E234" t="s">
        <v>20</v>
      </c>
      <c r="F234" t="s">
        <v>21</v>
      </c>
      <c r="G234" t="s">
        <v>22</v>
      </c>
      <c r="H234" s="1">
        <v>550770</v>
      </c>
      <c r="I234" s="3">
        <v>715</v>
      </c>
      <c r="J234" s="3">
        <v>4090719</v>
      </c>
      <c r="K234" s="3">
        <v>40566.14</v>
      </c>
      <c r="L234" s="2">
        <v>25.8</v>
      </c>
      <c r="M234" s="11">
        <v>43</v>
      </c>
      <c r="N234" s="3">
        <v>14</v>
      </c>
      <c r="O234" s="3">
        <v>605226</v>
      </c>
      <c r="P234" s="3">
        <v>1101848</v>
      </c>
      <c r="Q234" s="10">
        <v>0</v>
      </c>
      <c r="R234" s="3">
        <f>(Таблица1[Размер кредита]-$AA$2)/$AA$3</f>
        <v>1.3730797293614161</v>
      </c>
      <c r="S234" s="3">
        <f>(Таблица1[Кредитный рейтинг]-$AA$7)/($AA$8-$AA$7)</f>
        <v>0.95206391478029295</v>
      </c>
      <c r="T234" s="3">
        <f>(Таблица1[Срок с последнего нарушения кредитного договора (мес,)]-$AA$12)/($AA$13-$AA$12)</f>
        <v>0.48863636363636365</v>
      </c>
      <c r="U234" s="3">
        <f>(Таблица1[Количество кредитных карт]-$AA$18)/($AA$19-$AA$18)</f>
        <v>0.30952380952380953</v>
      </c>
      <c r="V234" s="3">
        <f>(Таблица1[Число нарушений кредитных договоров]-$AA$23)/($AA$24-$AA$23)</f>
        <v>0</v>
      </c>
      <c r="W234" s="3">
        <f>Таблица1[[#This Row],[Годовой доход]]/12</f>
        <v>340893.25</v>
      </c>
      <c r="X234" s="3">
        <f>Таблица1[[#This Row],[Ежемесячный платеж]]/Таблица1[[#This Row],[Ежем доход]]</f>
        <v>0.11899954017863364</v>
      </c>
      <c r="Y234" s="3"/>
      <c r="Z234" s="3"/>
      <c r="AA234" s="3"/>
      <c r="AB234" s="3"/>
    </row>
    <row r="235" spans="1:28" x14ac:dyDescent="0.2">
      <c r="A235">
        <v>1787</v>
      </c>
      <c r="B235" t="s">
        <v>1825</v>
      </c>
      <c r="C235" t="s">
        <v>18</v>
      </c>
      <c r="D235" t="s">
        <v>19</v>
      </c>
      <c r="E235" t="s">
        <v>24</v>
      </c>
      <c r="F235" t="s">
        <v>27</v>
      </c>
      <c r="G235" t="s">
        <v>67</v>
      </c>
      <c r="H235" s="1">
        <v>206382</v>
      </c>
      <c r="I235" s="3">
        <v>665</v>
      </c>
      <c r="J235" s="3">
        <v>1336802</v>
      </c>
      <c r="K235" s="3">
        <v>22168.82</v>
      </c>
      <c r="L235" s="2">
        <v>15.9</v>
      </c>
      <c r="M235" s="11">
        <v>35.265240640000002</v>
      </c>
      <c r="N235" s="3">
        <v>16</v>
      </c>
      <c r="O235" s="3">
        <v>846222</v>
      </c>
      <c r="P235" s="3">
        <v>1092344</v>
      </c>
      <c r="Q235" s="10">
        <v>0</v>
      </c>
      <c r="R235" s="3">
        <f>(Таблица1[Размер кредита]-$AA$2)/$AA$3</f>
        <v>-0.58761789423253841</v>
      </c>
      <c r="S235" s="3">
        <f>(Таблица1[Кредитный рейтинг]-$AA$7)/($AA$8-$AA$7)</f>
        <v>0.88548601864181087</v>
      </c>
      <c r="T235" s="3">
        <f>(Таблица1[Срок с последнего нарушения кредитного договора (мес,)]-$AA$12)/($AA$13-$AA$12)</f>
        <v>0.40074137090909095</v>
      </c>
      <c r="U235" s="3">
        <f>(Таблица1[Количество кредитных карт]-$AA$18)/($AA$19-$AA$18)</f>
        <v>0.35714285714285715</v>
      </c>
      <c r="V235" s="3">
        <f>(Таблица1[Число нарушений кредитных договоров]-$AA$23)/($AA$24-$AA$23)</f>
        <v>0</v>
      </c>
      <c r="W235" s="3">
        <f>Таблица1[[#This Row],[Годовой доход]]/12</f>
        <v>111400.16666666667</v>
      </c>
      <c r="X235" s="3">
        <f>Таблица1[[#This Row],[Ежемесячный платеж]]/Таблица1[[#This Row],[Ежем доход]]</f>
        <v>0.19900167713692826</v>
      </c>
      <c r="Y235" s="3"/>
      <c r="Z235" s="3"/>
      <c r="AA235" s="3"/>
      <c r="AB235" s="3"/>
    </row>
    <row r="236" spans="1:28" x14ac:dyDescent="0.2">
      <c r="A236">
        <v>512</v>
      </c>
      <c r="B236" t="s">
        <v>553</v>
      </c>
      <c r="C236" t="s">
        <v>18</v>
      </c>
      <c r="D236" t="s">
        <v>29</v>
      </c>
      <c r="E236" t="s">
        <v>30</v>
      </c>
      <c r="F236" t="s">
        <v>21</v>
      </c>
      <c r="G236" t="s">
        <v>25</v>
      </c>
      <c r="H236" s="1">
        <v>483098</v>
      </c>
      <c r="I236" s="3">
        <v>698</v>
      </c>
      <c r="J236" s="3">
        <v>1467978</v>
      </c>
      <c r="K236" s="3">
        <v>33396.300000000003</v>
      </c>
      <c r="L236" s="2">
        <v>16.3</v>
      </c>
      <c r="M236" s="11">
        <v>35.265240640000002</v>
      </c>
      <c r="N236" s="3">
        <v>43</v>
      </c>
      <c r="O236" s="3">
        <v>719283</v>
      </c>
      <c r="P236" s="3">
        <v>1091552</v>
      </c>
      <c r="Q236" s="10">
        <v>0</v>
      </c>
      <c r="R236" s="3">
        <f>(Таблица1[Размер кредита]-$AA$2)/$AA$3</f>
        <v>0.98780402409918255</v>
      </c>
      <c r="S236" s="3">
        <f>(Таблица1[Кредитный рейтинг]-$AA$7)/($AA$8-$AA$7)</f>
        <v>0.92942743009320905</v>
      </c>
      <c r="T236" s="3">
        <f>(Таблица1[Срок с последнего нарушения кредитного договора (мес,)]-$AA$12)/($AA$13-$AA$12)</f>
        <v>0.40074137090909095</v>
      </c>
      <c r="U236" s="3">
        <f>(Таблица1[Количество кредитных карт]-$AA$18)/($AA$19-$AA$18)</f>
        <v>1</v>
      </c>
      <c r="V236" s="3">
        <f>(Таблица1[Число нарушений кредитных договоров]-$AA$23)/($AA$24-$AA$23)</f>
        <v>0</v>
      </c>
      <c r="W236" s="3">
        <f>Таблица1[[#This Row],[Годовой доход]]/12</f>
        <v>122331.5</v>
      </c>
      <c r="X236" s="3">
        <f>Таблица1[[#This Row],[Ежемесячный платеж]]/Таблица1[[#This Row],[Ежем доход]]</f>
        <v>0.27299836918536929</v>
      </c>
      <c r="Y236" s="3"/>
      <c r="Z236" s="3"/>
      <c r="AA236" s="3"/>
      <c r="AB236" s="3"/>
    </row>
    <row r="237" spans="1:28" x14ac:dyDescent="0.2">
      <c r="A237">
        <v>326</v>
      </c>
      <c r="B237" t="s">
        <v>368</v>
      </c>
      <c r="C237" t="s">
        <v>18</v>
      </c>
      <c r="D237" t="s">
        <v>29</v>
      </c>
      <c r="E237" t="s">
        <v>41</v>
      </c>
      <c r="F237" t="s">
        <v>21</v>
      </c>
      <c r="G237" t="s">
        <v>25</v>
      </c>
      <c r="H237" s="1">
        <v>764390</v>
      </c>
      <c r="I237" s="3">
        <v>705</v>
      </c>
      <c r="J237" s="3">
        <v>1603220</v>
      </c>
      <c r="K237" s="3">
        <v>34869.75</v>
      </c>
      <c r="L237" s="2">
        <v>30.6</v>
      </c>
      <c r="M237" s="11">
        <v>50</v>
      </c>
      <c r="N237" s="3">
        <v>15</v>
      </c>
      <c r="O237" s="3">
        <v>425448</v>
      </c>
      <c r="P237" s="3">
        <v>1089902</v>
      </c>
      <c r="Q237" s="10">
        <v>0</v>
      </c>
      <c r="R237" s="3">
        <f>(Таблица1[Размер кредита]-$AA$2)/$AA$3</f>
        <v>2.589278395842654</v>
      </c>
      <c r="S237" s="3">
        <f>(Таблица1[Кредитный рейтинг]-$AA$7)/($AA$8-$AA$7)</f>
        <v>0.93874833555259651</v>
      </c>
      <c r="T237" s="3">
        <f>(Таблица1[Срок с последнего нарушения кредитного договора (мес,)]-$AA$12)/($AA$13-$AA$12)</f>
        <v>0.56818181818181823</v>
      </c>
      <c r="U237" s="3">
        <f>(Таблица1[Количество кредитных карт]-$AA$18)/($AA$19-$AA$18)</f>
        <v>0.33333333333333331</v>
      </c>
      <c r="V237" s="3">
        <f>(Таблица1[Число нарушений кредитных договоров]-$AA$23)/($AA$24-$AA$23)</f>
        <v>0</v>
      </c>
      <c r="W237" s="3">
        <f>Таблица1[[#This Row],[Годовой доход]]/12</f>
        <v>133601.66666666666</v>
      </c>
      <c r="X237" s="3">
        <f>Таблица1[[#This Row],[Ежемесячный платеж]]/Таблица1[[#This Row],[Ежем доход]]</f>
        <v>0.26099786679307896</v>
      </c>
      <c r="Y237" s="3"/>
      <c r="Z237" s="3"/>
      <c r="AA237" s="3"/>
      <c r="AB237" s="3"/>
    </row>
    <row r="238" spans="1:28" x14ac:dyDescent="0.2">
      <c r="A238">
        <v>323</v>
      </c>
      <c r="B238" t="s">
        <v>365</v>
      </c>
      <c r="C238" t="s">
        <v>18</v>
      </c>
      <c r="D238" t="s">
        <v>29</v>
      </c>
      <c r="E238" t="s">
        <v>24</v>
      </c>
      <c r="F238" t="s">
        <v>21</v>
      </c>
      <c r="G238" t="s">
        <v>25</v>
      </c>
      <c r="H238" s="1">
        <v>753610</v>
      </c>
      <c r="I238" s="3">
        <v>676</v>
      </c>
      <c r="J238" s="3">
        <v>2212835</v>
      </c>
      <c r="K238" s="3">
        <v>35221.06</v>
      </c>
      <c r="L238" s="2">
        <v>17.2</v>
      </c>
      <c r="M238" s="11">
        <v>35.265240640000002</v>
      </c>
      <c r="N238" s="3">
        <v>17</v>
      </c>
      <c r="O238" s="3">
        <v>579158</v>
      </c>
      <c r="P238" s="3">
        <v>1086866</v>
      </c>
      <c r="Q238" s="10">
        <v>0</v>
      </c>
      <c r="R238" s="3">
        <f>(Таблица1[Размер кредита]-$AA$2)/$AA$3</f>
        <v>2.5279048277092033</v>
      </c>
      <c r="S238" s="3">
        <f>(Таблица1[Кредитный рейтинг]-$AA$7)/($AA$8-$AA$7)</f>
        <v>0.90013315579227693</v>
      </c>
      <c r="T238" s="3">
        <f>(Таблица1[Срок с последнего нарушения кредитного договора (мес,)]-$AA$12)/($AA$13-$AA$12)</f>
        <v>0.40074137090909095</v>
      </c>
      <c r="U238" s="3">
        <f>(Таблица1[Количество кредитных карт]-$AA$18)/($AA$19-$AA$18)</f>
        <v>0.38095238095238093</v>
      </c>
      <c r="V238" s="3">
        <f>(Таблица1[Число нарушений кредитных договоров]-$AA$23)/($AA$24-$AA$23)</f>
        <v>0</v>
      </c>
      <c r="W238" s="3">
        <f>Таблица1[[#This Row],[Годовой доход]]/12</f>
        <v>184402.91666666666</v>
      </c>
      <c r="X238" s="3">
        <f>Таблица1[[#This Row],[Ежемесячный платеж]]/Таблица1[[#This Row],[Ежем доход]]</f>
        <v>0.19100055810758595</v>
      </c>
      <c r="Y238" s="3"/>
      <c r="Z238" s="3"/>
      <c r="AA238" s="3"/>
      <c r="AB238" s="3"/>
    </row>
    <row r="239" spans="1:28" x14ac:dyDescent="0.2">
      <c r="A239">
        <v>1913</v>
      </c>
      <c r="B239" t="s">
        <v>1949</v>
      </c>
      <c r="C239" t="s">
        <v>18</v>
      </c>
      <c r="D239" t="s">
        <v>29</v>
      </c>
      <c r="E239" t="s">
        <v>24</v>
      </c>
      <c r="F239" t="s">
        <v>21</v>
      </c>
      <c r="G239" t="s">
        <v>25</v>
      </c>
      <c r="H239" s="1">
        <v>661716</v>
      </c>
      <c r="I239" s="3">
        <v>717</v>
      </c>
      <c r="J239" s="3">
        <v>1619199</v>
      </c>
      <c r="K239" s="3">
        <v>35757.24</v>
      </c>
      <c r="L239" s="2">
        <v>19.7</v>
      </c>
      <c r="M239" s="11">
        <v>5</v>
      </c>
      <c r="N239" s="3">
        <v>15</v>
      </c>
      <c r="O239" s="3">
        <v>568784</v>
      </c>
      <c r="P239" s="3">
        <v>1081410</v>
      </c>
      <c r="Q239" s="10">
        <v>0</v>
      </c>
      <c r="R239" s="3">
        <f>(Таблица1[Размер кредита]-$AA$2)/$AA$3</f>
        <v>2.0047264724165021</v>
      </c>
      <c r="S239" s="3">
        <f>(Таблица1[Кредитный рейтинг]-$AA$7)/($AA$8-$AA$7)</f>
        <v>0.9547270306258322</v>
      </c>
      <c r="T239" s="3">
        <f>(Таблица1[Срок с последнего нарушения кредитного договора (мес,)]-$AA$12)/($AA$13-$AA$12)</f>
        <v>5.6818181818181816E-2</v>
      </c>
      <c r="U239" s="3">
        <f>(Таблица1[Количество кредитных карт]-$AA$18)/($AA$19-$AA$18)</f>
        <v>0.33333333333333331</v>
      </c>
      <c r="V239" s="3">
        <f>(Таблица1[Число нарушений кредитных договоров]-$AA$23)/($AA$24-$AA$23)</f>
        <v>0</v>
      </c>
      <c r="W239" s="3">
        <f>Таблица1[[#This Row],[Годовой доход]]/12</f>
        <v>134933.25</v>
      </c>
      <c r="X239" s="3">
        <f>Таблица1[[#This Row],[Ежемесячный платеж]]/Таблица1[[#This Row],[Ежем доход]]</f>
        <v>0.26499947196113632</v>
      </c>
      <c r="Y239" s="3"/>
      <c r="Z239" s="3"/>
      <c r="AA239" s="3"/>
      <c r="AB239" s="3"/>
    </row>
    <row r="240" spans="1:28" x14ac:dyDescent="0.2">
      <c r="A240">
        <v>23</v>
      </c>
      <c r="B240" t="s">
        <v>58</v>
      </c>
      <c r="C240" t="s">
        <v>35</v>
      </c>
      <c r="D240" t="s">
        <v>19</v>
      </c>
      <c r="E240" t="s">
        <v>41</v>
      </c>
      <c r="F240" t="s">
        <v>33</v>
      </c>
      <c r="G240" t="s">
        <v>25</v>
      </c>
      <c r="H240" s="1">
        <v>153252</v>
      </c>
      <c r="I240" s="3">
        <v>714</v>
      </c>
      <c r="J240" s="3">
        <v>1890690</v>
      </c>
      <c r="K240" s="3">
        <v>21900.35</v>
      </c>
      <c r="L240" s="2">
        <v>15.7</v>
      </c>
      <c r="M240" s="11">
        <v>35.265240640000002</v>
      </c>
      <c r="N240" s="3">
        <v>12</v>
      </c>
      <c r="O240" s="3">
        <v>891594</v>
      </c>
      <c r="P240" s="3">
        <v>1081014</v>
      </c>
      <c r="Q240" s="10">
        <v>0</v>
      </c>
      <c r="R240" s="3">
        <f>(Таблица1[Размер кредита]-$AA$2)/$AA$3</f>
        <v>-0.89010190860454552</v>
      </c>
      <c r="S240" s="3">
        <f>(Таблица1[Кредитный рейтинг]-$AA$7)/($AA$8-$AA$7)</f>
        <v>0.95073235685752333</v>
      </c>
      <c r="T240" s="3">
        <f>(Таблица1[Срок с последнего нарушения кредитного договора (мес,)]-$AA$12)/($AA$13-$AA$12)</f>
        <v>0.40074137090909095</v>
      </c>
      <c r="U240" s="3">
        <f>(Таблица1[Количество кредитных карт]-$AA$18)/($AA$19-$AA$18)</f>
        <v>0.26190476190476192</v>
      </c>
      <c r="V240" s="3">
        <f>(Таблица1[Число нарушений кредитных договоров]-$AA$23)/($AA$24-$AA$23)</f>
        <v>0</v>
      </c>
      <c r="W240" s="3">
        <f>Таблица1[[#This Row],[Годовой доход]]/12</f>
        <v>157557.5</v>
      </c>
      <c r="X240" s="3">
        <f>Таблица1[[#This Row],[Ежемесячный платеж]]/Таблица1[[#This Row],[Ежем доход]]</f>
        <v>0.13899909556828458</v>
      </c>
      <c r="Y240" s="3"/>
      <c r="Z240" s="3"/>
      <c r="AA240" s="3"/>
      <c r="AB240" s="3"/>
    </row>
    <row r="241" spans="1:28" x14ac:dyDescent="0.2">
      <c r="A241">
        <v>51</v>
      </c>
      <c r="B241" t="s">
        <v>91</v>
      </c>
      <c r="C241" t="s">
        <v>18</v>
      </c>
      <c r="D241" t="s">
        <v>29</v>
      </c>
      <c r="E241" t="s">
        <v>24</v>
      </c>
      <c r="F241" t="s">
        <v>27</v>
      </c>
      <c r="G241" t="s">
        <v>25</v>
      </c>
      <c r="H241" s="1">
        <v>518012</v>
      </c>
      <c r="I241" s="3">
        <v>719</v>
      </c>
      <c r="J241" s="3">
        <v>1193010</v>
      </c>
      <c r="K241" s="3">
        <v>22667.38</v>
      </c>
      <c r="L241" s="2">
        <v>20.9</v>
      </c>
      <c r="M241" s="11">
        <v>35.265240640000002</v>
      </c>
      <c r="N241" s="3">
        <v>11</v>
      </c>
      <c r="O241" s="3">
        <v>452770</v>
      </c>
      <c r="P241" s="3">
        <v>1080926</v>
      </c>
      <c r="Q241" s="10">
        <v>0</v>
      </c>
      <c r="R241" s="3">
        <f>(Таблица1[Размер кредита]-$AA$2)/$AA$3</f>
        <v>1.1865792335436445</v>
      </c>
      <c r="S241" s="3">
        <f>(Таблица1[Кредитный рейтинг]-$AA$7)/($AA$8-$AA$7)</f>
        <v>0.95739014647137155</v>
      </c>
      <c r="T241" s="3">
        <f>(Таблица1[Срок с последнего нарушения кредитного договора (мес,)]-$AA$12)/($AA$13-$AA$12)</f>
        <v>0.40074137090909095</v>
      </c>
      <c r="U241" s="3">
        <f>(Таблица1[Количество кредитных карт]-$AA$18)/($AA$19-$AA$18)</f>
        <v>0.23809523809523808</v>
      </c>
      <c r="V241" s="3">
        <f>(Таблица1[Число нарушений кредитных договоров]-$AA$23)/($AA$24-$AA$23)</f>
        <v>0</v>
      </c>
      <c r="W241" s="3">
        <f>Таблица1[[#This Row],[Годовой доход]]/12</f>
        <v>99417.5</v>
      </c>
      <c r="X241" s="3">
        <f>Таблица1[[#This Row],[Ежемесячный платеж]]/Таблица1[[#This Row],[Ежем доход]]</f>
        <v>0.22800191113234591</v>
      </c>
      <c r="Y241" s="3"/>
      <c r="Z241" s="3"/>
      <c r="AA241" s="3"/>
      <c r="AB241" s="3"/>
    </row>
    <row r="242" spans="1:28" x14ac:dyDescent="0.2">
      <c r="A242">
        <v>122</v>
      </c>
      <c r="B242" t="s">
        <v>164</v>
      </c>
      <c r="C242" t="s">
        <v>18</v>
      </c>
      <c r="D242" t="s">
        <v>19</v>
      </c>
      <c r="E242" t="s">
        <v>24</v>
      </c>
      <c r="F242" t="s">
        <v>21</v>
      </c>
      <c r="G242" t="s">
        <v>22</v>
      </c>
      <c r="H242" s="1">
        <v>176462</v>
      </c>
      <c r="I242" s="3">
        <v>0</v>
      </c>
      <c r="J242" s="3">
        <v>1168044</v>
      </c>
      <c r="K242" s="3">
        <v>14223.59</v>
      </c>
      <c r="L242" s="2">
        <v>26.5</v>
      </c>
      <c r="M242" s="11">
        <v>35.265240640000002</v>
      </c>
      <c r="N242" s="3">
        <v>7</v>
      </c>
      <c r="O242" s="3">
        <v>171703</v>
      </c>
      <c r="P242" s="3">
        <v>1080552</v>
      </c>
      <c r="Q242" s="10">
        <v>0</v>
      </c>
      <c r="R242" s="3">
        <f>(Таблица1[Размер кредита]-$AA$2)/$AA$3</f>
        <v>-0.75796085884783027</v>
      </c>
      <c r="S242" s="3">
        <f>(Таблица1[Кредитный рейтинг]-$AA$7)/($AA$8-$AA$7)</f>
        <v>0</v>
      </c>
      <c r="T242" s="3">
        <f>(Таблица1[Срок с последнего нарушения кредитного договора (мес,)]-$AA$12)/($AA$13-$AA$12)</f>
        <v>0.40074137090909095</v>
      </c>
      <c r="U242" s="3">
        <f>(Таблица1[Количество кредитных карт]-$AA$18)/($AA$19-$AA$18)</f>
        <v>0.14285714285714285</v>
      </c>
      <c r="V242" s="3">
        <f>(Таблица1[Число нарушений кредитных договоров]-$AA$23)/($AA$24-$AA$23)</f>
        <v>0</v>
      </c>
      <c r="W242" s="3">
        <f>Таблица1[[#This Row],[Годовой доход]]/12</f>
        <v>97337</v>
      </c>
      <c r="X242" s="3">
        <f>Таблица1[[#This Row],[Ежемесячный платеж]]/Таблица1[[#This Row],[Ежем доход]]</f>
        <v>0.14612726917821589</v>
      </c>
      <c r="Y242" s="3"/>
      <c r="Z242" s="3"/>
      <c r="AA242" s="3"/>
      <c r="AB242" s="3"/>
    </row>
    <row r="243" spans="1:28" x14ac:dyDescent="0.2">
      <c r="A243">
        <v>1132</v>
      </c>
      <c r="B243" t="s">
        <v>1171</v>
      </c>
      <c r="C243" t="s">
        <v>18</v>
      </c>
      <c r="D243" t="s">
        <v>19</v>
      </c>
      <c r="E243" t="s">
        <v>32</v>
      </c>
      <c r="F243" t="s">
        <v>21</v>
      </c>
      <c r="G243" t="s">
        <v>25</v>
      </c>
      <c r="H243" s="1">
        <v>471152</v>
      </c>
      <c r="I243" s="3">
        <v>0</v>
      </c>
      <c r="J243" s="3">
        <v>1168044</v>
      </c>
      <c r="K243" s="3">
        <v>18969.22</v>
      </c>
      <c r="L243" s="2">
        <v>18</v>
      </c>
      <c r="M243" s="11">
        <v>35.265240640000002</v>
      </c>
      <c r="N243" s="3">
        <v>8</v>
      </c>
      <c r="O243" s="3">
        <v>712462</v>
      </c>
      <c r="P243" s="3">
        <v>1076966</v>
      </c>
      <c r="Q243" s="10">
        <v>0</v>
      </c>
      <c r="R243" s="3">
        <f>(Таблица1[Размер кредита]-$AA$2)/$AA$3</f>
        <v>0.91979209043293009</v>
      </c>
      <c r="S243" s="3">
        <f>(Таблица1[Кредитный рейтинг]-$AA$7)/($AA$8-$AA$7)</f>
        <v>0</v>
      </c>
      <c r="T243" s="3">
        <f>(Таблица1[Срок с последнего нарушения кредитного договора (мес,)]-$AA$12)/($AA$13-$AA$12)</f>
        <v>0.40074137090909095</v>
      </c>
      <c r="U243" s="3">
        <f>(Таблица1[Количество кредитных карт]-$AA$18)/($AA$19-$AA$18)</f>
        <v>0.16666666666666666</v>
      </c>
      <c r="V243" s="3">
        <f>(Таблица1[Число нарушений кредитных договоров]-$AA$23)/($AA$24-$AA$23)</f>
        <v>0</v>
      </c>
      <c r="W243" s="3">
        <f>Таблица1[[#This Row],[Годовой доход]]/12</f>
        <v>97337</v>
      </c>
      <c r="X243" s="3">
        <f>Таблица1[[#This Row],[Ежемесячный платеж]]/Таблица1[[#This Row],[Ежем доход]]</f>
        <v>0.19488190513371073</v>
      </c>
      <c r="Y243" s="3"/>
      <c r="Z243" s="3"/>
      <c r="AA243" s="3"/>
      <c r="AB243" s="3"/>
    </row>
    <row r="244" spans="1:28" x14ac:dyDescent="0.2">
      <c r="A244">
        <v>1001</v>
      </c>
      <c r="B244" t="s">
        <v>1041</v>
      </c>
      <c r="C244" t="s">
        <v>18</v>
      </c>
      <c r="D244" t="s">
        <v>29</v>
      </c>
      <c r="E244" t="s">
        <v>24</v>
      </c>
      <c r="F244" t="s">
        <v>21</v>
      </c>
      <c r="G244" t="s">
        <v>25</v>
      </c>
      <c r="H244" s="1">
        <v>776776</v>
      </c>
      <c r="I244" s="3">
        <v>702</v>
      </c>
      <c r="J244" s="3">
        <v>2491736</v>
      </c>
      <c r="K244" s="3">
        <v>42774.89</v>
      </c>
      <c r="L244" s="2">
        <v>29.9</v>
      </c>
      <c r="M244" s="11">
        <v>33</v>
      </c>
      <c r="N244" s="3">
        <v>14</v>
      </c>
      <c r="O244" s="3">
        <v>941963</v>
      </c>
      <c r="P244" s="3">
        <v>1076702</v>
      </c>
      <c r="Q244" s="10">
        <v>0</v>
      </c>
      <c r="R244" s="3">
        <f>(Таблица1[Размер кредита]-$AA$2)/$AA$3</f>
        <v>2.6597953731061903</v>
      </c>
      <c r="S244" s="3">
        <f>(Таблица1[Кредитный рейтинг]-$AA$7)/($AA$8-$AA$7)</f>
        <v>0.93475366178428765</v>
      </c>
      <c r="T244" s="3">
        <f>(Таблица1[Срок с последнего нарушения кредитного договора (мес,)]-$AA$12)/($AA$13-$AA$12)</f>
        <v>0.375</v>
      </c>
      <c r="U244" s="3">
        <f>(Таблица1[Количество кредитных карт]-$AA$18)/($AA$19-$AA$18)</f>
        <v>0.30952380952380953</v>
      </c>
      <c r="V244" s="3">
        <f>(Таблица1[Число нарушений кредитных договоров]-$AA$23)/($AA$24-$AA$23)</f>
        <v>0</v>
      </c>
      <c r="W244" s="3">
        <f>Таблица1[[#This Row],[Годовой доход]]/12</f>
        <v>207644.66666666666</v>
      </c>
      <c r="X244" s="3">
        <f>Таблица1[[#This Row],[Ежемесячный платеж]]/Таблица1[[#This Row],[Ежем доход]]</f>
        <v>0.20600042701152932</v>
      </c>
      <c r="Y244" s="3"/>
      <c r="Z244" s="3"/>
      <c r="AA244" s="3"/>
      <c r="AB244" s="3"/>
    </row>
    <row r="245" spans="1:28" x14ac:dyDescent="0.2">
      <c r="A245">
        <v>1929</v>
      </c>
      <c r="B245" t="s">
        <v>1965</v>
      </c>
      <c r="C245" t="s">
        <v>18</v>
      </c>
      <c r="D245" t="s">
        <v>19</v>
      </c>
      <c r="E245" t="s">
        <v>63</v>
      </c>
      <c r="F245" t="s">
        <v>21</v>
      </c>
      <c r="G245" t="s">
        <v>25</v>
      </c>
      <c r="H245" s="1">
        <v>219208</v>
      </c>
      <c r="I245" s="3">
        <v>745</v>
      </c>
      <c r="J245" s="3">
        <v>1448275</v>
      </c>
      <c r="K245" s="3">
        <v>17499.95</v>
      </c>
      <c r="L245" s="2">
        <v>13.8</v>
      </c>
      <c r="M245" s="11">
        <v>35.265240640000002</v>
      </c>
      <c r="N245" s="3">
        <v>10</v>
      </c>
      <c r="O245" s="3">
        <v>391457</v>
      </c>
      <c r="P245" s="3">
        <v>1076614</v>
      </c>
      <c r="Q245" s="10">
        <v>0</v>
      </c>
      <c r="R245" s="3">
        <f>(Таблица1[Размер кредита]-$AA$2)/$AA$3</f>
        <v>-0.51459587337171842</v>
      </c>
      <c r="S245" s="3">
        <f>(Таблица1[Кредитный рейтинг]-$AA$7)/($AA$8-$AA$7)</f>
        <v>0.99201065246338216</v>
      </c>
      <c r="T245" s="3">
        <f>(Таблица1[Срок с последнего нарушения кредитного договора (мес,)]-$AA$12)/($AA$13-$AA$12)</f>
        <v>0.40074137090909095</v>
      </c>
      <c r="U245" s="3">
        <f>(Таблица1[Количество кредитных карт]-$AA$18)/($AA$19-$AA$18)</f>
        <v>0.21428571428571427</v>
      </c>
      <c r="V245" s="3">
        <f>(Таблица1[Число нарушений кредитных договоров]-$AA$23)/($AA$24-$AA$23)</f>
        <v>0</v>
      </c>
      <c r="W245" s="3">
        <f>Таблица1[[#This Row],[Годовой доход]]/12</f>
        <v>120689.58333333333</v>
      </c>
      <c r="X245" s="3">
        <f>Таблица1[[#This Row],[Ежемесячный платеж]]/Таблица1[[#This Row],[Ежем доход]]</f>
        <v>0.1449996720236143</v>
      </c>
      <c r="Y245" s="3"/>
      <c r="Z245" s="3"/>
      <c r="AA245" s="3"/>
      <c r="AB245" s="3"/>
    </row>
    <row r="246" spans="1:28" x14ac:dyDescent="0.2">
      <c r="A246">
        <v>765</v>
      </c>
      <c r="B246" t="s">
        <v>806</v>
      </c>
      <c r="C246" t="s">
        <v>18</v>
      </c>
      <c r="D246" t="s">
        <v>19</v>
      </c>
      <c r="E246" t="s">
        <v>41</v>
      </c>
      <c r="F246" t="s">
        <v>21</v>
      </c>
      <c r="G246" t="s">
        <v>25</v>
      </c>
      <c r="H246" s="1">
        <v>247786</v>
      </c>
      <c r="I246" s="3">
        <v>748</v>
      </c>
      <c r="J246" s="3">
        <v>1361787</v>
      </c>
      <c r="K246" s="3">
        <v>13288.79</v>
      </c>
      <c r="L246" s="2">
        <v>14.3</v>
      </c>
      <c r="M246" s="11">
        <v>35.265240640000002</v>
      </c>
      <c r="N246" s="3">
        <v>13</v>
      </c>
      <c r="O246" s="3">
        <v>211831</v>
      </c>
      <c r="P246" s="3">
        <v>1075800</v>
      </c>
      <c r="Q246" s="10">
        <v>0</v>
      </c>
      <c r="R246" s="3">
        <f>(Таблица1[Размер кредита]-$AA$2)/$AA$3</f>
        <v>-0.35189329172814193</v>
      </c>
      <c r="S246" s="3">
        <f>(Таблица1[Кредитный рейтинг]-$AA$7)/($AA$8-$AA$7)</f>
        <v>0.99600532623169102</v>
      </c>
      <c r="T246" s="3">
        <f>(Таблица1[Срок с последнего нарушения кредитного договора (мес,)]-$AA$12)/($AA$13-$AA$12)</f>
        <v>0.40074137090909095</v>
      </c>
      <c r="U246" s="3">
        <f>(Таблица1[Количество кредитных карт]-$AA$18)/($AA$19-$AA$18)</f>
        <v>0.2857142857142857</v>
      </c>
      <c r="V246" s="3">
        <f>(Таблица1[Число нарушений кредитных договоров]-$AA$23)/($AA$24-$AA$23)</f>
        <v>0</v>
      </c>
      <c r="W246" s="3">
        <f>Таблица1[[#This Row],[Годовой доход]]/12</f>
        <v>113482.25</v>
      </c>
      <c r="X246" s="3">
        <f>Таблица1[[#This Row],[Ежемесячный платеж]]/Таблица1[[#This Row],[Ежем доход]]</f>
        <v>0.11710016324138797</v>
      </c>
      <c r="Y246" s="3"/>
      <c r="Z246" s="3"/>
      <c r="AA246" s="3"/>
      <c r="AB246" s="3"/>
    </row>
    <row r="247" spans="1:28" x14ac:dyDescent="0.2">
      <c r="A247">
        <v>409</v>
      </c>
      <c r="B247" t="s">
        <v>451</v>
      </c>
      <c r="C247" t="s">
        <v>18</v>
      </c>
      <c r="D247" t="s">
        <v>19</v>
      </c>
      <c r="E247" t="s">
        <v>24</v>
      </c>
      <c r="F247" t="s">
        <v>33</v>
      </c>
      <c r="G247" t="s">
        <v>25</v>
      </c>
      <c r="H247" s="1">
        <v>264396</v>
      </c>
      <c r="I247" s="3">
        <v>737</v>
      </c>
      <c r="J247" s="3">
        <v>1712565</v>
      </c>
      <c r="K247" s="3">
        <v>19980.02</v>
      </c>
      <c r="L247" s="2">
        <v>21.9</v>
      </c>
      <c r="M247" s="11">
        <v>49</v>
      </c>
      <c r="N247" s="3">
        <v>13</v>
      </c>
      <c r="O247" s="3">
        <v>380665</v>
      </c>
      <c r="P247" s="3">
        <v>1075052</v>
      </c>
      <c r="Q247" s="10">
        <v>0</v>
      </c>
      <c r="R247" s="3">
        <f>(Таблица1[Размер кредита]-$AA$2)/$AA$3</f>
        <v>-0.25732789593068212</v>
      </c>
      <c r="S247" s="3">
        <f>(Таблица1[Кредитный рейтинг]-$AA$7)/($AA$8-$AA$7)</f>
        <v>0.98135818908122507</v>
      </c>
      <c r="T247" s="3">
        <f>(Таблица1[Срок с последнего нарушения кредитного договора (мес,)]-$AA$12)/($AA$13-$AA$12)</f>
        <v>0.55681818181818177</v>
      </c>
      <c r="U247" s="3">
        <f>(Таблица1[Количество кредитных карт]-$AA$18)/($AA$19-$AA$18)</f>
        <v>0.2857142857142857</v>
      </c>
      <c r="V247" s="3">
        <f>(Таблица1[Число нарушений кредитных договоров]-$AA$23)/($AA$24-$AA$23)</f>
        <v>0</v>
      </c>
      <c r="W247" s="3">
        <f>Таблица1[[#This Row],[Годовой доход]]/12</f>
        <v>142713.75</v>
      </c>
      <c r="X247" s="3">
        <f>Таблица1[[#This Row],[Ежемесячный платеж]]/Таблица1[[#This Row],[Ежем доход]]</f>
        <v>0.14000066566816444</v>
      </c>
      <c r="Y247" s="3"/>
      <c r="Z247" s="3"/>
      <c r="AA247" s="3"/>
      <c r="AB247" s="3"/>
    </row>
    <row r="248" spans="1:28" x14ac:dyDescent="0.2">
      <c r="A248">
        <v>115</v>
      </c>
      <c r="B248" t="s">
        <v>157</v>
      </c>
      <c r="C248" t="s">
        <v>18</v>
      </c>
      <c r="D248" t="s">
        <v>19</v>
      </c>
      <c r="E248" t="s">
        <v>52</v>
      </c>
      <c r="F248" t="s">
        <v>33</v>
      </c>
      <c r="G248" t="s">
        <v>25</v>
      </c>
      <c r="H248" s="1">
        <v>309594.52439999999</v>
      </c>
      <c r="I248" s="3">
        <v>750</v>
      </c>
      <c r="J248" s="3">
        <v>2435667</v>
      </c>
      <c r="K248" s="3">
        <v>31257.66</v>
      </c>
      <c r="L248" s="2">
        <v>12.3</v>
      </c>
      <c r="M248" s="11">
        <v>35.265240640000002</v>
      </c>
      <c r="N248" s="3">
        <v>10</v>
      </c>
      <c r="O248" s="3">
        <v>72276</v>
      </c>
      <c r="P248" s="3">
        <v>1073028</v>
      </c>
      <c r="Q248" s="10">
        <v>0</v>
      </c>
      <c r="R248" s="3">
        <f>(Таблица1[Размер кредита]-$AA$2)/$AA$3</f>
        <v>-1.2411115481956205E-10</v>
      </c>
      <c r="S248" s="3">
        <f>(Таблица1[Кредитный рейтинг]-$AA$7)/($AA$8-$AA$7)</f>
        <v>0.99866844207723038</v>
      </c>
      <c r="T248" s="3">
        <f>(Таблица1[Срок с последнего нарушения кредитного договора (мес,)]-$AA$12)/($AA$13-$AA$12)</f>
        <v>0.40074137090909095</v>
      </c>
      <c r="U248" s="3">
        <f>(Таблица1[Количество кредитных карт]-$AA$18)/($AA$19-$AA$18)</f>
        <v>0.21428571428571427</v>
      </c>
      <c r="V248" s="3">
        <f>(Таблица1[Число нарушений кредитных договоров]-$AA$23)/($AA$24-$AA$23)</f>
        <v>0</v>
      </c>
      <c r="W248" s="3">
        <f>Таблица1[[#This Row],[Годовой доход]]/12</f>
        <v>202972.25</v>
      </c>
      <c r="X248" s="3">
        <f>Таблица1[[#This Row],[Ежемесячный платеж]]/Таблица1[[#This Row],[Ежем доход]]</f>
        <v>0.15399967236900611</v>
      </c>
      <c r="Y248" s="3"/>
      <c r="Z248" s="3"/>
      <c r="AA248" s="3"/>
      <c r="AB248" s="3"/>
    </row>
    <row r="249" spans="1:28" x14ac:dyDescent="0.2">
      <c r="A249">
        <v>398</v>
      </c>
      <c r="B249" t="s">
        <v>440</v>
      </c>
      <c r="C249" t="s">
        <v>18</v>
      </c>
      <c r="D249" t="s">
        <v>19</v>
      </c>
      <c r="E249" t="s">
        <v>24</v>
      </c>
      <c r="F249" t="s">
        <v>21</v>
      </c>
      <c r="G249" t="s">
        <v>25</v>
      </c>
      <c r="H249" s="1">
        <v>526196</v>
      </c>
      <c r="I249" s="3">
        <v>0</v>
      </c>
      <c r="J249" s="3">
        <v>1168044</v>
      </c>
      <c r="K249" s="3">
        <v>24808.49</v>
      </c>
      <c r="L249" s="2">
        <v>20.100000000000001</v>
      </c>
      <c r="M249" s="11">
        <v>12</v>
      </c>
      <c r="N249" s="3">
        <v>12</v>
      </c>
      <c r="O249" s="3">
        <v>443840</v>
      </c>
      <c r="P249" s="3">
        <v>1072918</v>
      </c>
      <c r="Q249" s="10">
        <v>0</v>
      </c>
      <c r="R249" s="3">
        <f>(Таблица1[Размер кредита]-$AA$2)/$AA$3</f>
        <v>1.2331730444531213</v>
      </c>
      <c r="S249" s="3">
        <f>(Таблица1[Кредитный рейтинг]-$AA$7)/($AA$8-$AA$7)</f>
        <v>0</v>
      </c>
      <c r="T249" s="3">
        <f>(Таблица1[Срок с последнего нарушения кредитного договора (мес,)]-$AA$12)/($AA$13-$AA$12)</f>
        <v>0.13636363636363635</v>
      </c>
      <c r="U249" s="3">
        <f>(Таблица1[Количество кредитных карт]-$AA$18)/($AA$19-$AA$18)</f>
        <v>0.26190476190476192</v>
      </c>
      <c r="V249" s="3">
        <f>(Таблица1[Число нарушений кредитных договоров]-$AA$23)/($AA$24-$AA$23)</f>
        <v>0</v>
      </c>
      <c r="W249" s="3">
        <f>Таблица1[[#This Row],[Годовой доход]]/12</f>
        <v>97337</v>
      </c>
      <c r="X249" s="3">
        <f>Таблица1[[#This Row],[Ежемесячный платеж]]/Таблица1[[#This Row],[Ежем доход]]</f>
        <v>0.25487214522740581</v>
      </c>
      <c r="Y249" s="3"/>
      <c r="Z249" s="3"/>
      <c r="AA249" s="3"/>
      <c r="AB249" s="3"/>
    </row>
    <row r="250" spans="1:28" x14ac:dyDescent="0.2">
      <c r="A250">
        <v>1835</v>
      </c>
      <c r="B250" t="s">
        <v>1872</v>
      </c>
      <c r="C250" t="s">
        <v>18</v>
      </c>
      <c r="D250" t="s">
        <v>29</v>
      </c>
      <c r="E250" t="s">
        <v>24</v>
      </c>
      <c r="F250" t="s">
        <v>21</v>
      </c>
      <c r="G250" t="s">
        <v>25</v>
      </c>
      <c r="H250" s="1">
        <v>348766</v>
      </c>
      <c r="I250" s="3">
        <v>712</v>
      </c>
      <c r="J250" s="3">
        <v>1351546</v>
      </c>
      <c r="K250" s="3">
        <v>38406.410000000003</v>
      </c>
      <c r="L250" s="2">
        <v>15.4</v>
      </c>
      <c r="M250" s="11">
        <v>50</v>
      </c>
      <c r="N250" s="3">
        <v>16</v>
      </c>
      <c r="O250" s="3">
        <v>583661</v>
      </c>
      <c r="P250" s="3">
        <v>1071004</v>
      </c>
      <c r="Q250" s="10">
        <v>0</v>
      </c>
      <c r="R250" s="3">
        <f>(Таблица1[Размер кредита]-$AA$2)/$AA$3</f>
        <v>0.22301421384846798</v>
      </c>
      <c r="S250" s="3">
        <f>(Таблица1[Кредитный рейтинг]-$AA$7)/($AA$8-$AA$7)</f>
        <v>0.94806924101198398</v>
      </c>
      <c r="T250" s="3">
        <f>(Таблица1[Срок с последнего нарушения кредитного договора (мес,)]-$AA$12)/($AA$13-$AA$12)</f>
        <v>0.56818181818181823</v>
      </c>
      <c r="U250" s="3">
        <f>(Таблица1[Количество кредитных карт]-$AA$18)/($AA$19-$AA$18)</f>
        <v>0.35714285714285715</v>
      </c>
      <c r="V250" s="3">
        <f>(Таблица1[Число нарушений кредитных договоров]-$AA$23)/($AA$24-$AA$23)</f>
        <v>0</v>
      </c>
      <c r="W250" s="3">
        <f>Таблица1[[#This Row],[Годовой доход]]/12</f>
        <v>112628.83333333333</v>
      </c>
      <c r="X250" s="3">
        <f>Таблица1[[#This Row],[Ежемесячный платеж]]/Таблица1[[#This Row],[Ежем доход]]</f>
        <v>0.34099980318834877</v>
      </c>
      <c r="Y250" s="3"/>
      <c r="Z250" s="3"/>
      <c r="AA250" s="3"/>
      <c r="AB250" s="3"/>
    </row>
    <row r="251" spans="1:28" x14ac:dyDescent="0.2">
      <c r="A251">
        <v>90</v>
      </c>
      <c r="B251" t="s">
        <v>132</v>
      </c>
      <c r="C251" t="s">
        <v>18</v>
      </c>
      <c r="D251" t="s">
        <v>19</v>
      </c>
      <c r="E251" t="s">
        <v>24</v>
      </c>
      <c r="F251" t="s">
        <v>21</v>
      </c>
      <c r="G251" t="s">
        <v>25</v>
      </c>
      <c r="H251" s="1">
        <v>731566</v>
      </c>
      <c r="I251" s="3">
        <v>705</v>
      </c>
      <c r="J251" s="3">
        <v>1377443</v>
      </c>
      <c r="K251" s="3">
        <v>13429.96</v>
      </c>
      <c r="L251" s="2">
        <v>20.399999999999999</v>
      </c>
      <c r="M251" s="11">
        <v>65</v>
      </c>
      <c r="N251" s="3">
        <v>18</v>
      </c>
      <c r="O251" s="3">
        <v>563008</v>
      </c>
      <c r="P251" s="3">
        <v>1070432</v>
      </c>
      <c r="Q251" s="10">
        <v>0</v>
      </c>
      <c r="R251" s="3">
        <f>(Таблица1[Размер кредита]-$AA$2)/$AA$3</f>
        <v>2.4024021434852898</v>
      </c>
      <c r="S251" s="3">
        <f>(Таблица1[Кредитный рейтинг]-$AA$7)/($AA$8-$AA$7)</f>
        <v>0.93874833555259651</v>
      </c>
      <c r="T251" s="3">
        <f>(Таблица1[Срок с последнего нарушения кредитного договора (мес,)]-$AA$12)/($AA$13-$AA$12)</f>
        <v>0.73863636363636365</v>
      </c>
      <c r="U251" s="3">
        <f>(Таблица1[Количество кредитных карт]-$AA$18)/($AA$19-$AA$18)</f>
        <v>0.40476190476190477</v>
      </c>
      <c r="V251" s="3">
        <f>(Таблица1[Число нарушений кредитных договоров]-$AA$23)/($AA$24-$AA$23)</f>
        <v>0</v>
      </c>
      <c r="W251" s="3">
        <f>Таблица1[[#This Row],[Годовой доход]]/12</f>
        <v>114786.91666666667</v>
      </c>
      <c r="X251" s="3">
        <f>Таблица1[[#This Row],[Ежемесячный платеж]]/Таблица1[[#This Row],[Ежем доход]]</f>
        <v>0.11699904823647873</v>
      </c>
      <c r="Y251" s="3"/>
      <c r="Z251" s="3"/>
      <c r="AA251" s="3"/>
      <c r="AB251" s="3"/>
    </row>
    <row r="252" spans="1:28" x14ac:dyDescent="0.2">
      <c r="A252">
        <v>1782</v>
      </c>
      <c r="B252" t="s">
        <v>1820</v>
      </c>
      <c r="C252" t="s">
        <v>18</v>
      </c>
      <c r="D252" t="s">
        <v>19</v>
      </c>
      <c r="E252" t="s">
        <v>24</v>
      </c>
      <c r="F252" t="s">
        <v>21</v>
      </c>
      <c r="G252" t="s">
        <v>102</v>
      </c>
      <c r="H252" s="1">
        <v>266486</v>
      </c>
      <c r="I252" s="3">
        <v>706</v>
      </c>
      <c r="J252" s="3">
        <v>1304141</v>
      </c>
      <c r="K252" s="3">
        <v>28147.93</v>
      </c>
      <c r="L252" s="2">
        <v>16.399999999999999</v>
      </c>
      <c r="M252" s="11">
        <v>35.265240640000002</v>
      </c>
      <c r="N252" s="3">
        <v>10</v>
      </c>
      <c r="O252" s="3">
        <v>761672</v>
      </c>
      <c r="P252" s="3">
        <v>1070322</v>
      </c>
      <c r="Q252" s="10">
        <v>0</v>
      </c>
      <c r="R252" s="3">
        <f>(Таблица1[Размер кредита]-$AA$2)/$AA$3</f>
        <v>-0.24542893884358452</v>
      </c>
      <c r="S252" s="3">
        <f>(Таблица1[Кредитный рейтинг]-$AA$7)/($AA$8-$AA$7)</f>
        <v>0.94007989347536614</v>
      </c>
      <c r="T252" s="3">
        <f>(Таблица1[Срок с последнего нарушения кредитного договора (мес,)]-$AA$12)/($AA$13-$AA$12)</f>
        <v>0.40074137090909095</v>
      </c>
      <c r="U252" s="3">
        <f>(Таблица1[Количество кредитных карт]-$AA$18)/($AA$19-$AA$18)</f>
        <v>0.21428571428571427</v>
      </c>
      <c r="V252" s="3">
        <f>(Таблица1[Число нарушений кредитных договоров]-$AA$23)/($AA$24-$AA$23)</f>
        <v>0</v>
      </c>
      <c r="W252" s="3">
        <f>Таблица1[[#This Row],[Годовой доход]]/12</f>
        <v>108678.41666666667</v>
      </c>
      <c r="X252" s="3">
        <f>Таблица1[[#This Row],[Ежемесячный платеж]]/Таблица1[[#This Row],[Ежем доход]]</f>
        <v>0.25900202508777809</v>
      </c>
      <c r="Y252" s="3"/>
      <c r="Z252" s="3"/>
      <c r="AA252" s="3"/>
      <c r="AB252" s="3"/>
    </row>
    <row r="253" spans="1:28" x14ac:dyDescent="0.2">
      <c r="A253">
        <v>1476</v>
      </c>
      <c r="B253" t="s">
        <v>1515</v>
      </c>
      <c r="C253" t="s">
        <v>35</v>
      </c>
      <c r="D253" t="s">
        <v>29</v>
      </c>
      <c r="E253" t="s">
        <v>52</v>
      </c>
      <c r="F253" t="s">
        <v>27</v>
      </c>
      <c r="G253" t="s">
        <v>25</v>
      </c>
      <c r="H253" s="1">
        <v>229790</v>
      </c>
      <c r="I253" s="3">
        <v>678</v>
      </c>
      <c r="J253" s="3">
        <v>2351250</v>
      </c>
      <c r="K253" s="3">
        <v>38795.72</v>
      </c>
      <c r="L253" s="2">
        <v>14.9</v>
      </c>
      <c r="M253" s="11">
        <v>35.265240640000002</v>
      </c>
      <c r="N253" s="3">
        <v>16</v>
      </c>
      <c r="O253" s="3">
        <v>512202</v>
      </c>
      <c r="P253" s="3">
        <v>1068584</v>
      </c>
      <c r="Q253" s="10">
        <v>1</v>
      </c>
      <c r="R253" s="3">
        <f>(Таблица1[Размер кредита]-$AA$2)/$AA$3</f>
        <v>-0.45434957485704536</v>
      </c>
      <c r="S253" s="3">
        <f>(Таблица1[Кредитный рейтинг]-$AA$7)/($AA$8-$AA$7)</f>
        <v>0.90279627163781628</v>
      </c>
      <c r="T253" s="3">
        <f>(Таблица1[Срок с последнего нарушения кредитного договора (мес,)]-$AA$12)/($AA$13-$AA$12)</f>
        <v>0.40074137090909095</v>
      </c>
      <c r="U253" s="3">
        <f>(Таблица1[Количество кредитных карт]-$AA$18)/($AA$19-$AA$18)</f>
        <v>0.35714285714285715</v>
      </c>
      <c r="V253" s="3">
        <f>(Таблица1[Число нарушений кредитных договоров]-$AA$23)/($AA$24-$AA$23)</f>
        <v>0.14285714285714285</v>
      </c>
      <c r="W253" s="3">
        <f>Таблица1[[#This Row],[Годовой доход]]/12</f>
        <v>195937.5</v>
      </c>
      <c r="X253" s="3">
        <f>Таблица1[[#This Row],[Ежемесячный платеж]]/Таблица1[[#This Row],[Ежем доход]]</f>
        <v>0.19800048484848484</v>
      </c>
      <c r="Y253" s="3"/>
      <c r="Z253" s="3"/>
      <c r="AA253" s="3"/>
      <c r="AB253" s="3"/>
    </row>
    <row r="254" spans="1:28" x14ac:dyDescent="0.2">
      <c r="A254">
        <v>986</v>
      </c>
      <c r="B254" t="s">
        <v>1026</v>
      </c>
      <c r="C254" t="s">
        <v>35</v>
      </c>
      <c r="D254" t="s">
        <v>29</v>
      </c>
      <c r="E254" t="s">
        <v>37</v>
      </c>
      <c r="F254" t="s">
        <v>21</v>
      </c>
      <c r="G254" t="s">
        <v>25</v>
      </c>
      <c r="H254" s="1">
        <v>464904</v>
      </c>
      <c r="I254" s="3">
        <v>0</v>
      </c>
      <c r="J254" s="3">
        <v>1168044</v>
      </c>
      <c r="K254" s="3">
        <v>19700.53</v>
      </c>
      <c r="L254" s="2">
        <v>32.1</v>
      </c>
      <c r="M254" s="11">
        <v>35.265240640000002</v>
      </c>
      <c r="N254" s="3">
        <v>12</v>
      </c>
      <c r="O254" s="3">
        <v>402173</v>
      </c>
      <c r="P254" s="3">
        <v>1065592</v>
      </c>
      <c r="Q254" s="10">
        <v>0</v>
      </c>
      <c r="R254" s="3">
        <f>(Таблица1[Размер кредита]-$AA$2)/$AA$3</f>
        <v>0.8842204713515015</v>
      </c>
      <c r="S254" s="3">
        <f>(Таблица1[Кредитный рейтинг]-$AA$7)/($AA$8-$AA$7)</f>
        <v>0</v>
      </c>
      <c r="T254" s="3">
        <f>(Таблица1[Срок с последнего нарушения кредитного договора (мес,)]-$AA$12)/($AA$13-$AA$12)</f>
        <v>0.40074137090909095</v>
      </c>
      <c r="U254" s="3">
        <f>(Таблица1[Количество кредитных карт]-$AA$18)/($AA$19-$AA$18)</f>
        <v>0.26190476190476192</v>
      </c>
      <c r="V254" s="3">
        <f>(Таблица1[Число нарушений кредитных договоров]-$AA$23)/($AA$24-$AA$23)</f>
        <v>0</v>
      </c>
      <c r="W254" s="3">
        <f>Таблица1[[#This Row],[Годовой доход]]/12</f>
        <v>97337</v>
      </c>
      <c r="X254" s="3">
        <f>Таблица1[[#This Row],[Ежемесячный платеж]]/Таблица1[[#This Row],[Ежем доход]]</f>
        <v>0.20239508100722231</v>
      </c>
      <c r="Y254" s="3"/>
      <c r="Z254" s="3"/>
      <c r="AA254" s="3"/>
      <c r="AB254" s="3"/>
    </row>
    <row r="255" spans="1:28" x14ac:dyDescent="0.2">
      <c r="A255">
        <v>956</v>
      </c>
      <c r="B255" t="s">
        <v>997</v>
      </c>
      <c r="C255" t="s">
        <v>18</v>
      </c>
      <c r="D255" t="s">
        <v>19</v>
      </c>
      <c r="E255" t="s">
        <v>30</v>
      </c>
      <c r="F255" t="s">
        <v>21</v>
      </c>
      <c r="G255" t="s">
        <v>25</v>
      </c>
      <c r="H255" s="1">
        <v>549516</v>
      </c>
      <c r="I255" s="3">
        <v>0</v>
      </c>
      <c r="J255" s="3">
        <v>1168044</v>
      </c>
      <c r="K255" s="3">
        <v>30016.77</v>
      </c>
      <c r="L255" s="2">
        <v>22.3</v>
      </c>
      <c r="M255" s="11">
        <v>69</v>
      </c>
      <c r="N255" s="3">
        <v>10</v>
      </c>
      <c r="O255" s="3">
        <v>481232</v>
      </c>
      <c r="P255" s="3">
        <v>1061390</v>
      </c>
      <c r="Q255" s="10">
        <v>0</v>
      </c>
      <c r="R255" s="3">
        <f>(Таблица1[Размер кредита]-$AA$2)/$AA$3</f>
        <v>1.3659403551091576</v>
      </c>
      <c r="S255" s="3">
        <f>(Таблица1[Кредитный рейтинг]-$AA$7)/($AA$8-$AA$7)</f>
        <v>0</v>
      </c>
      <c r="T255" s="3">
        <f>(Таблица1[Срок с последнего нарушения кредитного договора (мес,)]-$AA$12)/($AA$13-$AA$12)</f>
        <v>0.78409090909090906</v>
      </c>
      <c r="U255" s="3">
        <f>(Таблица1[Количество кредитных карт]-$AA$18)/($AA$19-$AA$18)</f>
        <v>0.21428571428571427</v>
      </c>
      <c r="V255" s="3">
        <f>(Таблица1[Число нарушений кредитных договоров]-$AA$23)/($AA$24-$AA$23)</f>
        <v>0</v>
      </c>
      <c r="W255" s="3">
        <f>Таблица1[[#This Row],[Годовой доход]]/12</f>
        <v>97337</v>
      </c>
      <c r="X255" s="3">
        <f>Таблица1[[#This Row],[Ежемесячный платеж]]/Таблица1[[#This Row],[Ежем доход]]</f>
        <v>0.30837985555338671</v>
      </c>
      <c r="Y255" s="3"/>
      <c r="Z255" s="3"/>
      <c r="AA255" s="3"/>
      <c r="AB255" s="3"/>
    </row>
    <row r="256" spans="1:28" x14ac:dyDescent="0.2">
      <c r="A256">
        <v>296</v>
      </c>
      <c r="B256" t="s">
        <v>338</v>
      </c>
      <c r="C256" t="s">
        <v>35</v>
      </c>
      <c r="D256" t="s">
        <v>19</v>
      </c>
      <c r="E256" t="s">
        <v>37</v>
      </c>
      <c r="F256" t="s">
        <v>33</v>
      </c>
      <c r="G256" t="s">
        <v>25</v>
      </c>
      <c r="H256" s="1">
        <v>134618</v>
      </c>
      <c r="I256" s="3">
        <v>746</v>
      </c>
      <c r="J256" s="3">
        <v>968905</v>
      </c>
      <c r="K256" s="3">
        <v>16196.74</v>
      </c>
      <c r="L256" s="2">
        <v>17</v>
      </c>
      <c r="M256" s="11">
        <v>35.265240640000002</v>
      </c>
      <c r="N256" s="3">
        <v>17</v>
      </c>
      <c r="O256" s="3">
        <v>202540</v>
      </c>
      <c r="P256" s="3">
        <v>1061170</v>
      </c>
      <c r="Q256" s="10">
        <v>0</v>
      </c>
      <c r="R256" s="3">
        <f>(Таблица1[Размер кредита]-$AA$2)/$AA$3</f>
        <v>-0.99619050494951045</v>
      </c>
      <c r="S256" s="3">
        <f>(Таблица1[Кредитный рейтинг]-$AA$7)/($AA$8-$AA$7)</f>
        <v>0.99334221038615178</v>
      </c>
      <c r="T256" s="3">
        <f>(Таблица1[Срок с последнего нарушения кредитного договора (мес,)]-$AA$12)/($AA$13-$AA$12)</f>
        <v>0.40074137090909095</v>
      </c>
      <c r="U256" s="3">
        <f>(Таблица1[Количество кредитных карт]-$AA$18)/($AA$19-$AA$18)</f>
        <v>0.38095238095238093</v>
      </c>
      <c r="V256" s="3">
        <f>(Таблица1[Число нарушений кредитных договоров]-$AA$23)/($AA$24-$AA$23)</f>
        <v>0</v>
      </c>
      <c r="W256" s="3">
        <f>Таблица1[[#This Row],[Годовой доход]]/12</f>
        <v>80742.083333333328</v>
      </c>
      <c r="X256" s="3">
        <f>Таблица1[[#This Row],[Ежемесячный платеж]]/Таблица1[[#This Row],[Ежем доход]]</f>
        <v>0.20059849004804395</v>
      </c>
      <c r="Y256" s="3"/>
      <c r="Z256" s="3"/>
      <c r="AA256" s="3"/>
      <c r="AB256" s="3"/>
    </row>
    <row r="257" spans="1:28" x14ac:dyDescent="0.2">
      <c r="A257">
        <v>1534</v>
      </c>
      <c r="B257" t="s">
        <v>1573</v>
      </c>
      <c r="C257" t="s">
        <v>18</v>
      </c>
      <c r="D257" t="s">
        <v>19</v>
      </c>
      <c r="E257" t="s">
        <v>41</v>
      </c>
      <c r="F257" t="s">
        <v>21</v>
      </c>
      <c r="G257" t="s">
        <v>25</v>
      </c>
      <c r="H257" s="1">
        <v>327800</v>
      </c>
      <c r="I257" s="3">
        <v>749</v>
      </c>
      <c r="J257" s="3">
        <v>1226735</v>
      </c>
      <c r="K257" s="3">
        <v>19627.57</v>
      </c>
      <c r="L257" s="2">
        <v>14.1</v>
      </c>
      <c r="M257" s="11">
        <v>79</v>
      </c>
      <c r="N257" s="3">
        <v>14</v>
      </c>
      <c r="O257" s="3">
        <v>290776</v>
      </c>
      <c r="P257" s="3">
        <v>1058750</v>
      </c>
      <c r="Q257" s="10">
        <v>0</v>
      </c>
      <c r="R257" s="3">
        <f>(Таблица1[Размер кредита]-$AA$2)/$AA$3</f>
        <v>0.10364888643789953</v>
      </c>
      <c r="S257" s="3">
        <f>(Таблица1[Кредитный рейтинг]-$AA$7)/($AA$8-$AA$7)</f>
        <v>0.99733688415446076</v>
      </c>
      <c r="T257" s="3">
        <f>(Таблица1[Срок с последнего нарушения кредитного договора (мес,)]-$AA$12)/($AA$13-$AA$12)</f>
        <v>0.89772727272727271</v>
      </c>
      <c r="U257" s="3">
        <f>(Таблица1[Количество кредитных карт]-$AA$18)/($AA$19-$AA$18)</f>
        <v>0.30952380952380953</v>
      </c>
      <c r="V257" s="3">
        <f>(Таблица1[Число нарушений кредитных договоров]-$AA$23)/($AA$24-$AA$23)</f>
        <v>0</v>
      </c>
      <c r="W257" s="3">
        <f>Таблица1[[#This Row],[Годовой доход]]/12</f>
        <v>102227.91666666667</v>
      </c>
      <c r="X257" s="3">
        <f>Таблица1[[#This Row],[Ежемесячный платеж]]/Таблица1[[#This Row],[Ежем доход]]</f>
        <v>0.19199814140788352</v>
      </c>
      <c r="Y257" s="3"/>
      <c r="Z257" s="3"/>
      <c r="AA257" s="3"/>
      <c r="AB257" s="3"/>
    </row>
    <row r="258" spans="1:28" x14ac:dyDescent="0.2">
      <c r="A258">
        <v>1564</v>
      </c>
      <c r="B258" t="s">
        <v>1603</v>
      </c>
      <c r="C258" t="s">
        <v>18</v>
      </c>
      <c r="D258" t="s">
        <v>29</v>
      </c>
      <c r="E258" t="s">
        <v>32</v>
      </c>
      <c r="F258" t="s">
        <v>33</v>
      </c>
      <c r="G258" t="s">
        <v>25</v>
      </c>
      <c r="H258" s="1">
        <v>354530</v>
      </c>
      <c r="I258" s="3">
        <v>724</v>
      </c>
      <c r="J258" s="3">
        <v>822890</v>
      </c>
      <c r="K258" s="3">
        <v>15730.86</v>
      </c>
      <c r="L258" s="2">
        <v>11</v>
      </c>
      <c r="M258" s="11">
        <v>35.265240640000002</v>
      </c>
      <c r="N258" s="3">
        <v>15</v>
      </c>
      <c r="O258" s="3">
        <v>262637</v>
      </c>
      <c r="P258" s="3">
        <v>1055912</v>
      </c>
      <c r="Q258" s="10">
        <v>0</v>
      </c>
      <c r="R258" s="3">
        <f>(Таблица1[Размер кредита]-$AA$2)/$AA$3</f>
        <v>0.25583028497288451</v>
      </c>
      <c r="S258" s="3">
        <f>(Таблица1[Кредитный рейтинг]-$AA$7)/($AA$8-$AA$7)</f>
        <v>0.96404793608521966</v>
      </c>
      <c r="T258" s="3">
        <f>(Таблица1[Срок с последнего нарушения кредитного договора (мес,)]-$AA$12)/($AA$13-$AA$12)</f>
        <v>0.40074137090909095</v>
      </c>
      <c r="U258" s="3">
        <f>(Таблица1[Количество кредитных карт]-$AA$18)/($AA$19-$AA$18)</f>
        <v>0.33333333333333331</v>
      </c>
      <c r="V258" s="3">
        <f>(Таблица1[Число нарушений кредитных договоров]-$AA$23)/($AA$24-$AA$23)</f>
        <v>0</v>
      </c>
      <c r="W258" s="3">
        <f>Таблица1[[#This Row],[Годовой доход]]/12</f>
        <v>68574.166666666672</v>
      </c>
      <c r="X258" s="3">
        <f>Таблица1[[#This Row],[Ежемесячный платеж]]/Таблица1[[#This Row],[Ежем доход]]</f>
        <v>0.22939921496190255</v>
      </c>
      <c r="Y258" s="3"/>
      <c r="Z258" s="3"/>
      <c r="AA258" s="3"/>
      <c r="AB258" s="3"/>
    </row>
    <row r="259" spans="1:28" x14ac:dyDescent="0.2">
      <c r="A259">
        <v>792</v>
      </c>
      <c r="B259" t="s">
        <v>833</v>
      </c>
      <c r="C259" t="s">
        <v>18</v>
      </c>
      <c r="D259" t="s">
        <v>29</v>
      </c>
      <c r="E259" t="s">
        <v>41</v>
      </c>
      <c r="F259" t="s">
        <v>27</v>
      </c>
      <c r="G259" t="s">
        <v>25</v>
      </c>
      <c r="H259" s="1">
        <v>470316</v>
      </c>
      <c r="I259" s="3">
        <v>719</v>
      </c>
      <c r="J259" s="3">
        <v>2393487</v>
      </c>
      <c r="K259" s="3">
        <v>27126.11</v>
      </c>
      <c r="L259" s="2">
        <v>34.1</v>
      </c>
      <c r="M259" s="11">
        <v>35.265240640000002</v>
      </c>
      <c r="N259" s="3">
        <v>7</v>
      </c>
      <c r="O259" s="3">
        <v>726484</v>
      </c>
      <c r="P259" s="3">
        <v>1055450</v>
      </c>
      <c r="Q259" s="10">
        <v>0</v>
      </c>
      <c r="R259" s="3">
        <f>(Таблица1[Размер кредита]-$AA$2)/$AA$3</f>
        <v>0.91503250759809107</v>
      </c>
      <c r="S259" s="3">
        <f>(Таблица1[Кредитный рейтинг]-$AA$7)/($AA$8-$AA$7)</f>
        <v>0.95739014647137155</v>
      </c>
      <c r="T259" s="3">
        <f>(Таблица1[Срок с последнего нарушения кредитного договора (мес,)]-$AA$12)/($AA$13-$AA$12)</f>
        <v>0.40074137090909095</v>
      </c>
      <c r="U259" s="3">
        <f>(Таблица1[Количество кредитных карт]-$AA$18)/($AA$19-$AA$18)</f>
        <v>0.14285714285714285</v>
      </c>
      <c r="V259" s="3">
        <f>(Таблица1[Число нарушений кредитных договоров]-$AA$23)/($AA$24-$AA$23)</f>
        <v>0</v>
      </c>
      <c r="W259" s="3">
        <f>Таблица1[[#This Row],[Годовой доход]]/12</f>
        <v>199457.25</v>
      </c>
      <c r="X259" s="3">
        <f>Таблица1[[#This Row],[Ежемесячный платеж]]/Таблица1[[#This Row],[Ежем доход]]</f>
        <v>0.1359996189659689</v>
      </c>
      <c r="Y259" s="3"/>
      <c r="Z259" s="3"/>
      <c r="AA259" s="3"/>
      <c r="AB259" s="3"/>
    </row>
    <row r="260" spans="1:28" x14ac:dyDescent="0.2">
      <c r="A260">
        <v>329</v>
      </c>
      <c r="B260" t="s">
        <v>371</v>
      </c>
      <c r="C260" t="s">
        <v>18</v>
      </c>
      <c r="D260" t="s">
        <v>19</v>
      </c>
      <c r="E260" t="s">
        <v>37</v>
      </c>
      <c r="F260" t="s">
        <v>21</v>
      </c>
      <c r="G260" t="s">
        <v>22</v>
      </c>
      <c r="H260" s="1">
        <v>309594.52439999999</v>
      </c>
      <c r="I260" s="3">
        <v>716</v>
      </c>
      <c r="J260" s="3">
        <v>2848575</v>
      </c>
      <c r="K260" s="3">
        <v>23263.41</v>
      </c>
      <c r="L260" s="2">
        <v>31.5</v>
      </c>
      <c r="M260" s="11">
        <v>10</v>
      </c>
      <c r="N260" s="3">
        <v>14</v>
      </c>
      <c r="O260" s="3">
        <v>371051</v>
      </c>
      <c r="P260" s="3">
        <v>1053052</v>
      </c>
      <c r="Q260" s="10">
        <v>0</v>
      </c>
      <c r="R260" s="3">
        <f>(Таблица1[Размер кредита]-$AA$2)/$AA$3</f>
        <v>-1.2411115481956205E-10</v>
      </c>
      <c r="S260" s="3">
        <f>(Таблица1[Кредитный рейтинг]-$AA$7)/($AA$8-$AA$7)</f>
        <v>0.95339547270306257</v>
      </c>
      <c r="T260" s="3">
        <f>(Таблица1[Срок с последнего нарушения кредитного договора (мес,)]-$AA$12)/($AA$13-$AA$12)</f>
        <v>0.11363636363636363</v>
      </c>
      <c r="U260" s="3">
        <f>(Таблица1[Количество кредитных карт]-$AA$18)/($AA$19-$AA$18)</f>
        <v>0.30952380952380953</v>
      </c>
      <c r="V260" s="3">
        <f>(Таблица1[Число нарушений кредитных договоров]-$AA$23)/($AA$24-$AA$23)</f>
        <v>0</v>
      </c>
      <c r="W260" s="3">
        <f>Таблица1[[#This Row],[Годовой доход]]/12</f>
        <v>237381.25</v>
      </c>
      <c r="X260" s="3">
        <f>Таблица1[[#This Row],[Ежемесячный платеж]]/Таблица1[[#This Row],[Ежем доход]]</f>
        <v>9.8000200100050019E-2</v>
      </c>
      <c r="Y260" s="3"/>
      <c r="Z260" s="3"/>
      <c r="AA260" s="3"/>
      <c r="AB260" s="3"/>
    </row>
    <row r="261" spans="1:28" x14ac:dyDescent="0.2">
      <c r="A261">
        <v>827</v>
      </c>
      <c r="B261" t="s">
        <v>868</v>
      </c>
      <c r="C261" t="s">
        <v>18</v>
      </c>
      <c r="D261" t="s">
        <v>29</v>
      </c>
      <c r="E261" t="s">
        <v>37</v>
      </c>
      <c r="F261" t="s">
        <v>21</v>
      </c>
      <c r="G261" t="s">
        <v>25</v>
      </c>
      <c r="H261" s="1">
        <v>769230</v>
      </c>
      <c r="I261" s="3">
        <v>691</v>
      </c>
      <c r="J261" s="3">
        <v>2799707</v>
      </c>
      <c r="K261" s="3">
        <v>63459.81</v>
      </c>
      <c r="L261" s="2">
        <v>17</v>
      </c>
      <c r="M261" s="11">
        <v>35.265240640000002</v>
      </c>
      <c r="N261" s="3">
        <v>18</v>
      </c>
      <c r="O261" s="3">
        <v>633536</v>
      </c>
      <c r="P261" s="3">
        <v>1047926</v>
      </c>
      <c r="Q261" s="10">
        <v>0</v>
      </c>
      <c r="R261" s="3">
        <f>(Таблица1[Размер кредита]-$AA$2)/$AA$3</f>
        <v>2.6168338754127749</v>
      </c>
      <c r="S261" s="3">
        <f>(Таблица1[Кредитный рейтинг]-$AA$7)/($AA$8-$AA$7)</f>
        <v>0.92010652463382159</v>
      </c>
      <c r="T261" s="3">
        <f>(Таблица1[Срок с последнего нарушения кредитного договора (мес,)]-$AA$12)/($AA$13-$AA$12)</f>
        <v>0.40074137090909095</v>
      </c>
      <c r="U261" s="3">
        <f>(Таблица1[Количество кредитных карт]-$AA$18)/($AA$19-$AA$18)</f>
        <v>0.40476190476190477</v>
      </c>
      <c r="V261" s="3">
        <f>(Таблица1[Число нарушений кредитных договоров]-$AA$23)/($AA$24-$AA$23)</f>
        <v>0</v>
      </c>
      <c r="W261" s="3">
        <f>Таблица1[[#This Row],[Годовой доход]]/12</f>
        <v>233308.91666666666</v>
      </c>
      <c r="X261" s="3">
        <f>Таблица1[[#This Row],[Ежемесячный платеж]]/Таблица1[[#This Row],[Ежем доход]]</f>
        <v>0.27199907704627663</v>
      </c>
      <c r="Y261" s="3"/>
      <c r="Z261" s="3"/>
      <c r="AA261" s="3"/>
      <c r="AB261" s="3"/>
    </row>
    <row r="262" spans="1:28" x14ac:dyDescent="0.2">
      <c r="A262">
        <v>1055</v>
      </c>
      <c r="B262" t="s">
        <v>1094</v>
      </c>
      <c r="C262" t="s">
        <v>35</v>
      </c>
      <c r="D262" t="s">
        <v>29</v>
      </c>
      <c r="E262" t="s">
        <v>52</v>
      </c>
      <c r="F262" t="s">
        <v>21</v>
      </c>
      <c r="G262" t="s">
        <v>25</v>
      </c>
      <c r="H262" s="1">
        <v>469898</v>
      </c>
      <c r="I262" s="3">
        <v>0</v>
      </c>
      <c r="J262" s="3">
        <v>1168044</v>
      </c>
      <c r="K262" s="3">
        <v>19131.669999999998</v>
      </c>
      <c r="L262" s="2">
        <v>38.9</v>
      </c>
      <c r="M262" s="11">
        <v>35.265240640000002</v>
      </c>
      <c r="N262" s="3">
        <v>21</v>
      </c>
      <c r="O262" s="3">
        <v>478743</v>
      </c>
      <c r="P262" s="3">
        <v>1047882</v>
      </c>
      <c r="Q262" s="10">
        <v>0</v>
      </c>
      <c r="R262" s="3">
        <f>(Таблица1[Размер кредита]-$AA$2)/$AA$3</f>
        <v>0.91265271618067145</v>
      </c>
      <c r="S262" s="3">
        <f>(Таблица1[Кредитный рейтинг]-$AA$7)/($AA$8-$AA$7)</f>
        <v>0</v>
      </c>
      <c r="T262" s="3">
        <f>(Таблица1[Срок с последнего нарушения кредитного договора (мес,)]-$AA$12)/($AA$13-$AA$12)</f>
        <v>0.40074137090909095</v>
      </c>
      <c r="U262" s="3">
        <f>(Таблица1[Количество кредитных карт]-$AA$18)/($AA$19-$AA$18)</f>
        <v>0.47619047619047616</v>
      </c>
      <c r="V262" s="3">
        <f>(Таблица1[Число нарушений кредитных договоров]-$AA$23)/($AA$24-$AA$23)</f>
        <v>0</v>
      </c>
      <c r="W262" s="3">
        <f>Таблица1[[#This Row],[Годовой доход]]/12</f>
        <v>97337</v>
      </c>
      <c r="X262" s="3">
        <f>Таблица1[[#This Row],[Ежемесячный платеж]]/Таблица1[[#This Row],[Ежем доход]]</f>
        <v>0.1965508491118485</v>
      </c>
      <c r="Y262" s="3"/>
      <c r="Z262" s="3"/>
      <c r="AA262" s="3"/>
      <c r="AB262" s="3"/>
    </row>
    <row r="263" spans="1:28" x14ac:dyDescent="0.2">
      <c r="A263">
        <v>619</v>
      </c>
      <c r="B263" t="s">
        <v>660</v>
      </c>
      <c r="C263" t="s">
        <v>18</v>
      </c>
      <c r="D263" t="s">
        <v>19</v>
      </c>
      <c r="E263" t="s">
        <v>69</v>
      </c>
      <c r="F263" t="s">
        <v>21</v>
      </c>
      <c r="G263" t="s">
        <v>25</v>
      </c>
      <c r="H263" s="1">
        <v>309594.52439999999</v>
      </c>
      <c r="I263" s="3">
        <v>745</v>
      </c>
      <c r="J263" s="3">
        <v>1620814</v>
      </c>
      <c r="K263" s="3">
        <v>27553.8</v>
      </c>
      <c r="L263" s="2">
        <v>9.6</v>
      </c>
      <c r="M263" s="11">
        <v>8</v>
      </c>
      <c r="N263" s="3">
        <v>12</v>
      </c>
      <c r="O263" s="3">
        <v>388987</v>
      </c>
      <c r="P263" s="3">
        <v>1047486</v>
      </c>
      <c r="Q263" s="10">
        <v>0</v>
      </c>
      <c r="R263" s="3">
        <f>(Таблица1[Размер кредита]-$AA$2)/$AA$3</f>
        <v>-1.2411115481956205E-10</v>
      </c>
      <c r="S263" s="3">
        <f>(Таблица1[Кредитный рейтинг]-$AA$7)/($AA$8-$AA$7)</f>
        <v>0.99201065246338216</v>
      </c>
      <c r="T263" s="3">
        <f>(Таблица1[Срок с последнего нарушения кредитного договора (мес,)]-$AA$12)/($AA$13-$AA$12)</f>
        <v>9.0909090909090912E-2</v>
      </c>
      <c r="U263" s="3">
        <f>(Таблица1[Количество кредитных карт]-$AA$18)/($AA$19-$AA$18)</f>
        <v>0.26190476190476192</v>
      </c>
      <c r="V263" s="3">
        <f>(Таблица1[Число нарушений кредитных договоров]-$AA$23)/($AA$24-$AA$23)</f>
        <v>0</v>
      </c>
      <c r="W263" s="3">
        <f>Таблица1[[#This Row],[Годовой доход]]/12</f>
        <v>135067.83333333334</v>
      </c>
      <c r="X263" s="3">
        <f>Таблица1[[#This Row],[Ежемесячный платеж]]/Таблица1[[#This Row],[Ежем доход]]</f>
        <v>0.20399971865988323</v>
      </c>
      <c r="Y263" s="3"/>
      <c r="Z263" s="3"/>
      <c r="AA263" s="3"/>
      <c r="AB263" s="3"/>
    </row>
    <row r="264" spans="1:28" x14ac:dyDescent="0.2">
      <c r="A264">
        <v>343</v>
      </c>
      <c r="B264" t="s">
        <v>385</v>
      </c>
      <c r="C264" t="s">
        <v>18</v>
      </c>
      <c r="D264" t="s">
        <v>19</v>
      </c>
      <c r="E264" t="s">
        <v>41</v>
      </c>
      <c r="F264" t="s">
        <v>33</v>
      </c>
      <c r="G264" t="s">
        <v>25</v>
      </c>
      <c r="H264" s="1">
        <v>224642</v>
      </c>
      <c r="I264" s="3">
        <v>741</v>
      </c>
      <c r="J264" s="3">
        <v>1056039</v>
      </c>
      <c r="K264" s="3">
        <v>14080.33</v>
      </c>
      <c r="L264" s="2">
        <v>38.5</v>
      </c>
      <c r="M264" s="11">
        <v>35.265240640000002</v>
      </c>
      <c r="N264" s="3">
        <v>7</v>
      </c>
      <c r="O264" s="3">
        <v>252320</v>
      </c>
      <c r="P264" s="3">
        <v>1047200</v>
      </c>
      <c r="Q264" s="10">
        <v>0</v>
      </c>
      <c r="R264" s="3">
        <f>(Таблица1[Размер кредита]-$AA$2)/$AA$3</f>
        <v>-0.4836585849452647</v>
      </c>
      <c r="S264" s="3">
        <f>(Таблица1[Кредитный рейтинг]-$AA$7)/($AA$8-$AA$7)</f>
        <v>0.98668442077230356</v>
      </c>
      <c r="T264" s="3">
        <f>(Таблица1[Срок с последнего нарушения кредитного договора (мес,)]-$AA$12)/($AA$13-$AA$12)</f>
        <v>0.40074137090909095</v>
      </c>
      <c r="U264" s="3">
        <f>(Таблица1[Количество кредитных карт]-$AA$18)/($AA$19-$AA$18)</f>
        <v>0.14285714285714285</v>
      </c>
      <c r="V264" s="3">
        <f>(Таблица1[Число нарушений кредитных договоров]-$AA$23)/($AA$24-$AA$23)</f>
        <v>0</v>
      </c>
      <c r="W264" s="3">
        <f>Таблица1[[#This Row],[Годовой доход]]/12</f>
        <v>88003.25</v>
      </c>
      <c r="X264" s="3">
        <f>Таблица1[[#This Row],[Ежемесячный платеж]]/Таблица1[[#This Row],[Ежем доход]]</f>
        <v>0.15999784098882711</v>
      </c>
      <c r="Y264" s="3"/>
      <c r="Z264" s="3"/>
      <c r="AA264" s="3"/>
      <c r="AB264" s="3"/>
    </row>
    <row r="265" spans="1:28" x14ac:dyDescent="0.2">
      <c r="A265">
        <v>873</v>
      </c>
      <c r="B265" t="s">
        <v>914</v>
      </c>
      <c r="C265" t="s">
        <v>18</v>
      </c>
      <c r="D265" t="s">
        <v>29</v>
      </c>
      <c r="E265" t="s">
        <v>69</v>
      </c>
      <c r="F265" t="s">
        <v>21</v>
      </c>
      <c r="G265" t="s">
        <v>25</v>
      </c>
      <c r="H265" s="1">
        <v>395538</v>
      </c>
      <c r="I265" s="3">
        <v>697</v>
      </c>
      <c r="J265" s="3">
        <v>747213</v>
      </c>
      <c r="K265" s="3">
        <v>17933.150000000001</v>
      </c>
      <c r="L265" s="2">
        <v>28.1</v>
      </c>
      <c r="M265" s="11">
        <v>78</v>
      </c>
      <c r="N265" s="3">
        <v>15</v>
      </c>
      <c r="O265" s="3">
        <v>621832</v>
      </c>
      <c r="P265" s="3">
        <v>1046540</v>
      </c>
      <c r="Q265" s="10">
        <v>0</v>
      </c>
      <c r="R265" s="3">
        <f>(Таблица1[Размер кредита]-$AA$2)/$AA$3</f>
        <v>0.48930034823972562</v>
      </c>
      <c r="S265" s="3">
        <f>(Таблица1[Кредитный рейтинг]-$AA$7)/($AA$8-$AA$7)</f>
        <v>0.92809587217043943</v>
      </c>
      <c r="T265" s="3">
        <f>(Таблица1[Срок с последнего нарушения кредитного договора (мес,)]-$AA$12)/($AA$13-$AA$12)</f>
        <v>0.88636363636363635</v>
      </c>
      <c r="U265" s="3">
        <f>(Таблица1[Количество кредитных карт]-$AA$18)/($AA$19-$AA$18)</f>
        <v>0.33333333333333331</v>
      </c>
      <c r="V265" s="3">
        <f>(Таблица1[Число нарушений кредитных договоров]-$AA$23)/($AA$24-$AA$23)</f>
        <v>0</v>
      </c>
      <c r="W265" s="3">
        <f>Таблица1[[#This Row],[Годовой доход]]/12</f>
        <v>62267.75</v>
      </c>
      <c r="X265" s="3">
        <f>Таблица1[[#This Row],[Ежемесячный платеж]]/Таблица1[[#This Row],[Ежем доход]]</f>
        <v>0.28800061026775498</v>
      </c>
      <c r="Y265" s="3"/>
      <c r="Z265" s="3"/>
      <c r="AA265" s="3"/>
      <c r="AB265" s="3"/>
    </row>
    <row r="266" spans="1:28" x14ac:dyDescent="0.2">
      <c r="A266">
        <v>1681</v>
      </c>
      <c r="B266" t="s">
        <v>1719</v>
      </c>
      <c r="C266" t="s">
        <v>18</v>
      </c>
      <c r="D266" t="s">
        <v>19</v>
      </c>
      <c r="E266" t="s">
        <v>47</v>
      </c>
      <c r="F266" t="s">
        <v>21</v>
      </c>
      <c r="G266" t="s">
        <v>25</v>
      </c>
      <c r="H266" s="1">
        <v>454058</v>
      </c>
      <c r="I266" s="3">
        <v>749</v>
      </c>
      <c r="J266" s="3">
        <v>2644116</v>
      </c>
      <c r="K266" s="3">
        <v>9805.33</v>
      </c>
      <c r="L266" s="2">
        <v>29.5</v>
      </c>
      <c r="M266" s="11">
        <v>35.265240640000002</v>
      </c>
      <c r="N266" s="3">
        <v>9</v>
      </c>
      <c r="O266" s="3">
        <v>263359</v>
      </c>
      <c r="P266" s="3">
        <v>1040798</v>
      </c>
      <c r="Q266" s="10">
        <v>0</v>
      </c>
      <c r="R266" s="3">
        <f>(Таблица1[Размер кредита]-$AA$2)/$AA$3</f>
        <v>0.82247114667845822</v>
      </c>
      <c r="S266" s="3">
        <f>(Таблица1[Кредитный рейтинг]-$AA$7)/($AA$8-$AA$7)</f>
        <v>0.99733688415446076</v>
      </c>
      <c r="T266" s="3">
        <f>(Таблица1[Срок с последнего нарушения кредитного договора (мес,)]-$AA$12)/($AA$13-$AA$12)</f>
        <v>0.40074137090909095</v>
      </c>
      <c r="U266" s="3">
        <f>(Таблица1[Количество кредитных карт]-$AA$18)/($AA$19-$AA$18)</f>
        <v>0.19047619047619047</v>
      </c>
      <c r="V266" s="3">
        <f>(Таблица1[Число нарушений кредитных договоров]-$AA$23)/($AA$24-$AA$23)</f>
        <v>0</v>
      </c>
      <c r="W266" s="3">
        <f>Таблица1[[#This Row],[Годовой доход]]/12</f>
        <v>220343</v>
      </c>
      <c r="X266" s="3">
        <f>Таблица1[[#This Row],[Ежемесячный платеж]]/Таблица1[[#This Row],[Ежем доход]]</f>
        <v>4.4500301802190223E-2</v>
      </c>
      <c r="Y266" s="3"/>
      <c r="Z266" s="3"/>
      <c r="AA266" s="3"/>
      <c r="AB266" s="3"/>
    </row>
    <row r="267" spans="1:28" x14ac:dyDescent="0.2">
      <c r="A267">
        <v>1840</v>
      </c>
      <c r="B267" t="s">
        <v>1877</v>
      </c>
      <c r="C267" t="s">
        <v>18</v>
      </c>
      <c r="D267" t="s">
        <v>19</v>
      </c>
      <c r="E267" t="s">
        <v>47</v>
      </c>
      <c r="F267" t="s">
        <v>33</v>
      </c>
      <c r="G267" t="s">
        <v>25</v>
      </c>
      <c r="H267" s="1">
        <v>304722</v>
      </c>
      <c r="I267" s="3">
        <v>731</v>
      </c>
      <c r="J267" s="3">
        <v>558942</v>
      </c>
      <c r="K267" s="3">
        <v>8477.23</v>
      </c>
      <c r="L267" s="2">
        <v>16.399999999999999</v>
      </c>
      <c r="M267" s="11">
        <v>52</v>
      </c>
      <c r="N267" s="3">
        <v>5</v>
      </c>
      <c r="O267" s="3">
        <v>453473</v>
      </c>
      <c r="P267" s="3">
        <v>1039742</v>
      </c>
      <c r="Q267" s="10">
        <v>0</v>
      </c>
      <c r="R267" s="3">
        <f>(Таблица1[Размер кредита]-$AA$2)/$AA$3</f>
        <v>-2.774065023963071E-2</v>
      </c>
      <c r="S267" s="3">
        <f>(Таблица1[Кредитный рейтинг]-$AA$7)/($AA$8-$AA$7)</f>
        <v>0.97336884154460723</v>
      </c>
      <c r="T267" s="3">
        <f>(Таблица1[Срок с последнего нарушения кредитного договора (мес,)]-$AA$12)/($AA$13-$AA$12)</f>
        <v>0.59090909090909094</v>
      </c>
      <c r="U267" s="3">
        <f>(Таблица1[Количество кредитных карт]-$AA$18)/($AA$19-$AA$18)</f>
        <v>9.5238095238095233E-2</v>
      </c>
      <c r="V267" s="3">
        <f>(Таблица1[Число нарушений кредитных договоров]-$AA$23)/($AA$24-$AA$23)</f>
        <v>0</v>
      </c>
      <c r="W267" s="3">
        <f>Таблица1[[#This Row],[Годовой доход]]/12</f>
        <v>46578.5</v>
      </c>
      <c r="X267" s="3">
        <f>Таблица1[[#This Row],[Ежемесячный платеж]]/Таблица1[[#This Row],[Ежем доход]]</f>
        <v>0.181998776259433</v>
      </c>
      <c r="Y267" s="3"/>
      <c r="Z267" s="3"/>
      <c r="AA267" s="3"/>
      <c r="AB267" s="3"/>
    </row>
    <row r="268" spans="1:28" x14ac:dyDescent="0.2">
      <c r="A268">
        <v>1620</v>
      </c>
      <c r="B268" t="s">
        <v>1659</v>
      </c>
      <c r="C268" t="s">
        <v>35</v>
      </c>
      <c r="D268" t="s">
        <v>29</v>
      </c>
      <c r="E268" t="s">
        <v>41</v>
      </c>
      <c r="F268" t="s">
        <v>33</v>
      </c>
      <c r="G268" t="s">
        <v>25</v>
      </c>
      <c r="H268" s="1">
        <v>770616</v>
      </c>
      <c r="I268" s="3">
        <v>694</v>
      </c>
      <c r="J268" s="3">
        <v>1996596</v>
      </c>
      <c r="K268" s="3">
        <v>50414.03</v>
      </c>
      <c r="L268" s="2">
        <v>15.4</v>
      </c>
      <c r="M268" s="11">
        <v>35.265240640000002</v>
      </c>
      <c r="N268" s="3">
        <v>10</v>
      </c>
      <c r="O268" s="3">
        <v>455031</v>
      </c>
      <c r="P268" s="3">
        <v>1039214</v>
      </c>
      <c r="Q268" s="10">
        <v>0</v>
      </c>
      <c r="R268" s="3">
        <f>(Таблица1[Размер кредита]-$AA$2)/$AA$3</f>
        <v>2.6247247627442185</v>
      </c>
      <c r="S268" s="3">
        <f>(Таблица1[Кредитный рейтинг]-$AA$7)/($AA$8-$AA$7)</f>
        <v>0.92410119840213045</v>
      </c>
      <c r="T268" s="3">
        <f>(Таблица1[Срок с последнего нарушения кредитного договора (мес,)]-$AA$12)/($AA$13-$AA$12)</f>
        <v>0.40074137090909095</v>
      </c>
      <c r="U268" s="3">
        <f>(Таблица1[Количество кредитных карт]-$AA$18)/($AA$19-$AA$18)</f>
        <v>0.21428571428571427</v>
      </c>
      <c r="V268" s="3">
        <f>(Таблица1[Число нарушений кредитных договоров]-$AA$23)/($AA$24-$AA$23)</f>
        <v>0</v>
      </c>
      <c r="W268" s="3">
        <f>Таблица1[[#This Row],[Годовой доход]]/12</f>
        <v>166383</v>
      </c>
      <c r="X268" s="3">
        <f>Таблица1[[#This Row],[Ежемесячный платеж]]/Таблица1[[#This Row],[Ежем доход]]</f>
        <v>0.30299988580564119</v>
      </c>
      <c r="Y268" s="3"/>
      <c r="Z268" s="3"/>
      <c r="AA268" s="3"/>
      <c r="AB268" s="3"/>
    </row>
    <row r="269" spans="1:28" x14ac:dyDescent="0.2">
      <c r="A269">
        <v>903</v>
      </c>
      <c r="B269" t="s">
        <v>944</v>
      </c>
      <c r="C269" t="s">
        <v>35</v>
      </c>
      <c r="D269" t="s">
        <v>19</v>
      </c>
      <c r="E269" t="s">
        <v>24</v>
      </c>
      <c r="F269" t="s">
        <v>21</v>
      </c>
      <c r="G269" t="s">
        <v>25</v>
      </c>
      <c r="H269" s="1">
        <v>192214</v>
      </c>
      <c r="I269" s="3">
        <v>746</v>
      </c>
      <c r="J269" s="3">
        <v>1131792</v>
      </c>
      <c r="K269" s="3">
        <v>16127.96</v>
      </c>
      <c r="L269" s="2">
        <v>17.8</v>
      </c>
      <c r="M269" s="11">
        <v>23</v>
      </c>
      <c r="N269" s="3">
        <v>13</v>
      </c>
      <c r="O269" s="3">
        <v>250268</v>
      </c>
      <c r="P269" s="3">
        <v>1038708</v>
      </c>
      <c r="Q269" s="10">
        <v>0</v>
      </c>
      <c r="R269" s="3">
        <f>(Таблица1[Размер кредита]-$AA$2)/$AA$3</f>
        <v>-0.66828029806507361</v>
      </c>
      <c r="S269" s="3">
        <f>(Таблица1[Кредитный рейтинг]-$AA$7)/($AA$8-$AA$7)</f>
        <v>0.99334221038615178</v>
      </c>
      <c r="T269" s="3">
        <f>(Таблица1[Срок с последнего нарушения кредитного договора (мес,)]-$AA$12)/($AA$13-$AA$12)</f>
        <v>0.26136363636363635</v>
      </c>
      <c r="U269" s="3">
        <f>(Таблица1[Количество кредитных карт]-$AA$18)/($AA$19-$AA$18)</f>
        <v>0.2857142857142857</v>
      </c>
      <c r="V269" s="3">
        <f>(Таблица1[Число нарушений кредитных договоров]-$AA$23)/($AA$24-$AA$23)</f>
        <v>0</v>
      </c>
      <c r="W269" s="3">
        <f>Таблица1[[#This Row],[Годовой доход]]/12</f>
        <v>94316</v>
      </c>
      <c r="X269" s="3">
        <f>Таблица1[[#This Row],[Ежемесячный платеж]]/Таблица1[[#This Row],[Ежем доход]]</f>
        <v>0.17099919419822723</v>
      </c>
      <c r="Y269" s="3"/>
      <c r="Z269" s="3"/>
      <c r="AA269" s="3"/>
      <c r="AB269" s="3"/>
    </row>
    <row r="270" spans="1:28" x14ac:dyDescent="0.2">
      <c r="A270">
        <v>1315</v>
      </c>
      <c r="B270" t="s">
        <v>1354</v>
      </c>
      <c r="C270" t="s">
        <v>18</v>
      </c>
      <c r="D270" t="s">
        <v>19</v>
      </c>
      <c r="E270" t="s">
        <v>24</v>
      </c>
      <c r="F270" t="s">
        <v>21</v>
      </c>
      <c r="G270" t="s">
        <v>25</v>
      </c>
      <c r="H270" s="1">
        <v>142824</v>
      </c>
      <c r="I270" s="3">
        <v>0</v>
      </c>
      <c r="J270" s="3">
        <v>1168044</v>
      </c>
      <c r="K270" s="3">
        <v>12886.75</v>
      </c>
      <c r="L270" s="2">
        <v>39.4</v>
      </c>
      <c r="M270" s="11">
        <v>10</v>
      </c>
      <c r="N270" s="3">
        <v>14</v>
      </c>
      <c r="O270" s="3">
        <v>257298</v>
      </c>
      <c r="P270" s="3">
        <v>1038092</v>
      </c>
      <c r="Q270" s="10">
        <v>0</v>
      </c>
      <c r="R270" s="3">
        <f>(Таблица1[Размер кредита]-$AA$2)/$AA$3</f>
        <v>-0.9494714418601693</v>
      </c>
      <c r="S270" s="3">
        <f>(Таблица1[Кредитный рейтинг]-$AA$7)/($AA$8-$AA$7)</f>
        <v>0</v>
      </c>
      <c r="T270" s="3">
        <f>(Таблица1[Срок с последнего нарушения кредитного договора (мес,)]-$AA$12)/($AA$13-$AA$12)</f>
        <v>0.11363636363636363</v>
      </c>
      <c r="U270" s="3">
        <f>(Таблица1[Количество кредитных карт]-$AA$18)/($AA$19-$AA$18)</f>
        <v>0.30952380952380953</v>
      </c>
      <c r="V270" s="3">
        <f>(Таблица1[Число нарушений кредитных договоров]-$AA$23)/($AA$24-$AA$23)</f>
        <v>0</v>
      </c>
      <c r="W270" s="3">
        <f>Таблица1[[#This Row],[Годовой доход]]/12</f>
        <v>97337</v>
      </c>
      <c r="X270" s="3">
        <f>Таблица1[[#This Row],[Ежемесячный платеж]]/Таблица1[[#This Row],[Ежем доход]]</f>
        <v>0.13239312902596134</v>
      </c>
      <c r="Y270" s="3"/>
      <c r="Z270" s="3"/>
      <c r="AA270" s="3"/>
      <c r="AB270" s="3"/>
    </row>
    <row r="271" spans="1:28" x14ac:dyDescent="0.2">
      <c r="A271">
        <v>1192</v>
      </c>
      <c r="B271" t="s">
        <v>1231</v>
      </c>
      <c r="C271" t="s">
        <v>18</v>
      </c>
      <c r="D271" t="s">
        <v>19</v>
      </c>
      <c r="E271" t="s">
        <v>37</v>
      </c>
      <c r="F271" t="s">
        <v>33</v>
      </c>
      <c r="G271" t="s">
        <v>25</v>
      </c>
      <c r="H271" s="1">
        <v>309594.52439999999</v>
      </c>
      <c r="I271" s="3">
        <v>741</v>
      </c>
      <c r="J271" s="3">
        <v>865811</v>
      </c>
      <c r="K271" s="3">
        <v>18759.27</v>
      </c>
      <c r="L271" s="2">
        <v>15.1</v>
      </c>
      <c r="M271" s="11">
        <v>25</v>
      </c>
      <c r="N271" s="3">
        <v>15</v>
      </c>
      <c r="O271" s="3">
        <v>230907</v>
      </c>
      <c r="P271" s="3">
        <v>1036354</v>
      </c>
      <c r="Q271" s="10">
        <v>0</v>
      </c>
      <c r="R271" s="3">
        <f>(Таблица1[Размер кредита]-$AA$2)/$AA$3</f>
        <v>-1.2411115481956205E-10</v>
      </c>
      <c r="S271" s="3">
        <f>(Таблица1[Кредитный рейтинг]-$AA$7)/($AA$8-$AA$7)</f>
        <v>0.98668442077230356</v>
      </c>
      <c r="T271" s="3">
        <f>(Таблица1[Срок с последнего нарушения кредитного договора (мес,)]-$AA$12)/($AA$13-$AA$12)</f>
        <v>0.28409090909090912</v>
      </c>
      <c r="U271" s="3">
        <f>(Таблица1[Количество кредитных карт]-$AA$18)/($AA$19-$AA$18)</f>
        <v>0.33333333333333331</v>
      </c>
      <c r="V271" s="3">
        <f>(Таблица1[Число нарушений кредитных договоров]-$AA$23)/($AA$24-$AA$23)</f>
        <v>0</v>
      </c>
      <c r="W271" s="3">
        <f>Таблица1[[#This Row],[Годовой доход]]/12</f>
        <v>72150.916666666672</v>
      </c>
      <c r="X271" s="3">
        <f>Таблица1[[#This Row],[Ежемесячный платеж]]/Таблица1[[#This Row],[Ежем доход]]</f>
        <v>0.26000043889486274</v>
      </c>
      <c r="Y271" s="3"/>
      <c r="Z271" s="3"/>
      <c r="AA271" s="3"/>
      <c r="AB271" s="3"/>
    </row>
    <row r="272" spans="1:28" x14ac:dyDescent="0.2">
      <c r="A272">
        <v>1747</v>
      </c>
      <c r="B272" t="s">
        <v>1785</v>
      </c>
      <c r="C272" t="s">
        <v>18</v>
      </c>
      <c r="D272" t="s">
        <v>29</v>
      </c>
      <c r="E272" t="s">
        <v>24</v>
      </c>
      <c r="F272" t="s">
        <v>21</v>
      </c>
      <c r="G272" t="s">
        <v>25</v>
      </c>
      <c r="H272" s="1">
        <v>360624</v>
      </c>
      <c r="I272" s="3">
        <v>734</v>
      </c>
      <c r="J272" s="3">
        <v>1206861</v>
      </c>
      <c r="K272" s="3">
        <v>19510.91</v>
      </c>
      <c r="L272" s="2">
        <v>15.2</v>
      </c>
      <c r="M272" s="11">
        <v>35.265240640000002</v>
      </c>
      <c r="N272" s="3">
        <v>14</v>
      </c>
      <c r="O272" s="3">
        <v>342608</v>
      </c>
      <c r="P272" s="3">
        <v>1035804</v>
      </c>
      <c r="Q272" s="10">
        <v>0</v>
      </c>
      <c r="R272" s="3">
        <f>(Таблица1[Размер кредита]-$AA$2)/$AA$3</f>
        <v>0.29052513879526382</v>
      </c>
      <c r="S272" s="3">
        <f>(Таблица1[Кредитный рейтинг]-$AA$7)/($AA$8-$AA$7)</f>
        <v>0.9773635153129161</v>
      </c>
      <c r="T272" s="3">
        <f>(Таблица1[Срок с последнего нарушения кредитного договора (мес,)]-$AA$12)/($AA$13-$AA$12)</f>
        <v>0.40074137090909095</v>
      </c>
      <c r="U272" s="3">
        <f>(Таблица1[Количество кредитных карт]-$AA$18)/($AA$19-$AA$18)</f>
        <v>0.30952380952380953</v>
      </c>
      <c r="V272" s="3">
        <f>(Таблица1[Число нарушений кредитных договоров]-$AA$23)/($AA$24-$AA$23)</f>
        <v>0</v>
      </c>
      <c r="W272" s="3">
        <f>Таблица1[[#This Row],[Годовой доход]]/12</f>
        <v>100571.75</v>
      </c>
      <c r="X272" s="3">
        <f>Таблица1[[#This Row],[Ежемесячный платеж]]/Таблица1[[#This Row],[Ежем доход]]</f>
        <v>0.19399990554007462</v>
      </c>
      <c r="Y272" s="3"/>
      <c r="Z272" s="3"/>
      <c r="AA272" s="3"/>
      <c r="AB272" s="3"/>
    </row>
    <row r="273" spans="1:28" x14ac:dyDescent="0.2">
      <c r="A273">
        <v>55</v>
      </c>
      <c r="B273" t="s">
        <v>95</v>
      </c>
      <c r="C273" t="s">
        <v>18</v>
      </c>
      <c r="D273" t="s">
        <v>29</v>
      </c>
      <c r="E273" t="s">
        <v>24</v>
      </c>
      <c r="F273" t="s">
        <v>21</v>
      </c>
      <c r="G273" t="s">
        <v>25</v>
      </c>
      <c r="H273" s="1">
        <v>309594.52439999999</v>
      </c>
      <c r="I273" s="3">
        <v>730</v>
      </c>
      <c r="J273" s="3">
        <v>2509520</v>
      </c>
      <c r="K273" s="3">
        <v>34714.9</v>
      </c>
      <c r="L273" s="2">
        <v>40.799999999999997</v>
      </c>
      <c r="M273" s="11">
        <v>35</v>
      </c>
      <c r="N273" s="3">
        <v>12</v>
      </c>
      <c r="O273" s="3">
        <v>733324</v>
      </c>
      <c r="P273" s="3">
        <v>1035496</v>
      </c>
      <c r="Q273" s="10">
        <v>0</v>
      </c>
      <c r="R273" s="3">
        <f>(Таблица1[Размер кредита]-$AA$2)/$AA$3</f>
        <v>-1.2411115481956205E-10</v>
      </c>
      <c r="S273" s="3">
        <f>(Таблица1[Кредитный рейтинг]-$AA$7)/($AA$8-$AA$7)</f>
        <v>0.9720372836218375</v>
      </c>
      <c r="T273" s="3">
        <f>(Таблица1[Срок с последнего нарушения кредитного договора (мес,)]-$AA$12)/($AA$13-$AA$12)</f>
        <v>0.39772727272727271</v>
      </c>
      <c r="U273" s="3">
        <f>(Таблица1[Количество кредитных карт]-$AA$18)/($AA$19-$AA$18)</f>
        <v>0.26190476190476192</v>
      </c>
      <c r="V273" s="3">
        <f>(Таблица1[Число нарушений кредитных договоров]-$AA$23)/($AA$24-$AA$23)</f>
        <v>0</v>
      </c>
      <c r="W273" s="3">
        <f>Таблица1[[#This Row],[Годовой доход]]/12</f>
        <v>209126.66666666666</v>
      </c>
      <c r="X273" s="3">
        <f>Таблица1[[#This Row],[Ежемесячный платеж]]/Таблица1[[#This Row],[Ежем доход]]</f>
        <v>0.16599939430648095</v>
      </c>
      <c r="Y273" s="3"/>
      <c r="Z273" s="3"/>
      <c r="AA273" s="3"/>
      <c r="AB273" s="3"/>
    </row>
    <row r="274" spans="1:28" x14ac:dyDescent="0.2">
      <c r="A274">
        <v>70</v>
      </c>
      <c r="B274" t="s">
        <v>112</v>
      </c>
      <c r="C274" t="s">
        <v>18</v>
      </c>
      <c r="D274" t="s">
        <v>19</v>
      </c>
      <c r="E274" t="s">
        <v>50</v>
      </c>
      <c r="F274" t="s">
        <v>21</v>
      </c>
      <c r="G274" t="s">
        <v>25</v>
      </c>
      <c r="H274" s="1">
        <v>144562</v>
      </c>
      <c r="I274" s="3">
        <v>751</v>
      </c>
      <c r="J274" s="3">
        <v>1060922</v>
      </c>
      <c r="K274" s="3">
        <v>19750.88</v>
      </c>
      <c r="L274" s="2">
        <v>21.8</v>
      </c>
      <c r="M274" s="11">
        <v>35.265240640000002</v>
      </c>
      <c r="N274" s="3">
        <v>7</v>
      </c>
      <c r="O274" s="3">
        <v>314773</v>
      </c>
      <c r="P274" s="3">
        <v>1035408</v>
      </c>
      <c r="Q274" s="10">
        <v>0</v>
      </c>
      <c r="R274" s="3">
        <f>(Таблица1[Размер кредита]-$AA$2)/$AA$3</f>
        <v>-0.93957651965089872</v>
      </c>
      <c r="S274" s="3">
        <f>(Таблица1[Кредитный рейтинг]-$AA$7)/($AA$8-$AA$7)</f>
        <v>1</v>
      </c>
      <c r="T274" s="3">
        <f>(Таблица1[Срок с последнего нарушения кредитного договора (мес,)]-$AA$12)/($AA$13-$AA$12)</f>
        <v>0.40074137090909095</v>
      </c>
      <c r="U274" s="3">
        <f>(Таблица1[Количество кредитных карт]-$AA$18)/($AA$19-$AA$18)</f>
        <v>0.14285714285714285</v>
      </c>
      <c r="V274" s="3">
        <f>(Таблица1[Число нарушений кредитных договоров]-$AA$23)/($AA$24-$AA$23)</f>
        <v>0</v>
      </c>
      <c r="W274" s="3">
        <f>Таблица1[[#This Row],[Годовой доход]]/12</f>
        <v>88410.166666666672</v>
      </c>
      <c r="X274" s="3">
        <f>Таблица1[[#This Row],[Ежемесячный платеж]]/Таблица1[[#This Row],[Ежем доход]]</f>
        <v>0.22340055159568753</v>
      </c>
      <c r="Y274" s="3"/>
      <c r="Z274" s="3"/>
      <c r="AA274" s="3"/>
      <c r="AB274" s="3"/>
    </row>
    <row r="275" spans="1:28" x14ac:dyDescent="0.2">
      <c r="A275">
        <v>1851</v>
      </c>
      <c r="B275" t="s">
        <v>1888</v>
      </c>
      <c r="C275" t="s">
        <v>18</v>
      </c>
      <c r="D275" t="s">
        <v>19</v>
      </c>
      <c r="E275" t="s">
        <v>47</v>
      </c>
      <c r="F275" t="s">
        <v>21</v>
      </c>
      <c r="G275" t="s">
        <v>25</v>
      </c>
      <c r="H275" s="1">
        <v>309594.52439999999</v>
      </c>
      <c r="I275" s="3">
        <v>738</v>
      </c>
      <c r="J275" s="3">
        <v>1223030</v>
      </c>
      <c r="K275" s="3">
        <v>16714.490000000002</v>
      </c>
      <c r="L275" s="2">
        <v>27</v>
      </c>
      <c r="M275" s="11">
        <v>59</v>
      </c>
      <c r="N275" s="3">
        <v>12</v>
      </c>
      <c r="O275" s="3">
        <v>419482</v>
      </c>
      <c r="P275" s="3">
        <v>1029050</v>
      </c>
      <c r="Q275" s="10">
        <v>0</v>
      </c>
      <c r="R275" s="3">
        <f>(Таблица1[Размер кредита]-$AA$2)/$AA$3</f>
        <v>-1.2411115481956205E-10</v>
      </c>
      <c r="S275" s="3">
        <f>(Таблица1[Кредитный рейтинг]-$AA$7)/($AA$8-$AA$7)</f>
        <v>0.9826897470039947</v>
      </c>
      <c r="T275" s="3">
        <f>(Таблица1[Срок с последнего нарушения кредитного договора (мес,)]-$AA$12)/($AA$13-$AA$12)</f>
        <v>0.67045454545454541</v>
      </c>
      <c r="U275" s="3">
        <f>(Таблица1[Количество кредитных карт]-$AA$18)/($AA$19-$AA$18)</f>
        <v>0.26190476190476192</v>
      </c>
      <c r="V275" s="3">
        <f>(Таблица1[Число нарушений кредитных договоров]-$AA$23)/($AA$24-$AA$23)</f>
        <v>0</v>
      </c>
      <c r="W275" s="3">
        <f>Таблица1[[#This Row],[Годовой доход]]/12</f>
        <v>101919.16666666667</v>
      </c>
      <c r="X275" s="3">
        <f>Таблица1[[#This Row],[Ежемесячный платеж]]/Таблица1[[#This Row],[Ежем доход]]</f>
        <v>0.16399751437004817</v>
      </c>
      <c r="Y275" s="3"/>
      <c r="Z275" s="3"/>
      <c r="AA275" s="3"/>
      <c r="AB275" s="3"/>
    </row>
    <row r="276" spans="1:28" x14ac:dyDescent="0.2">
      <c r="A276">
        <v>1103</v>
      </c>
      <c r="B276" t="s">
        <v>1142</v>
      </c>
      <c r="C276" t="s">
        <v>35</v>
      </c>
      <c r="D276" t="s">
        <v>29</v>
      </c>
      <c r="E276" t="s">
        <v>24</v>
      </c>
      <c r="F276" t="s">
        <v>21</v>
      </c>
      <c r="G276" t="s">
        <v>25</v>
      </c>
      <c r="H276" s="1">
        <v>425524</v>
      </c>
      <c r="I276" s="3">
        <v>726</v>
      </c>
      <c r="J276" s="3">
        <v>827032</v>
      </c>
      <c r="K276" s="3">
        <v>20813.36</v>
      </c>
      <c r="L276" s="2">
        <v>31.4</v>
      </c>
      <c r="M276" s="11">
        <v>35.265240640000002</v>
      </c>
      <c r="N276" s="3">
        <v>12</v>
      </c>
      <c r="O276" s="3">
        <v>389367</v>
      </c>
      <c r="P276" s="3">
        <v>1022318</v>
      </c>
      <c r="Q276" s="10">
        <v>0</v>
      </c>
      <c r="R276" s="3">
        <f>(Таблица1[Размер кредита]-$AA$2)/$AA$3</f>
        <v>0.66001906939461008</v>
      </c>
      <c r="S276" s="3">
        <f>(Таблица1[Кредитный рейтинг]-$AA$7)/($AA$8-$AA$7)</f>
        <v>0.96671105193075901</v>
      </c>
      <c r="T276" s="3">
        <f>(Таблица1[Срок с последнего нарушения кредитного договора (мес,)]-$AA$12)/($AA$13-$AA$12)</f>
        <v>0.40074137090909095</v>
      </c>
      <c r="U276" s="3">
        <f>(Таблица1[Количество кредитных карт]-$AA$18)/($AA$19-$AA$18)</f>
        <v>0.26190476190476192</v>
      </c>
      <c r="V276" s="3">
        <f>(Таблица1[Число нарушений кредитных договоров]-$AA$23)/($AA$24-$AA$23)</f>
        <v>0</v>
      </c>
      <c r="W276" s="3">
        <f>Таблица1[[#This Row],[Годовой доход]]/12</f>
        <v>68919.333333333328</v>
      </c>
      <c r="X276" s="3">
        <f>Таблица1[[#This Row],[Ежемесячный платеж]]/Таблица1[[#This Row],[Ежем доход]]</f>
        <v>0.30199595662562034</v>
      </c>
      <c r="Y276" s="3"/>
      <c r="Z276" s="3"/>
      <c r="AA276" s="3"/>
      <c r="AB276" s="3"/>
    </row>
    <row r="277" spans="1:28" x14ac:dyDescent="0.2">
      <c r="A277">
        <v>10</v>
      </c>
      <c r="B277" t="s">
        <v>42</v>
      </c>
      <c r="C277" t="s">
        <v>18</v>
      </c>
      <c r="D277" t="s">
        <v>19</v>
      </c>
      <c r="E277" t="s">
        <v>37</v>
      </c>
      <c r="F277" t="s">
        <v>33</v>
      </c>
      <c r="G277" t="s">
        <v>25</v>
      </c>
      <c r="H277" s="1">
        <v>215952</v>
      </c>
      <c r="I277" s="3">
        <v>739</v>
      </c>
      <c r="J277" s="3">
        <v>1454735</v>
      </c>
      <c r="K277" s="3">
        <v>39277.75</v>
      </c>
      <c r="L277" s="2">
        <v>13.9</v>
      </c>
      <c r="M277" s="11">
        <v>35.265240640000002</v>
      </c>
      <c r="N277" s="3">
        <v>20</v>
      </c>
      <c r="O277" s="3">
        <v>669560</v>
      </c>
      <c r="P277" s="3">
        <v>1021460</v>
      </c>
      <c r="Q277" s="10">
        <v>0</v>
      </c>
      <c r="R277" s="3">
        <f>(Таблица1[Размер кредита]-$AA$2)/$AA$3</f>
        <v>-0.5331331959916179</v>
      </c>
      <c r="S277" s="3">
        <f>(Таблица1[Кредитный рейтинг]-$AA$7)/($AA$8-$AA$7)</f>
        <v>0.98402130492676432</v>
      </c>
      <c r="T277" s="3">
        <f>(Таблица1[Срок с последнего нарушения кредитного договора (мес,)]-$AA$12)/($AA$13-$AA$12)</f>
        <v>0.40074137090909095</v>
      </c>
      <c r="U277" s="3">
        <f>(Таблица1[Количество кредитных карт]-$AA$18)/($AA$19-$AA$18)</f>
        <v>0.45238095238095238</v>
      </c>
      <c r="V277" s="3">
        <f>(Таблица1[Число нарушений кредитных договоров]-$AA$23)/($AA$24-$AA$23)</f>
        <v>0</v>
      </c>
      <c r="W277" s="3">
        <f>Таблица1[[#This Row],[Годовой доход]]/12</f>
        <v>121227.91666666667</v>
      </c>
      <c r="X277" s="3">
        <f>Таблица1[[#This Row],[Ежемесячный платеж]]/Таблица1[[#This Row],[Ежем доход]]</f>
        <v>0.32399921635211909</v>
      </c>
      <c r="Y277" s="3"/>
      <c r="Z277" s="3"/>
      <c r="AA277" s="3"/>
      <c r="AB277" s="3"/>
    </row>
    <row r="278" spans="1:28" x14ac:dyDescent="0.2">
      <c r="A278">
        <v>238</v>
      </c>
      <c r="B278" t="s">
        <v>280</v>
      </c>
      <c r="C278" t="s">
        <v>18</v>
      </c>
      <c r="D278" t="s">
        <v>19</v>
      </c>
      <c r="E278" t="s">
        <v>24</v>
      </c>
      <c r="F278" t="s">
        <v>21</v>
      </c>
      <c r="G278" t="s">
        <v>25</v>
      </c>
      <c r="H278" s="1">
        <v>732028</v>
      </c>
      <c r="I278" s="3">
        <v>737</v>
      </c>
      <c r="J278" s="3">
        <v>1724193</v>
      </c>
      <c r="K278" s="3">
        <v>32041.22</v>
      </c>
      <c r="L278" s="2">
        <v>18.5</v>
      </c>
      <c r="M278" s="11">
        <v>21</v>
      </c>
      <c r="N278" s="3">
        <v>14</v>
      </c>
      <c r="O278" s="3">
        <v>628425</v>
      </c>
      <c r="P278" s="3">
        <v>1017698</v>
      </c>
      <c r="Q278" s="10">
        <v>0</v>
      </c>
      <c r="R278" s="3">
        <f>(Таблица1[Размер кредита]-$AA$2)/$AA$3</f>
        <v>2.4050324392624378</v>
      </c>
      <c r="S278" s="3">
        <f>(Таблица1[Кредитный рейтинг]-$AA$7)/($AA$8-$AA$7)</f>
        <v>0.98135818908122507</v>
      </c>
      <c r="T278" s="3">
        <f>(Таблица1[Срок с последнего нарушения кредитного договора (мес,)]-$AA$12)/($AA$13-$AA$12)</f>
        <v>0.23863636363636365</v>
      </c>
      <c r="U278" s="3">
        <f>(Таблица1[Количество кредитных карт]-$AA$18)/($AA$19-$AA$18)</f>
        <v>0.30952380952380953</v>
      </c>
      <c r="V278" s="3">
        <f>(Таблица1[Число нарушений кредитных договоров]-$AA$23)/($AA$24-$AA$23)</f>
        <v>0</v>
      </c>
      <c r="W278" s="3">
        <f>Таблица1[[#This Row],[Годовой доход]]/12</f>
        <v>143682.75</v>
      </c>
      <c r="X278" s="3">
        <f>Таблица1[[#This Row],[Ежемесячный платеж]]/Таблица1[[#This Row],[Ежем доход]]</f>
        <v>0.22299976858739132</v>
      </c>
      <c r="Y278" s="3"/>
      <c r="Z278" s="3"/>
      <c r="AA278" s="3"/>
      <c r="AB278" s="3"/>
    </row>
    <row r="279" spans="1:28" x14ac:dyDescent="0.2">
      <c r="A279">
        <v>1399</v>
      </c>
      <c r="B279" t="s">
        <v>1438</v>
      </c>
      <c r="C279" t="s">
        <v>18</v>
      </c>
      <c r="D279" t="s">
        <v>19</v>
      </c>
      <c r="E279" t="s">
        <v>24</v>
      </c>
      <c r="F279" t="s">
        <v>33</v>
      </c>
      <c r="G279" t="s">
        <v>25</v>
      </c>
      <c r="H279" s="1">
        <v>444444</v>
      </c>
      <c r="I279" s="3">
        <v>704</v>
      </c>
      <c r="J279" s="3">
        <v>1458592</v>
      </c>
      <c r="K279" s="3">
        <v>25768.37</v>
      </c>
      <c r="L279" s="2">
        <v>22.5</v>
      </c>
      <c r="M279" s="11">
        <v>35.265240640000002</v>
      </c>
      <c r="N279" s="3">
        <v>24</v>
      </c>
      <c r="O279" s="3">
        <v>616113</v>
      </c>
      <c r="P279" s="3">
        <v>1017698</v>
      </c>
      <c r="Q279" s="10">
        <v>0</v>
      </c>
      <c r="R279" s="3">
        <f>(Таблица1[Размер кредита]-$AA$2)/$AA$3</f>
        <v>0.76773594407780932</v>
      </c>
      <c r="S279" s="3">
        <f>(Таблица1[Кредитный рейтинг]-$AA$7)/($AA$8-$AA$7)</f>
        <v>0.93741677762982689</v>
      </c>
      <c r="T279" s="3">
        <f>(Таблица1[Срок с последнего нарушения кредитного договора (мес,)]-$AA$12)/($AA$13-$AA$12)</f>
        <v>0.40074137090909095</v>
      </c>
      <c r="U279" s="3">
        <f>(Таблица1[Количество кредитных карт]-$AA$18)/($AA$19-$AA$18)</f>
        <v>0.54761904761904767</v>
      </c>
      <c r="V279" s="3">
        <f>(Таблица1[Число нарушений кредитных договоров]-$AA$23)/($AA$24-$AA$23)</f>
        <v>0</v>
      </c>
      <c r="W279" s="3">
        <f>Таблица1[[#This Row],[Годовой доход]]/12</f>
        <v>121549.33333333333</v>
      </c>
      <c r="X279" s="3">
        <f>Таблица1[[#This Row],[Ежемесячный платеж]]/Таблица1[[#This Row],[Ежем доход]]</f>
        <v>0.21199927052938725</v>
      </c>
      <c r="Y279" s="3"/>
      <c r="Z279" s="3"/>
      <c r="AA279" s="3"/>
      <c r="AB279" s="3"/>
    </row>
    <row r="280" spans="1:28" x14ac:dyDescent="0.2">
      <c r="A280">
        <v>1790</v>
      </c>
      <c r="B280" t="s">
        <v>1828</v>
      </c>
      <c r="C280" t="s">
        <v>18</v>
      </c>
      <c r="D280" t="s">
        <v>19</v>
      </c>
      <c r="E280" t="s">
        <v>24</v>
      </c>
      <c r="F280" t="s">
        <v>27</v>
      </c>
      <c r="G280" t="s">
        <v>25</v>
      </c>
      <c r="H280" s="1">
        <v>720126</v>
      </c>
      <c r="I280" s="3">
        <v>676</v>
      </c>
      <c r="J280" s="3">
        <v>1920919</v>
      </c>
      <c r="K280" s="3">
        <v>31855.21</v>
      </c>
      <c r="L280" s="2">
        <v>24.3</v>
      </c>
      <c r="M280" s="11">
        <v>5</v>
      </c>
      <c r="N280" s="3">
        <v>25</v>
      </c>
      <c r="O280" s="3">
        <v>554401</v>
      </c>
      <c r="P280" s="3">
        <v>1017346</v>
      </c>
      <c r="Q280" s="10">
        <v>0</v>
      </c>
      <c r="R280" s="3">
        <f>(Таблица1[Размер кредита]-$AA$2)/$AA$3</f>
        <v>2.3372710099559137</v>
      </c>
      <c r="S280" s="3">
        <f>(Таблица1[Кредитный рейтинг]-$AA$7)/($AA$8-$AA$7)</f>
        <v>0.90013315579227693</v>
      </c>
      <c r="T280" s="3">
        <f>(Таблица1[Срок с последнего нарушения кредитного договора (мес,)]-$AA$12)/($AA$13-$AA$12)</f>
        <v>5.6818181818181816E-2</v>
      </c>
      <c r="U280" s="3">
        <f>(Таблица1[Количество кредитных карт]-$AA$18)/($AA$19-$AA$18)</f>
        <v>0.5714285714285714</v>
      </c>
      <c r="V280" s="3">
        <f>(Таблица1[Число нарушений кредитных договоров]-$AA$23)/($AA$24-$AA$23)</f>
        <v>0</v>
      </c>
      <c r="W280" s="3">
        <f>Таблица1[[#This Row],[Годовой доход]]/12</f>
        <v>160076.58333333334</v>
      </c>
      <c r="X280" s="3">
        <f>Таблица1[[#This Row],[Ежемесячный платеж]]/Таблица1[[#This Row],[Ежем доход]]</f>
        <v>0.19899981206911899</v>
      </c>
      <c r="Y280" s="3"/>
      <c r="Z280" s="3"/>
      <c r="AA280" s="3"/>
      <c r="AB280" s="3"/>
    </row>
    <row r="281" spans="1:28" x14ac:dyDescent="0.2">
      <c r="A281">
        <v>1977</v>
      </c>
      <c r="B281" t="s">
        <v>2013</v>
      </c>
      <c r="C281" t="s">
        <v>18</v>
      </c>
      <c r="D281" t="s">
        <v>29</v>
      </c>
      <c r="E281" t="s">
        <v>41</v>
      </c>
      <c r="F281" t="s">
        <v>21</v>
      </c>
      <c r="G281" t="s">
        <v>25</v>
      </c>
      <c r="H281" s="1">
        <v>505252</v>
      </c>
      <c r="I281" s="3">
        <v>725</v>
      </c>
      <c r="J281" s="3">
        <v>975555</v>
      </c>
      <c r="K281" s="3">
        <v>18291.68</v>
      </c>
      <c r="L281" s="2">
        <v>13.6</v>
      </c>
      <c r="M281" s="11">
        <v>35.265240640000002</v>
      </c>
      <c r="N281" s="3">
        <v>17</v>
      </c>
      <c r="O281" s="3">
        <v>275785</v>
      </c>
      <c r="P281" s="3">
        <v>1013760</v>
      </c>
      <c r="Q281" s="10">
        <v>0</v>
      </c>
      <c r="R281" s="3">
        <f>(Таблица1[Размер кредита]-$AA$2)/$AA$3</f>
        <v>1.1139329692224171</v>
      </c>
      <c r="S281" s="3">
        <f>(Таблица1[Кредитный рейтинг]-$AA$7)/($AA$8-$AA$7)</f>
        <v>0.96537949400798939</v>
      </c>
      <c r="T281" s="3">
        <f>(Таблица1[Срок с последнего нарушения кредитного договора (мес,)]-$AA$12)/($AA$13-$AA$12)</f>
        <v>0.40074137090909095</v>
      </c>
      <c r="U281" s="3">
        <f>(Таблица1[Количество кредитных карт]-$AA$18)/($AA$19-$AA$18)</f>
        <v>0.38095238095238093</v>
      </c>
      <c r="V281" s="3">
        <f>(Таблица1[Число нарушений кредитных договоров]-$AA$23)/($AA$24-$AA$23)</f>
        <v>0</v>
      </c>
      <c r="W281" s="3">
        <f>Таблица1[[#This Row],[Годовой доход]]/12</f>
        <v>81296.25</v>
      </c>
      <c r="X281" s="3">
        <f>Таблица1[[#This Row],[Ежемесячный платеж]]/Таблица1[[#This Row],[Ежем доход]]</f>
        <v>0.22500029214139644</v>
      </c>
      <c r="Y281" s="3"/>
      <c r="Z281" s="3"/>
      <c r="AA281" s="3"/>
      <c r="AB281" s="3"/>
    </row>
    <row r="282" spans="1:28" x14ac:dyDescent="0.2">
      <c r="A282">
        <v>1461</v>
      </c>
      <c r="B282" t="s">
        <v>1500</v>
      </c>
      <c r="C282" t="s">
        <v>18</v>
      </c>
      <c r="D282" t="s">
        <v>19</v>
      </c>
      <c r="E282" t="s">
        <v>24</v>
      </c>
      <c r="F282" t="s">
        <v>21</v>
      </c>
      <c r="G282" t="s">
        <v>67</v>
      </c>
      <c r="H282" s="1">
        <v>118030</v>
      </c>
      <c r="I282" s="3">
        <v>0</v>
      </c>
      <c r="J282" s="3">
        <v>1168044</v>
      </c>
      <c r="K282" s="3">
        <v>4366.01</v>
      </c>
      <c r="L282" s="2">
        <v>17.7</v>
      </c>
      <c r="M282" s="11">
        <v>35.265240640000002</v>
      </c>
      <c r="N282" s="3">
        <v>10</v>
      </c>
      <c r="O282" s="3">
        <v>229007</v>
      </c>
      <c r="P282" s="3">
        <v>1012132</v>
      </c>
      <c r="Q282" s="10">
        <v>0</v>
      </c>
      <c r="R282" s="3">
        <f>(Таблица1[Размер кредита]-$AA$2)/$AA$3</f>
        <v>-1.090630648567106</v>
      </c>
      <c r="S282" s="3">
        <f>(Таблица1[Кредитный рейтинг]-$AA$7)/($AA$8-$AA$7)</f>
        <v>0</v>
      </c>
      <c r="T282" s="3">
        <f>(Таблица1[Срок с последнего нарушения кредитного договора (мес,)]-$AA$12)/($AA$13-$AA$12)</f>
        <v>0.40074137090909095</v>
      </c>
      <c r="U282" s="3">
        <f>(Таблица1[Количество кредитных карт]-$AA$18)/($AA$19-$AA$18)</f>
        <v>0.21428571428571427</v>
      </c>
      <c r="V282" s="3">
        <f>(Таблица1[Число нарушений кредитных договоров]-$AA$23)/($AA$24-$AA$23)</f>
        <v>0</v>
      </c>
      <c r="W282" s="3">
        <f>Таблица1[[#This Row],[Годовой доход]]/12</f>
        <v>97337</v>
      </c>
      <c r="X282" s="3">
        <f>Таблица1[[#This Row],[Ежемесячный платеж]]/Таблица1[[#This Row],[Ежем доход]]</f>
        <v>4.4854577396056999E-2</v>
      </c>
      <c r="Y282" s="3"/>
      <c r="Z282" s="3"/>
      <c r="AA282" s="3"/>
      <c r="AB282" s="3"/>
    </row>
    <row r="283" spans="1:28" x14ac:dyDescent="0.2">
      <c r="A283">
        <v>559</v>
      </c>
      <c r="B283" t="s">
        <v>600</v>
      </c>
      <c r="C283" t="s">
        <v>35</v>
      </c>
      <c r="D283" t="s">
        <v>19</v>
      </c>
      <c r="E283" t="s">
        <v>24</v>
      </c>
      <c r="F283" t="s">
        <v>27</v>
      </c>
      <c r="G283" t="s">
        <v>25</v>
      </c>
      <c r="H283" s="1">
        <v>337436</v>
      </c>
      <c r="I283" s="3">
        <v>730</v>
      </c>
      <c r="J283" s="3">
        <v>687971</v>
      </c>
      <c r="K283" s="3">
        <v>12326.06</v>
      </c>
      <c r="L283" s="2">
        <v>17.899999999999999</v>
      </c>
      <c r="M283" s="11">
        <v>14</v>
      </c>
      <c r="N283" s="3">
        <v>13</v>
      </c>
      <c r="O283" s="3">
        <v>385890</v>
      </c>
      <c r="P283" s="3">
        <v>1008612</v>
      </c>
      <c r="Q283" s="10">
        <v>0</v>
      </c>
      <c r="R283" s="3">
        <f>(Таблица1[Размер кредита]-$AA$2)/$AA$3</f>
        <v>0.15850934121841262</v>
      </c>
      <c r="S283" s="3">
        <f>(Таблица1[Кредитный рейтинг]-$AA$7)/($AA$8-$AA$7)</f>
        <v>0.9720372836218375</v>
      </c>
      <c r="T283" s="3">
        <f>(Таблица1[Срок с последнего нарушения кредитного договора (мес,)]-$AA$12)/($AA$13-$AA$12)</f>
        <v>0.15909090909090909</v>
      </c>
      <c r="U283" s="3">
        <f>(Таблица1[Количество кредитных карт]-$AA$18)/($AA$19-$AA$18)</f>
        <v>0.2857142857142857</v>
      </c>
      <c r="V283" s="3">
        <f>(Таблица1[Число нарушений кредитных договоров]-$AA$23)/($AA$24-$AA$23)</f>
        <v>0</v>
      </c>
      <c r="W283" s="3">
        <f>Таблица1[[#This Row],[Годовой доход]]/12</f>
        <v>57330.916666666664</v>
      </c>
      <c r="X283" s="3">
        <f>Таблица1[[#This Row],[Ежемесячный платеж]]/Таблица1[[#This Row],[Ежем доход]]</f>
        <v>0.21499848104062527</v>
      </c>
      <c r="Y283" s="3"/>
      <c r="Z283" s="3"/>
      <c r="AA283" s="3"/>
      <c r="AB283" s="3"/>
    </row>
    <row r="284" spans="1:28" x14ac:dyDescent="0.2">
      <c r="A284">
        <v>1355</v>
      </c>
      <c r="B284" t="s">
        <v>1394</v>
      </c>
      <c r="C284" t="s">
        <v>18</v>
      </c>
      <c r="D284" t="s">
        <v>19</v>
      </c>
      <c r="E284" t="s">
        <v>24</v>
      </c>
      <c r="F284" t="s">
        <v>33</v>
      </c>
      <c r="G284" t="s">
        <v>25</v>
      </c>
      <c r="H284" s="1">
        <v>398222</v>
      </c>
      <c r="I284" s="3">
        <v>719</v>
      </c>
      <c r="J284" s="3">
        <v>1108175</v>
      </c>
      <c r="K284" s="3">
        <v>22440.52</v>
      </c>
      <c r="L284" s="2">
        <v>31</v>
      </c>
      <c r="M284" s="11">
        <v>22</v>
      </c>
      <c r="N284" s="3">
        <v>20</v>
      </c>
      <c r="O284" s="3">
        <v>478154</v>
      </c>
      <c r="P284" s="3">
        <v>1006654</v>
      </c>
      <c r="Q284" s="10">
        <v>0</v>
      </c>
      <c r="R284" s="3">
        <f>(Таблица1[Размер кредита]-$AA$2)/$AA$3</f>
        <v>0.50458111418315621</v>
      </c>
      <c r="S284" s="3">
        <f>(Таблица1[Кредитный рейтинг]-$AA$7)/($AA$8-$AA$7)</f>
        <v>0.95739014647137155</v>
      </c>
      <c r="T284" s="3">
        <f>(Таблица1[Срок с последнего нарушения кредитного договора (мес,)]-$AA$12)/($AA$13-$AA$12)</f>
        <v>0.25</v>
      </c>
      <c r="U284" s="3">
        <f>(Таблица1[Количество кредитных карт]-$AA$18)/($AA$19-$AA$18)</f>
        <v>0.45238095238095238</v>
      </c>
      <c r="V284" s="3">
        <f>(Таблица1[Число нарушений кредитных договоров]-$AA$23)/($AA$24-$AA$23)</f>
        <v>0</v>
      </c>
      <c r="W284" s="3">
        <f>Таблица1[[#This Row],[Годовой доход]]/12</f>
        <v>92347.916666666672</v>
      </c>
      <c r="X284" s="3">
        <f>Таблица1[[#This Row],[Ежемесячный платеж]]/Таблица1[[#This Row],[Ежем доход]]</f>
        <v>0.2429997428204029</v>
      </c>
      <c r="Y284" s="3"/>
      <c r="Z284" s="3"/>
      <c r="AA284" s="3"/>
      <c r="AB284" s="3"/>
    </row>
    <row r="285" spans="1:28" x14ac:dyDescent="0.2">
      <c r="A285">
        <v>1012</v>
      </c>
      <c r="B285" t="s">
        <v>1051</v>
      </c>
      <c r="C285" t="s">
        <v>18</v>
      </c>
      <c r="D285" t="s">
        <v>19</v>
      </c>
      <c r="E285" t="s">
        <v>30</v>
      </c>
      <c r="F285" t="s">
        <v>21</v>
      </c>
      <c r="G285" t="s">
        <v>25</v>
      </c>
      <c r="H285" s="1">
        <v>309594.52439999999</v>
      </c>
      <c r="I285" s="3">
        <v>743</v>
      </c>
      <c r="J285" s="3">
        <v>774060</v>
      </c>
      <c r="K285" s="3">
        <v>17093.73</v>
      </c>
      <c r="L285" s="2">
        <v>16.7</v>
      </c>
      <c r="M285" s="11">
        <v>35.265240640000002</v>
      </c>
      <c r="N285" s="3">
        <v>12</v>
      </c>
      <c r="O285" s="3">
        <v>486647</v>
      </c>
      <c r="P285" s="3">
        <v>1006236</v>
      </c>
      <c r="Q285" s="10">
        <v>0</v>
      </c>
      <c r="R285" s="3">
        <f>(Таблица1[Размер кредита]-$AA$2)/$AA$3</f>
        <v>-1.2411115481956205E-10</v>
      </c>
      <c r="S285" s="3">
        <f>(Таблица1[Кредитный рейтинг]-$AA$7)/($AA$8-$AA$7)</f>
        <v>0.98934753661784292</v>
      </c>
      <c r="T285" s="3">
        <f>(Таблица1[Срок с последнего нарушения кредитного договора (мес,)]-$AA$12)/($AA$13-$AA$12)</f>
        <v>0.40074137090909095</v>
      </c>
      <c r="U285" s="3">
        <f>(Таблица1[Количество кредитных карт]-$AA$18)/($AA$19-$AA$18)</f>
        <v>0.26190476190476192</v>
      </c>
      <c r="V285" s="3">
        <f>(Таблица1[Число нарушений кредитных договоров]-$AA$23)/($AA$24-$AA$23)</f>
        <v>0</v>
      </c>
      <c r="W285" s="3">
        <f>Таблица1[[#This Row],[Годовой доход]]/12</f>
        <v>64505</v>
      </c>
      <c r="X285" s="3">
        <f>Таблица1[[#This Row],[Ежемесячный платеж]]/Таблица1[[#This Row],[Ежем доход]]</f>
        <v>0.26499852724594991</v>
      </c>
      <c r="Y285" s="3"/>
      <c r="Z285" s="3"/>
      <c r="AA285" s="3"/>
      <c r="AB285" s="3"/>
    </row>
    <row r="286" spans="1:28" x14ac:dyDescent="0.2">
      <c r="A286">
        <v>674</v>
      </c>
      <c r="B286" t="s">
        <v>715</v>
      </c>
      <c r="C286" t="s">
        <v>35</v>
      </c>
      <c r="D286" t="s">
        <v>19</v>
      </c>
      <c r="E286" t="s">
        <v>24</v>
      </c>
      <c r="F286" t="s">
        <v>21</v>
      </c>
      <c r="G286" t="s">
        <v>67</v>
      </c>
      <c r="H286" s="1">
        <v>221496</v>
      </c>
      <c r="I286" s="3">
        <v>728</v>
      </c>
      <c r="J286" s="3">
        <v>956460</v>
      </c>
      <c r="K286" s="3">
        <v>12354.18</v>
      </c>
      <c r="L286" s="2">
        <v>14.8</v>
      </c>
      <c r="M286" s="11">
        <v>35.265240640000002</v>
      </c>
      <c r="N286" s="3">
        <v>19</v>
      </c>
      <c r="O286" s="3">
        <v>377739</v>
      </c>
      <c r="P286" s="3">
        <v>1003178</v>
      </c>
      <c r="Q286" s="10">
        <v>0</v>
      </c>
      <c r="R286" s="3">
        <f>(Таблица1[Размер кредита]-$AA$2)/$AA$3</f>
        <v>-0.50156964666584314</v>
      </c>
      <c r="S286" s="3">
        <f>(Таблица1[Кредитный рейтинг]-$AA$7)/($AA$8-$AA$7)</f>
        <v>0.96937416777629826</v>
      </c>
      <c r="T286" s="3">
        <f>(Таблица1[Срок с последнего нарушения кредитного договора (мес,)]-$AA$12)/($AA$13-$AA$12)</f>
        <v>0.40074137090909095</v>
      </c>
      <c r="U286" s="3">
        <f>(Таблица1[Количество кредитных карт]-$AA$18)/($AA$19-$AA$18)</f>
        <v>0.42857142857142855</v>
      </c>
      <c r="V286" s="3">
        <f>(Таблица1[Число нарушений кредитных договоров]-$AA$23)/($AA$24-$AA$23)</f>
        <v>0</v>
      </c>
      <c r="W286" s="3">
        <f>Таблица1[[#This Row],[Годовой доход]]/12</f>
        <v>79705</v>
      </c>
      <c r="X286" s="3">
        <f>Таблица1[[#This Row],[Ежемесячный платеж]]/Таблица1[[#This Row],[Ежем доход]]</f>
        <v>0.15499880810488678</v>
      </c>
      <c r="Y286" s="3"/>
      <c r="Z286" s="3"/>
      <c r="AA286" s="3"/>
      <c r="AB286" s="3"/>
    </row>
    <row r="287" spans="1:28" x14ac:dyDescent="0.2">
      <c r="A287">
        <v>923</v>
      </c>
      <c r="B287" t="s">
        <v>964</v>
      </c>
      <c r="C287" t="s">
        <v>18</v>
      </c>
      <c r="D287" t="s">
        <v>19</v>
      </c>
      <c r="E287" t="s">
        <v>24</v>
      </c>
      <c r="F287" t="s">
        <v>21</v>
      </c>
      <c r="G287" t="s">
        <v>22</v>
      </c>
      <c r="H287" s="1">
        <v>594000</v>
      </c>
      <c r="I287" s="3">
        <v>685</v>
      </c>
      <c r="J287" s="3">
        <v>1069966</v>
      </c>
      <c r="K287" s="3">
        <v>14979.41</v>
      </c>
      <c r="L287" s="2">
        <v>8.5</v>
      </c>
      <c r="M287" s="11">
        <v>35.265240640000002</v>
      </c>
      <c r="N287" s="3">
        <v>10</v>
      </c>
      <c r="O287" s="3">
        <v>360848</v>
      </c>
      <c r="P287" s="3">
        <v>1001968</v>
      </c>
      <c r="Q287" s="10">
        <v>0</v>
      </c>
      <c r="R287" s="3">
        <f>(Таблица1[Размер кредита]-$AA$2)/$AA$3</f>
        <v>1.6192002627945401</v>
      </c>
      <c r="S287" s="3">
        <f>(Таблица1[Кредитный рейтинг]-$AA$7)/($AA$8-$AA$7)</f>
        <v>0.91211717709720375</v>
      </c>
      <c r="T287" s="3">
        <f>(Таблица1[Срок с последнего нарушения кредитного договора (мес,)]-$AA$12)/($AA$13-$AA$12)</f>
        <v>0.40074137090909095</v>
      </c>
      <c r="U287" s="3">
        <f>(Таблица1[Количество кредитных карт]-$AA$18)/($AA$19-$AA$18)</f>
        <v>0.21428571428571427</v>
      </c>
      <c r="V287" s="3">
        <f>(Таблица1[Число нарушений кредитных договоров]-$AA$23)/($AA$24-$AA$23)</f>
        <v>0</v>
      </c>
      <c r="W287" s="3">
        <f>Таблица1[[#This Row],[Годовой доход]]/12</f>
        <v>89163.833333333328</v>
      </c>
      <c r="X287" s="3">
        <f>Таблица1[[#This Row],[Ежемесячный платеж]]/Таблица1[[#This Row],[Ежем доход]]</f>
        <v>0.16799872145470043</v>
      </c>
      <c r="Y287" s="3"/>
      <c r="Z287" s="3"/>
      <c r="AA287" s="3"/>
      <c r="AB287" s="3"/>
    </row>
    <row r="288" spans="1:28" x14ac:dyDescent="0.2">
      <c r="A288">
        <v>1652</v>
      </c>
      <c r="B288" t="s">
        <v>1690</v>
      </c>
      <c r="C288" t="s">
        <v>18</v>
      </c>
      <c r="D288" t="s">
        <v>19</v>
      </c>
      <c r="E288" t="s">
        <v>63</v>
      </c>
      <c r="F288" t="s">
        <v>27</v>
      </c>
      <c r="G288" t="s">
        <v>25</v>
      </c>
      <c r="H288" s="1">
        <v>433928</v>
      </c>
      <c r="I288" s="3">
        <v>747</v>
      </c>
      <c r="J288" s="3">
        <v>1030579</v>
      </c>
      <c r="K288" s="3">
        <v>13740.99</v>
      </c>
      <c r="L288" s="2">
        <v>20</v>
      </c>
      <c r="M288" s="11">
        <v>35.265240640000002</v>
      </c>
      <c r="N288" s="3">
        <v>7</v>
      </c>
      <c r="O288" s="3">
        <v>264708</v>
      </c>
      <c r="P288" s="3">
        <v>1001660</v>
      </c>
      <c r="Q288" s="10">
        <v>0</v>
      </c>
      <c r="R288" s="3">
        <f>(Таблица1[Размер кредита]-$AA$2)/$AA$3</f>
        <v>0.70786540210272875</v>
      </c>
      <c r="S288" s="3">
        <f>(Таблица1[Кредитный рейтинг]-$AA$7)/($AA$8-$AA$7)</f>
        <v>0.9946737683089214</v>
      </c>
      <c r="T288" s="3">
        <f>(Таблица1[Срок с последнего нарушения кредитного договора (мес,)]-$AA$12)/($AA$13-$AA$12)</f>
        <v>0.40074137090909095</v>
      </c>
      <c r="U288" s="3">
        <f>(Таблица1[Количество кредитных карт]-$AA$18)/($AA$19-$AA$18)</f>
        <v>0.14285714285714285</v>
      </c>
      <c r="V288" s="3">
        <f>(Таблица1[Число нарушений кредитных договоров]-$AA$23)/($AA$24-$AA$23)</f>
        <v>0</v>
      </c>
      <c r="W288" s="3">
        <f>Таблица1[[#This Row],[Годовой доход]]/12</f>
        <v>85881.583333333328</v>
      </c>
      <c r="X288" s="3">
        <f>Таблица1[[#This Row],[Ежемесячный платеж]]/Таблица1[[#This Row],[Ежем доход]]</f>
        <v>0.1599992625504692</v>
      </c>
      <c r="Y288" s="3"/>
      <c r="Z288" s="3"/>
      <c r="AA288" s="3"/>
      <c r="AB288" s="3"/>
    </row>
    <row r="289" spans="1:28" x14ac:dyDescent="0.2">
      <c r="A289">
        <v>1100</v>
      </c>
      <c r="B289" t="s">
        <v>1139</v>
      </c>
      <c r="C289" t="s">
        <v>18</v>
      </c>
      <c r="D289" t="s">
        <v>19</v>
      </c>
      <c r="E289" t="s">
        <v>41</v>
      </c>
      <c r="F289" t="s">
        <v>21</v>
      </c>
      <c r="G289" t="s">
        <v>67</v>
      </c>
      <c r="H289" s="1">
        <v>52932</v>
      </c>
      <c r="I289" s="3">
        <v>704</v>
      </c>
      <c r="J289" s="3">
        <v>2247377</v>
      </c>
      <c r="K289" s="3">
        <v>54124.35</v>
      </c>
      <c r="L289" s="2">
        <v>21.1</v>
      </c>
      <c r="M289" s="11">
        <v>45</v>
      </c>
      <c r="N289" s="3">
        <v>17</v>
      </c>
      <c r="O289" s="3">
        <v>684019</v>
      </c>
      <c r="P289" s="3">
        <v>1001308</v>
      </c>
      <c r="Q289" s="10">
        <v>0</v>
      </c>
      <c r="R289" s="3">
        <f>(Таблица1[Размер кредита]-$AA$2)/$AA$3</f>
        <v>-1.46125184878523</v>
      </c>
      <c r="S289" s="3">
        <f>(Таблица1[Кредитный рейтинг]-$AA$7)/($AA$8-$AA$7)</f>
        <v>0.93741677762982689</v>
      </c>
      <c r="T289" s="3">
        <f>(Таблица1[Срок с последнего нарушения кредитного договора (мес,)]-$AA$12)/($AA$13-$AA$12)</f>
        <v>0.51136363636363635</v>
      </c>
      <c r="U289" s="3">
        <f>(Таблица1[Количество кредитных карт]-$AA$18)/($AA$19-$AA$18)</f>
        <v>0.38095238095238093</v>
      </c>
      <c r="V289" s="3">
        <f>(Таблица1[Число нарушений кредитных договоров]-$AA$23)/($AA$24-$AA$23)</f>
        <v>0</v>
      </c>
      <c r="W289" s="3">
        <f>Таблица1[[#This Row],[Годовой доход]]/12</f>
        <v>187281.41666666666</v>
      </c>
      <c r="X289" s="3">
        <f>Таблица1[[#This Row],[Ежемесячный платеж]]/Таблица1[[#This Row],[Ежем доход]]</f>
        <v>0.28900010990590363</v>
      </c>
      <c r="Y289" s="3"/>
      <c r="Z289" s="3"/>
      <c r="AA289" s="3"/>
      <c r="AB289" s="3"/>
    </row>
    <row r="290" spans="1:28" x14ac:dyDescent="0.2">
      <c r="A290">
        <v>711</v>
      </c>
      <c r="B290" t="s">
        <v>752</v>
      </c>
      <c r="C290" t="s">
        <v>18</v>
      </c>
      <c r="D290" t="s">
        <v>19</v>
      </c>
      <c r="E290" t="s">
        <v>24</v>
      </c>
      <c r="F290" t="s">
        <v>21</v>
      </c>
      <c r="G290" t="s">
        <v>25</v>
      </c>
      <c r="H290" s="1">
        <v>309594.52439999999</v>
      </c>
      <c r="I290" s="3">
        <v>738</v>
      </c>
      <c r="J290" s="3">
        <v>1981529</v>
      </c>
      <c r="K290" s="3">
        <v>37649.07</v>
      </c>
      <c r="L290" s="2">
        <v>32.6</v>
      </c>
      <c r="M290" s="11">
        <v>27</v>
      </c>
      <c r="N290" s="3">
        <v>19</v>
      </c>
      <c r="O290" s="3">
        <v>452618</v>
      </c>
      <c r="P290" s="3">
        <v>1000142</v>
      </c>
      <c r="Q290" s="10">
        <v>0</v>
      </c>
      <c r="R290" s="3">
        <f>(Таблица1[Размер кредита]-$AA$2)/$AA$3</f>
        <v>-1.2411115481956205E-10</v>
      </c>
      <c r="S290" s="3">
        <f>(Таблица1[Кредитный рейтинг]-$AA$7)/($AA$8-$AA$7)</f>
        <v>0.9826897470039947</v>
      </c>
      <c r="T290" s="3">
        <f>(Таблица1[Срок с последнего нарушения кредитного договора (мес,)]-$AA$12)/($AA$13-$AA$12)</f>
        <v>0.30681818181818182</v>
      </c>
      <c r="U290" s="3">
        <f>(Таблица1[Количество кредитных карт]-$AA$18)/($AA$19-$AA$18)</f>
        <v>0.42857142857142855</v>
      </c>
      <c r="V290" s="3">
        <f>(Таблица1[Число нарушений кредитных договоров]-$AA$23)/($AA$24-$AA$23)</f>
        <v>0</v>
      </c>
      <c r="W290" s="3">
        <f>Таблица1[[#This Row],[Годовой доход]]/12</f>
        <v>165127.41666666666</v>
      </c>
      <c r="X290" s="3">
        <f>Таблица1[[#This Row],[Ежемесячный платеж]]/Таблица1[[#This Row],[Ежем доход]]</f>
        <v>0.22800011506266121</v>
      </c>
      <c r="Y290" s="3"/>
      <c r="Z290" s="3"/>
      <c r="AA290" s="3"/>
      <c r="AB290" s="3"/>
    </row>
    <row r="291" spans="1:28" x14ac:dyDescent="0.2">
      <c r="A291">
        <v>36</v>
      </c>
      <c r="B291" t="s">
        <v>76</v>
      </c>
      <c r="C291" t="s">
        <v>18</v>
      </c>
      <c r="D291" t="s">
        <v>19</v>
      </c>
      <c r="E291" t="s">
        <v>32</v>
      </c>
      <c r="F291" t="s">
        <v>21</v>
      </c>
      <c r="G291" t="s">
        <v>25</v>
      </c>
      <c r="H291" s="1">
        <v>125796</v>
      </c>
      <c r="I291" s="3">
        <v>745</v>
      </c>
      <c r="J291" s="3">
        <v>1261068</v>
      </c>
      <c r="K291" s="3">
        <v>20597.330000000002</v>
      </c>
      <c r="L291" s="2">
        <v>24.5</v>
      </c>
      <c r="M291" s="11">
        <v>35.265240640000002</v>
      </c>
      <c r="N291" s="3">
        <v>13</v>
      </c>
      <c r="O291" s="3">
        <v>684817</v>
      </c>
      <c r="P291" s="3">
        <v>997414</v>
      </c>
      <c r="Q291" s="10">
        <v>0</v>
      </c>
      <c r="R291" s="3">
        <f>(Таблица1[Размер кредита]-$AA$2)/$AA$3</f>
        <v>-1.0464166290750487</v>
      </c>
      <c r="S291" s="3">
        <f>(Таблица1[Кредитный рейтинг]-$AA$7)/($AA$8-$AA$7)</f>
        <v>0.99201065246338216</v>
      </c>
      <c r="T291" s="3">
        <f>(Таблица1[Срок с последнего нарушения кредитного договора (мес,)]-$AA$12)/($AA$13-$AA$12)</f>
        <v>0.40074137090909095</v>
      </c>
      <c r="U291" s="3">
        <f>(Таблица1[Количество кредитных карт]-$AA$18)/($AA$19-$AA$18)</f>
        <v>0.2857142857142857</v>
      </c>
      <c r="V291" s="3">
        <f>(Таблица1[Число нарушений кредитных договоров]-$AA$23)/($AA$24-$AA$23)</f>
        <v>0</v>
      </c>
      <c r="W291" s="3">
        <f>Таблица1[[#This Row],[Годовой доход]]/12</f>
        <v>105089</v>
      </c>
      <c r="X291" s="3">
        <f>Таблица1[[#This Row],[Ежемесячный платеж]]/Таблица1[[#This Row],[Ежем доход]]</f>
        <v>0.19599891520520704</v>
      </c>
      <c r="Y291" s="3"/>
      <c r="Z291" s="3"/>
      <c r="AA291" s="3"/>
      <c r="AB291" s="3"/>
    </row>
    <row r="292" spans="1:28" x14ac:dyDescent="0.2">
      <c r="A292">
        <v>1413</v>
      </c>
      <c r="B292" t="s">
        <v>1452</v>
      </c>
      <c r="C292" t="s">
        <v>18</v>
      </c>
      <c r="D292" t="s">
        <v>19</v>
      </c>
      <c r="E292" t="s">
        <v>24</v>
      </c>
      <c r="F292" t="s">
        <v>21</v>
      </c>
      <c r="G292" t="s">
        <v>25</v>
      </c>
      <c r="H292" s="1">
        <v>428846</v>
      </c>
      <c r="I292" s="3">
        <v>703</v>
      </c>
      <c r="J292" s="3">
        <v>823042</v>
      </c>
      <c r="K292" s="3">
        <v>13854.61</v>
      </c>
      <c r="L292" s="2">
        <v>19.2</v>
      </c>
      <c r="M292" s="11">
        <v>50</v>
      </c>
      <c r="N292" s="3">
        <v>13</v>
      </c>
      <c r="O292" s="3">
        <v>487407</v>
      </c>
      <c r="P292" s="3">
        <v>990132</v>
      </c>
      <c r="Q292" s="10">
        <v>0</v>
      </c>
      <c r="R292" s="3">
        <f>(Таблица1[Размер кредита]-$AA$2)/$AA$3</f>
        <v>0.678932148554102</v>
      </c>
      <c r="S292" s="3">
        <f>(Таблица1[Кредитный рейтинг]-$AA$7)/($AA$8-$AA$7)</f>
        <v>0.93608521970705727</v>
      </c>
      <c r="T292" s="3">
        <f>(Таблица1[Срок с последнего нарушения кредитного договора (мес,)]-$AA$12)/($AA$13-$AA$12)</f>
        <v>0.56818181818181823</v>
      </c>
      <c r="U292" s="3">
        <f>(Таблица1[Количество кредитных карт]-$AA$18)/($AA$19-$AA$18)</f>
        <v>0.2857142857142857</v>
      </c>
      <c r="V292" s="3">
        <f>(Таблица1[Число нарушений кредитных договоров]-$AA$23)/($AA$24-$AA$23)</f>
        <v>0</v>
      </c>
      <c r="W292" s="3">
        <f>Таблица1[[#This Row],[Годовой доход]]/12</f>
        <v>68586.833333333328</v>
      </c>
      <c r="X292" s="3">
        <f>Таблица1[[#This Row],[Ежемесячный платеж]]/Таблица1[[#This Row],[Ежем доход]]</f>
        <v>0.20200101574403254</v>
      </c>
      <c r="Y292" s="3"/>
      <c r="Z292" s="3"/>
      <c r="AA292" s="3"/>
      <c r="AB292" s="3"/>
    </row>
    <row r="293" spans="1:28" x14ac:dyDescent="0.2">
      <c r="A293">
        <v>887</v>
      </c>
      <c r="B293" t="s">
        <v>928</v>
      </c>
      <c r="C293" t="s">
        <v>18</v>
      </c>
      <c r="D293" t="s">
        <v>19</v>
      </c>
      <c r="E293" t="s">
        <v>24</v>
      </c>
      <c r="F293" t="s">
        <v>21</v>
      </c>
      <c r="G293" t="s">
        <v>75</v>
      </c>
      <c r="H293" s="1">
        <v>129184</v>
      </c>
      <c r="I293" s="3">
        <v>751</v>
      </c>
      <c r="J293" s="3">
        <v>1001186</v>
      </c>
      <c r="K293" s="3">
        <v>12097.68</v>
      </c>
      <c r="L293" s="2">
        <v>24.9</v>
      </c>
      <c r="M293" s="11">
        <v>35.265240640000002</v>
      </c>
      <c r="N293" s="3">
        <v>4</v>
      </c>
      <c r="O293" s="3">
        <v>386289</v>
      </c>
      <c r="P293" s="3">
        <v>989560</v>
      </c>
      <c r="Q293" s="10">
        <v>0</v>
      </c>
      <c r="R293" s="3">
        <f>(Таблица1[Размер кредита]-$AA$2)/$AA$3</f>
        <v>-1.0271277933759642</v>
      </c>
      <c r="S293" s="3">
        <f>(Таблица1[Кредитный рейтинг]-$AA$7)/($AA$8-$AA$7)</f>
        <v>1</v>
      </c>
      <c r="T293" s="3">
        <f>(Таблица1[Срок с последнего нарушения кредитного договора (мес,)]-$AA$12)/($AA$13-$AA$12)</f>
        <v>0.40074137090909095</v>
      </c>
      <c r="U293" s="3">
        <f>(Таблица1[Количество кредитных карт]-$AA$18)/($AA$19-$AA$18)</f>
        <v>7.1428571428571425E-2</v>
      </c>
      <c r="V293" s="3">
        <f>(Таблица1[Число нарушений кредитных договоров]-$AA$23)/($AA$24-$AA$23)</f>
        <v>0</v>
      </c>
      <c r="W293" s="3">
        <f>Таблица1[[#This Row],[Годовой доход]]/12</f>
        <v>83432.166666666672</v>
      </c>
      <c r="X293" s="3">
        <f>Таблица1[[#This Row],[Ежемесячный платеж]]/Таблица1[[#This Row],[Ежем доход]]</f>
        <v>0.14500018977492693</v>
      </c>
      <c r="Y293" s="3"/>
      <c r="Z293" s="3"/>
      <c r="AA293" s="3"/>
      <c r="AB293" s="3"/>
    </row>
    <row r="294" spans="1:28" x14ac:dyDescent="0.2">
      <c r="A294">
        <v>1540</v>
      </c>
      <c r="B294" t="s">
        <v>1579</v>
      </c>
      <c r="C294" t="s">
        <v>18</v>
      </c>
      <c r="D294" t="s">
        <v>19</v>
      </c>
      <c r="E294" t="s">
        <v>30</v>
      </c>
      <c r="F294" t="s">
        <v>33</v>
      </c>
      <c r="G294" t="s">
        <v>25</v>
      </c>
      <c r="H294" s="1">
        <v>328658</v>
      </c>
      <c r="I294" s="3">
        <v>731</v>
      </c>
      <c r="J294" s="3">
        <v>1589464</v>
      </c>
      <c r="K294" s="3">
        <v>20133.16</v>
      </c>
      <c r="L294" s="2">
        <v>20.6</v>
      </c>
      <c r="M294" s="11">
        <v>78</v>
      </c>
      <c r="N294" s="3">
        <v>12</v>
      </c>
      <c r="O294" s="3">
        <v>94278</v>
      </c>
      <c r="P294" s="3">
        <v>983378</v>
      </c>
      <c r="Q294" s="10">
        <v>1</v>
      </c>
      <c r="R294" s="3">
        <f>(Таблица1[Размер кредита]-$AA$2)/$AA$3</f>
        <v>0.10853372145260275</v>
      </c>
      <c r="S294" s="3">
        <f>(Таблица1[Кредитный рейтинг]-$AA$7)/($AA$8-$AA$7)</f>
        <v>0.97336884154460723</v>
      </c>
      <c r="T294" s="3">
        <f>(Таблица1[Срок с последнего нарушения кредитного договора (мес,)]-$AA$12)/($AA$13-$AA$12)</f>
        <v>0.88636363636363635</v>
      </c>
      <c r="U294" s="3">
        <f>(Таблица1[Количество кредитных карт]-$AA$18)/($AA$19-$AA$18)</f>
        <v>0.26190476190476192</v>
      </c>
      <c r="V294" s="3">
        <f>(Таблица1[Число нарушений кредитных договоров]-$AA$23)/($AA$24-$AA$23)</f>
        <v>0.14285714285714285</v>
      </c>
      <c r="W294" s="3">
        <f>Таблица1[[#This Row],[Годовой доход]]/12</f>
        <v>132455.33333333334</v>
      </c>
      <c r="X294" s="3">
        <f>Таблица1[[#This Row],[Ежемесячный платеж]]/Таблица1[[#This Row],[Ежем доход]]</f>
        <v>0.15199961748111313</v>
      </c>
      <c r="Y294" s="3"/>
      <c r="Z294" s="3"/>
      <c r="AA294" s="3"/>
      <c r="AB294" s="3"/>
    </row>
    <row r="295" spans="1:28" x14ac:dyDescent="0.2">
      <c r="A295">
        <v>1254</v>
      </c>
      <c r="B295" t="s">
        <v>1293</v>
      </c>
      <c r="C295" t="s">
        <v>18</v>
      </c>
      <c r="D295" t="s">
        <v>19</v>
      </c>
      <c r="E295" t="s">
        <v>24</v>
      </c>
      <c r="F295" t="s">
        <v>21</v>
      </c>
      <c r="G295" t="s">
        <v>25</v>
      </c>
      <c r="H295" s="1">
        <v>120274</v>
      </c>
      <c r="I295" s="3">
        <v>747</v>
      </c>
      <c r="J295" s="3">
        <v>779095</v>
      </c>
      <c r="K295" s="3">
        <v>13504.25</v>
      </c>
      <c r="L295" s="2">
        <v>16.5</v>
      </c>
      <c r="M295" s="11">
        <v>35.265240640000002</v>
      </c>
      <c r="N295" s="3">
        <v>14</v>
      </c>
      <c r="O295" s="3">
        <v>308693</v>
      </c>
      <c r="P295" s="3">
        <v>981948</v>
      </c>
      <c r="Q295" s="10">
        <v>0</v>
      </c>
      <c r="R295" s="3">
        <f>(Таблица1[Размер кредита]-$AA$2)/$AA$3</f>
        <v>-1.0778549262209591</v>
      </c>
      <c r="S295" s="3">
        <f>(Таблица1[Кредитный рейтинг]-$AA$7)/($AA$8-$AA$7)</f>
        <v>0.9946737683089214</v>
      </c>
      <c r="T295" s="3">
        <f>(Таблица1[Срок с последнего нарушения кредитного договора (мес,)]-$AA$12)/($AA$13-$AA$12)</f>
        <v>0.40074137090909095</v>
      </c>
      <c r="U295" s="3">
        <f>(Таблица1[Количество кредитных карт]-$AA$18)/($AA$19-$AA$18)</f>
        <v>0.30952380952380953</v>
      </c>
      <c r="V295" s="3">
        <f>(Таблица1[Число нарушений кредитных договоров]-$AA$23)/($AA$24-$AA$23)</f>
        <v>0</v>
      </c>
      <c r="W295" s="3">
        <f>Таблица1[[#This Row],[Годовой доход]]/12</f>
        <v>64924.583333333336</v>
      </c>
      <c r="X295" s="3">
        <f>Таблица1[[#This Row],[Ежемесячный платеж]]/Таблица1[[#This Row],[Ежем доход]]</f>
        <v>0.20799902450920618</v>
      </c>
      <c r="Y295" s="3"/>
      <c r="Z295" s="3"/>
      <c r="AA295" s="3"/>
      <c r="AB295" s="3"/>
    </row>
    <row r="296" spans="1:28" x14ac:dyDescent="0.2">
      <c r="A296">
        <v>155</v>
      </c>
      <c r="B296" t="s">
        <v>197</v>
      </c>
      <c r="C296" t="s">
        <v>18</v>
      </c>
      <c r="D296" t="s">
        <v>19</v>
      </c>
      <c r="E296" t="s">
        <v>63</v>
      </c>
      <c r="F296" t="s">
        <v>21</v>
      </c>
      <c r="G296" t="s">
        <v>25</v>
      </c>
      <c r="H296" s="1">
        <v>448822</v>
      </c>
      <c r="I296" s="3">
        <v>741</v>
      </c>
      <c r="J296" s="3">
        <v>1027444</v>
      </c>
      <c r="K296" s="3">
        <v>21576.400000000001</v>
      </c>
      <c r="L296" s="2">
        <v>33.1</v>
      </c>
      <c r="M296" s="11">
        <v>35.265240640000002</v>
      </c>
      <c r="N296" s="3">
        <v>8</v>
      </c>
      <c r="O296" s="3">
        <v>669028</v>
      </c>
      <c r="P296" s="3">
        <v>981838</v>
      </c>
      <c r="Q296" s="10">
        <v>0</v>
      </c>
      <c r="R296" s="3">
        <f>(Таблица1[Размер кредита]-$AA$2)/$AA$3</f>
        <v>0.79266112787078213</v>
      </c>
      <c r="S296" s="3">
        <f>(Таблица1[Кредитный рейтинг]-$AA$7)/($AA$8-$AA$7)</f>
        <v>0.98668442077230356</v>
      </c>
      <c r="T296" s="3">
        <f>(Таблица1[Срок с последнего нарушения кредитного договора (мес,)]-$AA$12)/($AA$13-$AA$12)</f>
        <v>0.40074137090909095</v>
      </c>
      <c r="U296" s="3">
        <f>(Таблица1[Количество кредитных карт]-$AA$18)/($AA$19-$AA$18)</f>
        <v>0.16666666666666666</v>
      </c>
      <c r="V296" s="3">
        <f>(Таблица1[Число нарушений кредитных договоров]-$AA$23)/($AA$24-$AA$23)</f>
        <v>0</v>
      </c>
      <c r="W296" s="3">
        <f>Таблица1[[#This Row],[Годовой доход]]/12</f>
        <v>85620.333333333328</v>
      </c>
      <c r="X296" s="3">
        <f>Таблица1[[#This Row],[Ежемесячный платеж]]/Таблица1[[#This Row],[Ежем доход]]</f>
        <v>0.25200088763961837</v>
      </c>
      <c r="Y296" s="3"/>
      <c r="Z296" s="3"/>
      <c r="AA296" s="3"/>
      <c r="AB296" s="3"/>
    </row>
    <row r="297" spans="1:28" x14ac:dyDescent="0.2">
      <c r="A297">
        <v>1048</v>
      </c>
      <c r="B297" t="s">
        <v>1087</v>
      </c>
      <c r="C297" t="s">
        <v>35</v>
      </c>
      <c r="D297" t="s">
        <v>19</v>
      </c>
      <c r="E297" t="s">
        <v>47</v>
      </c>
      <c r="F297" t="s">
        <v>27</v>
      </c>
      <c r="G297" t="s">
        <v>25</v>
      </c>
      <c r="H297" s="1">
        <v>752840</v>
      </c>
      <c r="I297" s="3">
        <v>0</v>
      </c>
      <c r="J297" s="3">
        <v>1168044</v>
      </c>
      <c r="K297" s="3">
        <v>39159.949999999997</v>
      </c>
      <c r="L297" s="2">
        <v>29.5</v>
      </c>
      <c r="M297" s="11">
        <v>37</v>
      </c>
      <c r="N297" s="3">
        <v>13</v>
      </c>
      <c r="O297" s="3">
        <v>746624</v>
      </c>
      <c r="P297" s="3">
        <v>979066</v>
      </c>
      <c r="Q297" s="10">
        <v>0</v>
      </c>
      <c r="R297" s="3">
        <f>(Таблица1[Размер кредита]-$AA$2)/$AA$3</f>
        <v>2.5235210014139571</v>
      </c>
      <c r="S297" s="3">
        <f>(Таблица1[Кредитный рейтинг]-$AA$7)/($AA$8-$AA$7)</f>
        <v>0</v>
      </c>
      <c r="T297" s="3">
        <f>(Таблица1[Срок с последнего нарушения кредитного договора (мес,)]-$AA$12)/($AA$13-$AA$12)</f>
        <v>0.42045454545454547</v>
      </c>
      <c r="U297" s="3">
        <f>(Таблица1[Количество кредитных карт]-$AA$18)/($AA$19-$AA$18)</f>
        <v>0.2857142857142857</v>
      </c>
      <c r="V297" s="3">
        <f>(Таблица1[Число нарушений кредитных договоров]-$AA$23)/($AA$24-$AA$23)</f>
        <v>0</v>
      </c>
      <c r="W297" s="3">
        <f>Таблица1[[#This Row],[Годовой доход]]/12</f>
        <v>97337</v>
      </c>
      <c r="X297" s="3">
        <f>Таблица1[[#This Row],[Ежемесячный платеж]]/Таблица1[[#This Row],[Ежем доход]]</f>
        <v>0.40231309779426117</v>
      </c>
      <c r="Y297" s="3"/>
      <c r="Z297" s="3"/>
      <c r="AA297" s="3"/>
      <c r="AB297" s="3"/>
    </row>
    <row r="298" spans="1:28" x14ac:dyDescent="0.2">
      <c r="A298">
        <v>1735</v>
      </c>
      <c r="B298" t="s">
        <v>1773</v>
      </c>
      <c r="C298" t="s">
        <v>18</v>
      </c>
      <c r="D298" t="s">
        <v>29</v>
      </c>
      <c r="E298" t="s">
        <v>52</v>
      </c>
      <c r="F298" t="s">
        <v>21</v>
      </c>
      <c r="G298" t="s">
        <v>25</v>
      </c>
      <c r="H298" s="1">
        <v>329384</v>
      </c>
      <c r="I298" s="3">
        <v>710</v>
      </c>
      <c r="J298" s="3">
        <v>738644</v>
      </c>
      <c r="K298" s="3">
        <v>14957.56</v>
      </c>
      <c r="L298" s="2">
        <v>15.4</v>
      </c>
      <c r="M298" s="11">
        <v>35.265240640000002</v>
      </c>
      <c r="N298" s="3">
        <v>11</v>
      </c>
      <c r="O298" s="3">
        <v>374965</v>
      </c>
      <c r="P298" s="3">
        <v>977878</v>
      </c>
      <c r="Q298" s="10">
        <v>0</v>
      </c>
      <c r="R298" s="3">
        <f>(Таблица1[Размер кредита]-$AA$2)/$AA$3</f>
        <v>0.11266704338812086</v>
      </c>
      <c r="S298" s="3">
        <f>(Таблица1[Кредитный рейтинг]-$AA$7)/($AA$8-$AA$7)</f>
        <v>0.94540612516644473</v>
      </c>
      <c r="T298" s="3">
        <f>(Таблица1[Срок с последнего нарушения кредитного договора (мес,)]-$AA$12)/($AA$13-$AA$12)</f>
        <v>0.40074137090909095</v>
      </c>
      <c r="U298" s="3">
        <f>(Таблица1[Количество кредитных карт]-$AA$18)/($AA$19-$AA$18)</f>
        <v>0.23809523809523808</v>
      </c>
      <c r="V298" s="3">
        <f>(Таблица1[Число нарушений кредитных договоров]-$AA$23)/($AA$24-$AA$23)</f>
        <v>0</v>
      </c>
      <c r="W298" s="3">
        <f>Таблица1[[#This Row],[Годовой доход]]/12</f>
        <v>61553.666666666664</v>
      </c>
      <c r="X298" s="3">
        <f>Таблица1[[#This Row],[Ежемесячный платеж]]/Таблица1[[#This Row],[Ежем доход]]</f>
        <v>0.24300030867373187</v>
      </c>
      <c r="Y298" s="3"/>
      <c r="Z298" s="3"/>
      <c r="AA298" s="3"/>
      <c r="AB298" s="3"/>
    </row>
    <row r="299" spans="1:28" x14ac:dyDescent="0.2">
      <c r="A299">
        <v>1671</v>
      </c>
      <c r="B299" t="s">
        <v>1709</v>
      </c>
      <c r="C299" t="s">
        <v>18</v>
      </c>
      <c r="D299" t="s">
        <v>19</v>
      </c>
      <c r="E299" t="s">
        <v>69</v>
      </c>
      <c r="F299" t="s">
        <v>21</v>
      </c>
      <c r="G299" t="s">
        <v>25</v>
      </c>
      <c r="H299" s="1">
        <v>263626</v>
      </c>
      <c r="I299" s="3">
        <v>744</v>
      </c>
      <c r="J299" s="3">
        <v>1290195</v>
      </c>
      <c r="K299" s="3">
        <v>29459.5</v>
      </c>
      <c r="L299" s="2">
        <v>11.2</v>
      </c>
      <c r="M299" s="11">
        <v>35.265240640000002</v>
      </c>
      <c r="N299" s="3">
        <v>16</v>
      </c>
      <c r="O299" s="3">
        <v>359138</v>
      </c>
      <c r="P299" s="3">
        <v>973852</v>
      </c>
      <c r="Q299" s="10">
        <v>0</v>
      </c>
      <c r="R299" s="3">
        <f>(Таблица1[Размер кредита]-$AA$2)/$AA$3</f>
        <v>-0.26171172222592859</v>
      </c>
      <c r="S299" s="3">
        <f>(Таблица1[Кредитный рейтинг]-$AA$7)/($AA$8-$AA$7)</f>
        <v>0.99067909454061254</v>
      </c>
      <c r="T299" s="3">
        <f>(Таблица1[Срок с последнего нарушения кредитного договора (мес,)]-$AA$12)/($AA$13-$AA$12)</f>
        <v>0.40074137090909095</v>
      </c>
      <c r="U299" s="3">
        <f>(Таблица1[Количество кредитных карт]-$AA$18)/($AA$19-$AA$18)</f>
        <v>0.35714285714285715</v>
      </c>
      <c r="V299" s="3">
        <f>(Таблица1[Число нарушений кредитных договоров]-$AA$23)/($AA$24-$AA$23)</f>
        <v>0</v>
      </c>
      <c r="W299" s="3">
        <f>Таблица1[[#This Row],[Годовой доход]]/12</f>
        <v>107516.25</v>
      </c>
      <c r="X299" s="3">
        <f>Таблица1[[#This Row],[Ежемесячный платеж]]/Таблица1[[#This Row],[Ежем доход]]</f>
        <v>0.27400044179368233</v>
      </c>
      <c r="Y299" s="3"/>
      <c r="Z299" s="3"/>
      <c r="AA299" s="3"/>
      <c r="AB299" s="3"/>
    </row>
    <row r="300" spans="1:28" x14ac:dyDescent="0.2">
      <c r="A300">
        <v>430</v>
      </c>
      <c r="B300" t="s">
        <v>471</v>
      </c>
      <c r="C300" t="s">
        <v>18</v>
      </c>
      <c r="D300" t="s">
        <v>19</v>
      </c>
      <c r="E300" t="s">
        <v>50</v>
      </c>
      <c r="F300" t="s">
        <v>21</v>
      </c>
      <c r="G300" t="s">
        <v>25</v>
      </c>
      <c r="H300" s="1">
        <v>214632</v>
      </c>
      <c r="I300" s="3">
        <v>722</v>
      </c>
      <c r="J300" s="3">
        <v>1448237</v>
      </c>
      <c r="K300" s="3">
        <v>33188.629999999997</v>
      </c>
      <c r="L300" s="2">
        <v>15</v>
      </c>
      <c r="M300" s="11">
        <v>10</v>
      </c>
      <c r="N300" s="3">
        <v>25</v>
      </c>
      <c r="O300" s="3">
        <v>485982</v>
      </c>
      <c r="P300" s="3">
        <v>970200</v>
      </c>
      <c r="Q300" s="10">
        <v>0</v>
      </c>
      <c r="R300" s="3">
        <f>(Таблица1[Размер кредита]-$AA$2)/$AA$3</f>
        <v>-0.54064832678346897</v>
      </c>
      <c r="S300" s="3">
        <f>(Таблица1[Кредитный рейтинг]-$AA$7)/($AA$8-$AA$7)</f>
        <v>0.96138482023968042</v>
      </c>
      <c r="T300" s="3">
        <f>(Таблица1[Срок с последнего нарушения кредитного договора (мес,)]-$AA$12)/($AA$13-$AA$12)</f>
        <v>0.11363636363636363</v>
      </c>
      <c r="U300" s="3">
        <f>(Таблица1[Количество кредитных карт]-$AA$18)/($AA$19-$AA$18)</f>
        <v>0.5714285714285714</v>
      </c>
      <c r="V300" s="3">
        <f>(Таблица1[Число нарушений кредитных договоров]-$AA$23)/($AA$24-$AA$23)</f>
        <v>0</v>
      </c>
      <c r="W300" s="3">
        <f>Таблица1[[#This Row],[Годовой доход]]/12</f>
        <v>120686.41666666667</v>
      </c>
      <c r="X300" s="3">
        <f>Таблица1[[#This Row],[Ежемесячный платеж]]/Таблица1[[#This Row],[Ежем доход]]</f>
        <v>0.27499888485102919</v>
      </c>
      <c r="Y300" s="3"/>
      <c r="Z300" s="3"/>
      <c r="AA300" s="3"/>
      <c r="AB300" s="3"/>
    </row>
    <row r="301" spans="1:28" x14ac:dyDescent="0.2">
      <c r="A301">
        <v>848</v>
      </c>
      <c r="B301" t="s">
        <v>889</v>
      </c>
      <c r="C301" t="s">
        <v>18</v>
      </c>
      <c r="D301" t="s">
        <v>29</v>
      </c>
      <c r="E301" t="s">
        <v>30</v>
      </c>
      <c r="F301" t="s">
        <v>21</v>
      </c>
      <c r="G301" t="s">
        <v>25</v>
      </c>
      <c r="H301" s="1">
        <v>568414</v>
      </c>
      <c r="I301" s="3">
        <v>717</v>
      </c>
      <c r="J301" s="3">
        <v>1116744</v>
      </c>
      <c r="K301" s="3">
        <v>12656.47</v>
      </c>
      <c r="L301" s="2">
        <v>21.4</v>
      </c>
      <c r="M301" s="11">
        <v>35.265240640000002</v>
      </c>
      <c r="N301" s="3">
        <v>8</v>
      </c>
      <c r="O301" s="3">
        <v>598044</v>
      </c>
      <c r="P301" s="3">
        <v>969826</v>
      </c>
      <c r="Q301" s="10">
        <v>0</v>
      </c>
      <c r="R301" s="3">
        <f>(Таблица1[Размер кредита]-$AA$2)/$AA$3</f>
        <v>1.4735319776124927</v>
      </c>
      <c r="S301" s="3">
        <f>(Таблица1[Кредитный рейтинг]-$AA$7)/($AA$8-$AA$7)</f>
        <v>0.9547270306258322</v>
      </c>
      <c r="T301" s="3">
        <f>(Таблица1[Срок с последнего нарушения кредитного договора (мес,)]-$AA$12)/($AA$13-$AA$12)</f>
        <v>0.40074137090909095</v>
      </c>
      <c r="U301" s="3">
        <f>(Таблица1[Количество кредитных карт]-$AA$18)/($AA$19-$AA$18)</f>
        <v>0.16666666666666666</v>
      </c>
      <c r="V301" s="3">
        <f>(Таблица1[Число нарушений кредитных договоров]-$AA$23)/($AA$24-$AA$23)</f>
        <v>0</v>
      </c>
      <c r="W301" s="3">
        <f>Таблица1[[#This Row],[Годовой доход]]/12</f>
        <v>93062</v>
      </c>
      <c r="X301" s="3">
        <f>Таблица1[[#This Row],[Ежемесячный платеж]]/Таблица1[[#This Row],[Ежем доход]]</f>
        <v>0.13600040832993057</v>
      </c>
      <c r="Y301" s="3"/>
      <c r="Z301" s="3"/>
      <c r="AA301" s="3"/>
      <c r="AB301" s="3"/>
    </row>
    <row r="302" spans="1:28" x14ac:dyDescent="0.2">
      <c r="A302">
        <v>169</v>
      </c>
      <c r="B302" t="s">
        <v>211</v>
      </c>
      <c r="C302" t="s">
        <v>18</v>
      </c>
      <c r="D302" t="s">
        <v>29</v>
      </c>
      <c r="E302" t="s">
        <v>63</v>
      </c>
      <c r="F302" t="s">
        <v>21</v>
      </c>
      <c r="G302" t="s">
        <v>67</v>
      </c>
      <c r="H302" s="1">
        <v>314226</v>
      </c>
      <c r="I302" s="3">
        <v>723</v>
      </c>
      <c r="J302" s="3">
        <v>2638454</v>
      </c>
      <c r="K302" s="3">
        <v>34959.43</v>
      </c>
      <c r="L302" s="2">
        <v>18.2</v>
      </c>
      <c r="M302" s="11">
        <v>54</v>
      </c>
      <c r="N302" s="3">
        <v>10</v>
      </c>
      <c r="O302" s="3">
        <v>662815</v>
      </c>
      <c r="P302" s="3">
        <v>969034</v>
      </c>
      <c r="Q302" s="10">
        <v>0</v>
      </c>
      <c r="R302" s="3">
        <f>(Таблица1[Размер кредита]-$AA$2)/$AA$3</f>
        <v>2.636829146169728E-2</v>
      </c>
      <c r="S302" s="3">
        <f>(Таблица1[Кредитный рейтинг]-$AA$7)/($AA$8-$AA$7)</f>
        <v>0.96271637816245004</v>
      </c>
      <c r="T302" s="3">
        <f>(Таблица1[Срок с последнего нарушения кредитного договора (мес,)]-$AA$12)/($AA$13-$AA$12)</f>
        <v>0.61363636363636365</v>
      </c>
      <c r="U302" s="3">
        <f>(Таблица1[Количество кредитных карт]-$AA$18)/($AA$19-$AA$18)</f>
        <v>0.21428571428571427</v>
      </c>
      <c r="V302" s="3">
        <f>(Таблица1[Число нарушений кредитных договоров]-$AA$23)/($AA$24-$AA$23)</f>
        <v>0</v>
      </c>
      <c r="W302" s="3">
        <f>Таблица1[[#This Row],[Годовой доход]]/12</f>
        <v>219871.16666666666</v>
      </c>
      <c r="X302" s="3">
        <f>Таблица1[[#This Row],[Ежемесячный платеж]]/Таблица1[[#This Row],[Ежем доход]]</f>
        <v>0.15899961113591521</v>
      </c>
      <c r="Y302" s="3"/>
      <c r="Z302" s="3"/>
      <c r="AA302" s="3"/>
      <c r="AB302" s="3"/>
    </row>
    <row r="303" spans="1:28" x14ac:dyDescent="0.2">
      <c r="A303">
        <v>1400</v>
      </c>
      <c r="B303" t="s">
        <v>1439</v>
      </c>
      <c r="C303" t="s">
        <v>18</v>
      </c>
      <c r="D303" t="s">
        <v>19</v>
      </c>
      <c r="E303" t="s">
        <v>24</v>
      </c>
      <c r="F303" t="s">
        <v>33</v>
      </c>
      <c r="G303" t="s">
        <v>25</v>
      </c>
      <c r="H303" s="1">
        <v>536976</v>
      </c>
      <c r="I303" s="3">
        <v>668</v>
      </c>
      <c r="J303" s="3">
        <v>1780775</v>
      </c>
      <c r="K303" s="3">
        <v>27453.48</v>
      </c>
      <c r="L303" s="2">
        <v>38.799999999999997</v>
      </c>
      <c r="M303" s="11">
        <v>39</v>
      </c>
      <c r="N303" s="3">
        <v>11</v>
      </c>
      <c r="O303" s="3">
        <v>732754</v>
      </c>
      <c r="P303" s="3">
        <v>968550</v>
      </c>
      <c r="Q303" s="10">
        <v>0</v>
      </c>
      <c r="R303" s="3">
        <f>(Таблица1[Размер кредита]-$AA$2)/$AA$3</f>
        <v>1.2945466125865721</v>
      </c>
      <c r="S303" s="3">
        <f>(Таблица1[Кредитный рейтинг]-$AA$7)/($AA$8-$AA$7)</f>
        <v>0.88948069241011984</v>
      </c>
      <c r="T303" s="3">
        <f>(Таблица1[Срок с последнего нарушения кредитного договора (мес,)]-$AA$12)/($AA$13-$AA$12)</f>
        <v>0.44318181818181818</v>
      </c>
      <c r="U303" s="3">
        <f>(Таблица1[Количество кредитных карт]-$AA$18)/($AA$19-$AA$18)</f>
        <v>0.23809523809523808</v>
      </c>
      <c r="V303" s="3">
        <f>(Таблица1[Число нарушений кредитных договоров]-$AA$23)/($AA$24-$AA$23)</f>
        <v>0</v>
      </c>
      <c r="W303" s="3">
        <f>Таблица1[[#This Row],[Годовой доход]]/12</f>
        <v>148397.91666666666</v>
      </c>
      <c r="X303" s="3">
        <f>Таблица1[[#This Row],[Ежемесячный платеж]]/Таблица1[[#This Row],[Ежем доход]]</f>
        <v>0.18499909309149107</v>
      </c>
      <c r="Y303" s="3"/>
      <c r="Z303" s="3"/>
      <c r="AA303" s="3"/>
      <c r="AB303" s="3"/>
    </row>
    <row r="304" spans="1:28" x14ac:dyDescent="0.2">
      <c r="A304">
        <v>117</v>
      </c>
      <c r="B304" t="s">
        <v>159</v>
      </c>
      <c r="C304" t="s">
        <v>18</v>
      </c>
      <c r="D304" t="s">
        <v>29</v>
      </c>
      <c r="E304" t="s">
        <v>24</v>
      </c>
      <c r="F304" t="s">
        <v>33</v>
      </c>
      <c r="G304" t="s">
        <v>25</v>
      </c>
      <c r="H304" s="1">
        <v>472098</v>
      </c>
      <c r="I304" s="3">
        <v>692</v>
      </c>
      <c r="J304" s="3">
        <v>2316575</v>
      </c>
      <c r="K304" s="3">
        <v>24517.22</v>
      </c>
      <c r="L304" s="2">
        <v>28.2</v>
      </c>
      <c r="M304" s="11">
        <v>35.265240640000002</v>
      </c>
      <c r="N304" s="3">
        <v>9</v>
      </c>
      <c r="O304" s="3">
        <v>454176</v>
      </c>
      <c r="P304" s="3">
        <v>968506</v>
      </c>
      <c r="Q304" s="10">
        <v>0</v>
      </c>
      <c r="R304" s="3">
        <f>(Таблица1[Размер кредита]-$AA$2)/$AA$3</f>
        <v>0.92517793416709004</v>
      </c>
      <c r="S304" s="3">
        <f>(Таблица1[Кредитный рейтинг]-$AA$7)/($AA$8-$AA$7)</f>
        <v>0.92143808255659121</v>
      </c>
      <c r="T304" s="3">
        <f>(Таблица1[Срок с последнего нарушения кредитного договора (мес,)]-$AA$12)/($AA$13-$AA$12)</f>
        <v>0.40074137090909095</v>
      </c>
      <c r="U304" s="3">
        <f>(Таблица1[Количество кредитных карт]-$AA$18)/($AA$19-$AA$18)</f>
        <v>0.19047619047619047</v>
      </c>
      <c r="V304" s="3">
        <f>(Таблица1[Число нарушений кредитных договоров]-$AA$23)/($AA$24-$AA$23)</f>
        <v>0</v>
      </c>
      <c r="W304" s="3">
        <f>Таблица1[[#This Row],[Годовой доход]]/12</f>
        <v>193047.91666666666</v>
      </c>
      <c r="X304" s="3">
        <f>Таблица1[[#This Row],[Ежемесячный платеж]]/Таблица1[[#This Row],[Ежем доход]]</f>
        <v>0.12700069714988724</v>
      </c>
      <c r="Y304" s="3"/>
      <c r="Z304" s="3"/>
      <c r="AA304" s="3"/>
      <c r="AB304" s="3"/>
    </row>
    <row r="305" spans="1:28" x14ac:dyDescent="0.2">
      <c r="A305">
        <v>1217</v>
      </c>
      <c r="B305" t="s">
        <v>1256</v>
      </c>
      <c r="C305" t="s">
        <v>35</v>
      </c>
      <c r="D305" t="s">
        <v>19</v>
      </c>
      <c r="E305" t="s">
        <v>24</v>
      </c>
      <c r="F305" t="s">
        <v>21</v>
      </c>
      <c r="G305" t="s">
        <v>25</v>
      </c>
      <c r="H305" s="1">
        <v>329604</v>
      </c>
      <c r="I305" s="3">
        <v>0</v>
      </c>
      <c r="J305" s="3">
        <v>1168044</v>
      </c>
      <c r="K305" s="3">
        <v>14648.05</v>
      </c>
      <c r="L305" s="2">
        <v>28.7</v>
      </c>
      <c r="M305" s="11">
        <v>46</v>
      </c>
      <c r="N305" s="3">
        <v>15</v>
      </c>
      <c r="O305" s="3">
        <v>644860</v>
      </c>
      <c r="P305" s="3">
        <v>968462</v>
      </c>
      <c r="Q305" s="10">
        <v>1</v>
      </c>
      <c r="R305" s="3">
        <f>(Таблица1[Размер кредита]-$AA$2)/$AA$3</f>
        <v>0.1139195651867627</v>
      </c>
      <c r="S305" s="3">
        <f>(Таблица1[Кредитный рейтинг]-$AA$7)/($AA$8-$AA$7)</f>
        <v>0</v>
      </c>
      <c r="T305" s="3">
        <f>(Таблица1[Срок с последнего нарушения кредитного договора (мес,)]-$AA$12)/($AA$13-$AA$12)</f>
        <v>0.52272727272727271</v>
      </c>
      <c r="U305" s="3">
        <f>(Таблица1[Количество кредитных карт]-$AA$18)/($AA$19-$AA$18)</f>
        <v>0.33333333333333331</v>
      </c>
      <c r="V305" s="3">
        <f>(Таблица1[Число нарушений кредитных договоров]-$AA$23)/($AA$24-$AA$23)</f>
        <v>0.14285714285714285</v>
      </c>
      <c r="W305" s="3">
        <f>Таблица1[[#This Row],[Годовой доход]]/12</f>
        <v>97337</v>
      </c>
      <c r="X305" s="3">
        <f>Таблица1[[#This Row],[Ежемесячный платеж]]/Таблица1[[#This Row],[Ежем доход]]</f>
        <v>0.15048799531524495</v>
      </c>
      <c r="Y305" s="3"/>
      <c r="Z305" s="3"/>
      <c r="AA305" s="3"/>
      <c r="AB305" s="3"/>
    </row>
    <row r="306" spans="1:28" x14ac:dyDescent="0.2">
      <c r="A306">
        <v>1258</v>
      </c>
      <c r="B306" t="s">
        <v>1297</v>
      </c>
      <c r="C306" t="s">
        <v>18</v>
      </c>
      <c r="D306" t="s">
        <v>19</v>
      </c>
      <c r="E306" t="s">
        <v>30</v>
      </c>
      <c r="F306" t="s">
        <v>27</v>
      </c>
      <c r="G306" t="s">
        <v>25</v>
      </c>
      <c r="H306" s="1">
        <v>233508</v>
      </c>
      <c r="I306" s="3">
        <v>0</v>
      </c>
      <c r="J306" s="3">
        <v>1168044</v>
      </c>
      <c r="K306" s="3">
        <v>6644.49</v>
      </c>
      <c r="L306" s="2">
        <v>14.4</v>
      </c>
      <c r="M306" s="11">
        <v>35.265240640000002</v>
      </c>
      <c r="N306" s="3">
        <v>12</v>
      </c>
      <c r="O306" s="3">
        <v>213731</v>
      </c>
      <c r="P306" s="3">
        <v>966724</v>
      </c>
      <c r="Q306" s="10">
        <v>0</v>
      </c>
      <c r="R306" s="3">
        <f>(Таблица1[Размер кредита]-$AA$2)/$AA$3</f>
        <v>-0.43318195645999807</v>
      </c>
      <c r="S306" s="3">
        <f>(Таблица1[Кредитный рейтинг]-$AA$7)/($AA$8-$AA$7)</f>
        <v>0</v>
      </c>
      <c r="T306" s="3">
        <f>(Таблица1[Срок с последнего нарушения кредитного договора (мес,)]-$AA$12)/($AA$13-$AA$12)</f>
        <v>0.40074137090909095</v>
      </c>
      <c r="U306" s="3">
        <f>(Таблица1[Количество кредитных карт]-$AA$18)/($AA$19-$AA$18)</f>
        <v>0.26190476190476192</v>
      </c>
      <c r="V306" s="3">
        <f>(Таблица1[Число нарушений кредитных договоров]-$AA$23)/($AA$24-$AA$23)</f>
        <v>0</v>
      </c>
      <c r="W306" s="3">
        <f>Таблица1[[#This Row],[Годовой доход]]/12</f>
        <v>97337</v>
      </c>
      <c r="X306" s="3">
        <f>Таблица1[[#This Row],[Ежемесячный платеж]]/Таблица1[[#This Row],[Ежем доход]]</f>
        <v>6.8262736677727892E-2</v>
      </c>
      <c r="Y306" s="3"/>
      <c r="Z306" s="3"/>
      <c r="AA306" s="3"/>
      <c r="AB306" s="3"/>
    </row>
    <row r="307" spans="1:28" x14ac:dyDescent="0.2">
      <c r="A307">
        <v>625</v>
      </c>
      <c r="B307" t="s">
        <v>666</v>
      </c>
      <c r="C307" t="s">
        <v>18</v>
      </c>
      <c r="D307" t="s">
        <v>19</v>
      </c>
      <c r="E307" t="s">
        <v>47</v>
      </c>
      <c r="F307" t="s">
        <v>21</v>
      </c>
      <c r="G307" t="s">
        <v>25</v>
      </c>
      <c r="H307" s="1">
        <v>397738</v>
      </c>
      <c r="I307" s="3">
        <v>736</v>
      </c>
      <c r="J307" s="3">
        <v>1622106</v>
      </c>
      <c r="K307" s="3">
        <v>25413.07</v>
      </c>
      <c r="L307" s="2">
        <v>15.9</v>
      </c>
      <c r="M307" s="11">
        <v>50</v>
      </c>
      <c r="N307" s="3">
        <v>16</v>
      </c>
      <c r="O307" s="3">
        <v>494836</v>
      </c>
      <c r="P307" s="3">
        <v>966218</v>
      </c>
      <c r="Q307" s="10">
        <v>0</v>
      </c>
      <c r="R307" s="3">
        <f>(Таблица1[Размер кредита]-$AA$2)/$AA$3</f>
        <v>0.50182556622614416</v>
      </c>
      <c r="S307" s="3">
        <f>(Таблица1[Кредитный рейтинг]-$AA$7)/($AA$8-$AA$7)</f>
        <v>0.98002663115845534</v>
      </c>
      <c r="T307" s="3">
        <f>(Таблица1[Срок с последнего нарушения кредитного договора (мес,)]-$AA$12)/($AA$13-$AA$12)</f>
        <v>0.56818181818181823</v>
      </c>
      <c r="U307" s="3">
        <f>(Таблица1[Количество кредитных карт]-$AA$18)/($AA$19-$AA$18)</f>
        <v>0.35714285714285715</v>
      </c>
      <c r="V307" s="3">
        <f>(Таблица1[Число нарушений кредитных договоров]-$AA$23)/($AA$24-$AA$23)</f>
        <v>0</v>
      </c>
      <c r="W307" s="3">
        <f>Таблица1[[#This Row],[Годовой доход]]/12</f>
        <v>135175.5</v>
      </c>
      <c r="X307" s="3">
        <f>Таблица1[[#This Row],[Ежемесячный платеж]]/Таблица1[[#This Row],[Ежем доход]]</f>
        <v>0.18800056223206127</v>
      </c>
      <c r="Y307" s="3"/>
      <c r="Z307" s="3"/>
      <c r="AA307" s="3"/>
      <c r="AB307" s="3"/>
    </row>
    <row r="308" spans="1:28" x14ac:dyDescent="0.2">
      <c r="A308">
        <v>1362</v>
      </c>
      <c r="B308" s="4" t="s">
        <v>1401</v>
      </c>
      <c r="C308" t="s">
        <v>18</v>
      </c>
      <c r="D308" t="s">
        <v>19</v>
      </c>
      <c r="E308" t="s">
        <v>41</v>
      </c>
      <c r="F308" t="s">
        <v>27</v>
      </c>
      <c r="G308" t="s">
        <v>67</v>
      </c>
      <c r="H308" s="1">
        <v>346522</v>
      </c>
      <c r="I308" s="3">
        <v>0</v>
      </c>
      <c r="J308" s="3">
        <v>1168044</v>
      </c>
      <c r="K308" s="3">
        <v>10387.49</v>
      </c>
      <c r="L308" s="2">
        <v>16</v>
      </c>
      <c r="M308" s="11">
        <v>35.265240640000002</v>
      </c>
      <c r="N308" s="3">
        <v>6</v>
      </c>
      <c r="O308" s="3">
        <v>161044</v>
      </c>
      <c r="P308" s="3">
        <v>966196</v>
      </c>
      <c r="Q308" s="10">
        <v>0</v>
      </c>
      <c r="R308" s="3">
        <f>(Таблица1[Размер кредита]-$AA$2)/$AA$3</f>
        <v>0.2102384915023211</v>
      </c>
      <c r="S308" s="3">
        <f>(Таблица1[Кредитный рейтинг]-$AA$7)/($AA$8-$AA$7)</f>
        <v>0</v>
      </c>
      <c r="T308" s="3">
        <f>(Таблица1[Срок с последнего нарушения кредитного договора (мес,)]-$AA$12)/($AA$13-$AA$12)</f>
        <v>0.40074137090909095</v>
      </c>
      <c r="U308" s="3">
        <f>(Таблица1[Количество кредитных карт]-$AA$18)/($AA$19-$AA$18)</f>
        <v>0.11904761904761904</v>
      </c>
      <c r="V308" s="3">
        <f>(Таблица1[Число нарушений кредитных договоров]-$AA$23)/($AA$24-$AA$23)</f>
        <v>0</v>
      </c>
      <c r="W308" s="3">
        <f>Таблица1[[#This Row],[Годовой доход]]/12</f>
        <v>97337</v>
      </c>
      <c r="X308" s="3">
        <f>Таблица1[[#This Row],[Ежемесячный платеж]]/Таблица1[[#This Row],[Ежем доход]]</f>
        <v>0.10671676751903182</v>
      </c>
      <c r="Y308" s="3"/>
      <c r="Z308" s="3"/>
      <c r="AA308" s="3"/>
      <c r="AB308" s="3"/>
    </row>
    <row r="309" spans="1:28" x14ac:dyDescent="0.2">
      <c r="A309">
        <v>495</v>
      </c>
      <c r="B309" t="s">
        <v>536</v>
      </c>
      <c r="C309" t="s">
        <v>18</v>
      </c>
      <c r="D309" t="s">
        <v>19</v>
      </c>
      <c r="E309" t="s">
        <v>24</v>
      </c>
      <c r="F309" t="s">
        <v>33</v>
      </c>
      <c r="G309" t="s">
        <v>25</v>
      </c>
      <c r="H309" s="1">
        <v>447524</v>
      </c>
      <c r="I309" s="3">
        <v>741</v>
      </c>
      <c r="J309" s="3">
        <v>2705486</v>
      </c>
      <c r="K309" s="3">
        <v>29985.8</v>
      </c>
      <c r="L309" s="2">
        <v>29</v>
      </c>
      <c r="M309" s="11">
        <v>35.265240640000002</v>
      </c>
      <c r="N309" s="3">
        <v>9</v>
      </c>
      <c r="O309" s="3">
        <v>485697</v>
      </c>
      <c r="P309" s="3">
        <v>962984</v>
      </c>
      <c r="Q309" s="10">
        <v>0</v>
      </c>
      <c r="R309" s="3">
        <f>(Таблица1[Размер кредита]-$AA$2)/$AA$3</f>
        <v>0.78527124925879521</v>
      </c>
      <c r="S309" s="3">
        <f>(Таблица1[Кредитный рейтинг]-$AA$7)/($AA$8-$AA$7)</f>
        <v>0.98668442077230356</v>
      </c>
      <c r="T309" s="3">
        <f>(Таблица1[Срок с последнего нарушения кредитного договора (мес,)]-$AA$12)/($AA$13-$AA$12)</f>
        <v>0.40074137090909095</v>
      </c>
      <c r="U309" s="3">
        <f>(Таблица1[Количество кредитных карт]-$AA$18)/($AA$19-$AA$18)</f>
        <v>0.19047619047619047</v>
      </c>
      <c r="V309" s="3">
        <f>(Таблица1[Число нарушений кредитных договоров]-$AA$23)/($AA$24-$AA$23)</f>
        <v>0</v>
      </c>
      <c r="W309" s="3">
        <f>Таблица1[[#This Row],[Годовой доход]]/12</f>
        <v>225457.16666666666</v>
      </c>
      <c r="X309" s="3">
        <f>Таблица1[[#This Row],[Ежемесячный платеж]]/Таблица1[[#This Row],[Ежем доход]]</f>
        <v>0.13299998595446438</v>
      </c>
      <c r="Y309" s="3"/>
      <c r="Z309" s="3"/>
      <c r="AA309" s="3"/>
      <c r="AB309" s="3"/>
    </row>
    <row r="310" spans="1:28" x14ac:dyDescent="0.2">
      <c r="A310">
        <v>807</v>
      </c>
      <c r="B310" t="s">
        <v>848</v>
      </c>
      <c r="C310" t="s">
        <v>18</v>
      </c>
      <c r="D310" t="s">
        <v>19</v>
      </c>
      <c r="E310" t="s">
        <v>63</v>
      </c>
      <c r="F310" t="s">
        <v>33</v>
      </c>
      <c r="G310" t="s">
        <v>25</v>
      </c>
      <c r="H310" s="1">
        <v>391314</v>
      </c>
      <c r="I310" s="3">
        <v>735</v>
      </c>
      <c r="J310" s="3">
        <v>762660</v>
      </c>
      <c r="K310" s="3">
        <v>15062.63</v>
      </c>
      <c r="L310" s="2">
        <v>13</v>
      </c>
      <c r="M310" s="11">
        <v>35.265240640000002</v>
      </c>
      <c r="N310" s="3">
        <v>18</v>
      </c>
      <c r="O310" s="3">
        <v>351633</v>
      </c>
      <c r="P310" s="3">
        <v>962522</v>
      </c>
      <c r="Q310" s="10">
        <v>0</v>
      </c>
      <c r="R310" s="3">
        <f>(Таблица1[Размер кредита]-$AA$2)/$AA$3</f>
        <v>0.46525192970580209</v>
      </c>
      <c r="S310" s="3">
        <f>(Таблица1[Кредитный рейтинг]-$AA$7)/($AA$8-$AA$7)</f>
        <v>0.97869507323568572</v>
      </c>
      <c r="T310" s="3">
        <f>(Таблица1[Срок с последнего нарушения кредитного договора (мес,)]-$AA$12)/($AA$13-$AA$12)</f>
        <v>0.40074137090909095</v>
      </c>
      <c r="U310" s="3">
        <f>(Таблица1[Количество кредитных карт]-$AA$18)/($AA$19-$AA$18)</f>
        <v>0.40476190476190477</v>
      </c>
      <c r="V310" s="3">
        <f>(Таблица1[Число нарушений кредитных договоров]-$AA$23)/($AA$24-$AA$23)</f>
        <v>0</v>
      </c>
      <c r="W310" s="3">
        <f>Таблица1[[#This Row],[Годовой доход]]/12</f>
        <v>63555</v>
      </c>
      <c r="X310" s="3">
        <f>Таблица1[[#This Row],[Ежемесячный платеж]]/Таблица1[[#This Row],[Ежем доход]]</f>
        <v>0.23700149476831089</v>
      </c>
      <c r="Y310" s="3"/>
      <c r="Z310" s="3"/>
      <c r="AA310" s="3"/>
      <c r="AB310" s="3"/>
    </row>
    <row r="311" spans="1:28" x14ac:dyDescent="0.2">
      <c r="A311">
        <v>829</v>
      </c>
      <c r="B311" t="s">
        <v>870</v>
      </c>
      <c r="C311" t="s">
        <v>18</v>
      </c>
      <c r="D311" t="s">
        <v>19</v>
      </c>
      <c r="E311" t="s">
        <v>32</v>
      </c>
      <c r="F311" t="s">
        <v>21</v>
      </c>
      <c r="G311" t="s">
        <v>25</v>
      </c>
      <c r="H311" s="1">
        <v>524524</v>
      </c>
      <c r="I311" s="3">
        <v>0</v>
      </c>
      <c r="J311" s="3">
        <v>1168044</v>
      </c>
      <c r="K311" s="3">
        <v>15892.36</v>
      </c>
      <c r="L311" s="2">
        <v>15.4</v>
      </c>
      <c r="M311" s="11">
        <v>35.265240640000002</v>
      </c>
      <c r="N311" s="3">
        <v>12</v>
      </c>
      <c r="O311" s="3">
        <v>449236</v>
      </c>
      <c r="P311" s="3">
        <v>959706</v>
      </c>
      <c r="Q311" s="10">
        <v>0</v>
      </c>
      <c r="R311" s="3">
        <f>(Таблица1[Размер кредита]-$AA$2)/$AA$3</f>
        <v>1.2236538787834432</v>
      </c>
      <c r="S311" s="3">
        <f>(Таблица1[Кредитный рейтинг]-$AA$7)/($AA$8-$AA$7)</f>
        <v>0</v>
      </c>
      <c r="T311" s="3">
        <f>(Таблица1[Срок с последнего нарушения кредитного договора (мес,)]-$AA$12)/($AA$13-$AA$12)</f>
        <v>0.40074137090909095</v>
      </c>
      <c r="U311" s="3">
        <f>(Таблица1[Количество кредитных карт]-$AA$18)/($AA$19-$AA$18)</f>
        <v>0.26190476190476192</v>
      </c>
      <c r="V311" s="3">
        <f>(Таблица1[Число нарушений кредитных договоров]-$AA$23)/($AA$24-$AA$23)</f>
        <v>0</v>
      </c>
      <c r="W311" s="3">
        <f>Таблица1[[#This Row],[Годовой доход]]/12</f>
        <v>97337</v>
      </c>
      <c r="X311" s="3">
        <f>Таблица1[[#This Row],[Ежемесячный платеж]]/Таблица1[[#This Row],[Ежем доход]]</f>
        <v>0.1632715205934023</v>
      </c>
      <c r="Y311" s="3"/>
      <c r="Z311" s="3"/>
      <c r="AA311" s="3"/>
      <c r="AB311" s="3"/>
    </row>
    <row r="312" spans="1:28" x14ac:dyDescent="0.2">
      <c r="A312">
        <v>934</v>
      </c>
      <c r="B312" t="s">
        <v>975</v>
      </c>
      <c r="C312" t="s">
        <v>35</v>
      </c>
      <c r="D312" t="s">
        <v>19</v>
      </c>
      <c r="E312" t="s">
        <v>24</v>
      </c>
      <c r="F312" t="s">
        <v>27</v>
      </c>
      <c r="G312" t="s">
        <v>25</v>
      </c>
      <c r="H312" s="1">
        <v>223762</v>
      </c>
      <c r="I312" s="3">
        <v>734</v>
      </c>
      <c r="J312" s="3">
        <v>618393</v>
      </c>
      <c r="K312" s="3">
        <v>15408.24</v>
      </c>
      <c r="L312" s="2">
        <v>28.2</v>
      </c>
      <c r="M312" s="11">
        <v>11</v>
      </c>
      <c r="N312" s="3">
        <v>19</v>
      </c>
      <c r="O312" s="3">
        <v>469338</v>
      </c>
      <c r="P312" s="3">
        <v>958452</v>
      </c>
      <c r="Q312" s="10">
        <v>0</v>
      </c>
      <c r="R312" s="3">
        <f>(Таблица1[Размер кредита]-$AA$2)/$AA$3</f>
        <v>-0.48866867213983212</v>
      </c>
      <c r="S312" s="3">
        <f>(Таблица1[Кредитный рейтинг]-$AA$7)/($AA$8-$AA$7)</f>
        <v>0.9773635153129161</v>
      </c>
      <c r="T312" s="3">
        <f>(Таблица1[Срок с последнего нарушения кредитного договора (мес,)]-$AA$12)/($AA$13-$AA$12)</f>
        <v>0.125</v>
      </c>
      <c r="U312" s="3">
        <f>(Таблица1[Количество кредитных карт]-$AA$18)/($AA$19-$AA$18)</f>
        <v>0.42857142857142855</v>
      </c>
      <c r="V312" s="3">
        <f>(Таблица1[Число нарушений кредитных договоров]-$AA$23)/($AA$24-$AA$23)</f>
        <v>0</v>
      </c>
      <c r="W312" s="3">
        <f>Таблица1[[#This Row],[Годовой доход]]/12</f>
        <v>51532.75</v>
      </c>
      <c r="X312" s="3">
        <f>Таблица1[[#This Row],[Ежемесячный платеж]]/Таблица1[[#This Row],[Ежем доход]]</f>
        <v>0.29899898608166653</v>
      </c>
      <c r="Y312" s="3"/>
      <c r="Z312" s="3"/>
      <c r="AA312" s="3"/>
      <c r="AB312" s="3"/>
    </row>
    <row r="313" spans="1:28" x14ac:dyDescent="0.2">
      <c r="A313">
        <v>1580</v>
      </c>
      <c r="B313" t="s">
        <v>1619</v>
      </c>
      <c r="C313" t="s">
        <v>18</v>
      </c>
      <c r="D313" t="s">
        <v>19</v>
      </c>
      <c r="E313" t="s">
        <v>63</v>
      </c>
      <c r="F313" t="s">
        <v>21</v>
      </c>
      <c r="G313" t="s">
        <v>67</v>
      </c>
      <c r="H313" s="1">
        <v>43890</v>
      </c>
      <c r="I313" s="3">
        <v>749</v>
      </c>
      <c r="J313" s="3">
        <v>1326808</v>
      </c>
      <c r="K313" s="3">
        <v>6269.24</v>
      </c>
      <c r="L313" s="2">
        <v>33.5</v>
      </c>
      <c r="M313" s="11">
        <v>35.265240640000002</v>
      </c>
      <c r="N313" s="3">
        <v>19</v>
      </c>
      <c r="O313" s="3">
        <v>92625</v>
      </c>
      <c r="P313" s="3">
        <v>957638</v>
      </c>
      <c r="Q313" s="10">
        <v>0</v>
      </c>
      <c r="R313" s="3">
        <f>(Таблица1[Размер кредита]-$AA$2)/$AA$3</f>
        <v>-1.51273049470941</v>
      </c>
      <c r="S313" s="3">
        <f>(Таблица1[Кредитный рейтинг]-$AA$7)/($AA$8-$AA$7)</f>
        <v>0.99733688415446076</v>
      </c>
      <c r="T313" s="3">
        <f>(Таблица1[Срок с последнего нарушения кредитного договора (мес,)]-$AA$12)/($AA$13-$AA$12)</f>
        <v>0.40074137090909095</v>
      </c>
      <c r="U313" s="3">
        <f>(Таблица1[Количество кредитных карт]-$AA$18)/($AA$19-$AA$18)</f>
        <v>0.42857142857142855</v>
      </c>
      <c r="V313" s="3">
        <f>(Таблица1[Число нарушений кредитных договоров]-$AA$23)/($AA$24-$AA$23)</f>
        <v>0</v>
      </c>
      <c r="W313" s="3">
        <f>Таблица1[[#This Row],[Годовой доход]]/12</f>
        <v>110567.33333333333</v>
      </c>
      <c r="X313" s="3">
        <f>Таблица1[[#This Row],[Ежемесячный платеж]]/Таблица1[[#This Row],[Ежем доход]]</f>
        <v>5.6700652995761255E-2</v>
      </c>
      <c r="Y313" s="3"/>
      <c r="Z313" s="3"/>
      <c r="AA313" s="3"/>
      <c r="AB313" s="3"/>
    </row>
    <row r="314" spans="1:28" x14ac:dyDescent="0.2">
      <c r="A314">
        <v>651</v>
      </c>
      <c r="B314" t="s">
        <v>692</v>
      </c>
      <c r="C314" t="s">
        <v>35</v>
      </c>
      <c r="D314" t="s">
        <v>29</v>
      </c>
      <c r="E314" t="s">
        <v>24</v>
      </c>
      <c r="F314" t="s">
        <v>21</v>
      </c>
      <c r="G314" t="s">
        <v>2039</v>
      </c>
      <c r="H314" s="1">
        <v>356444</v>
      </c>
      <c r="I314" s="3">
        <v>713</v>
      </c>
      <c r="J314" s="3">
        <v>1269808</v>
      </c>
      <c r="K314" s="3">
        <v>30189.48</v>
      </c>
      <c r="L314" s="2">
        <v>22.1</v>
      </c>
      <c r="M314" s="11">
        <v>35.265240640000002</v>
      </c>
      <c r="N314" s="3">
        <v>7</v>
      </c>
      <c r="O314" s="3">
        <v>762489</v>
      </c>
      <c r="P314" s="3">
        <v>955504</v>
      </c>
      <c r="Q314" s="10">
        <v>0</v>
      </c>
      <c r="R314" s="3">
        <f>(Таблица1[Размер кредита]-$AA$2)/$AA$3</f>
        <v>0.26672722462106863</v>
      </c>
      <c r="S314" s="3">
        <f>(Таблица1[Кредитный рейтинг]-$AA$7)/($AA$8-$AA$7)</f>
        <v>0.94940079893475371</v>
      </c>
      <c r="T314" s="3">
        <f>(Таблица1[Срок с последнего нарушения кредитного договора (мес,)]-$AA$12)/($AA$13-$AA$12)</f>
        <v>0.40074137090909095</v>
      </c>
      <c r="U314" s="3">
        <f>(Таблица1[Количество кредитных карт]-$AA$18)/($AA$19-$AA$18)</f>
        <v>0.14285714285714285</v>
      </c>
      <c r="V314" s="3">
        <f>(Таблица1[Число нарушений кредитных договоров]-$AA$23)/($AA$24-$AA$23)</f>
        <v>0</v>
      </c>
      <c r="W314" s="3">
        <f>Таблица1[[#This Row],[Годовой доход]]/12</f>
        <v>105817.33333333333</v>
      </c>
      <c r="X314" s="3">
        <f>Таблица1[[#This Row],[Ежемесячный платеж]]/Таблица1[[#This Row],[Ежем доход]]</f>
        <v>0.28529806080919323</v>
      </c>
      <c r="Y314" s="3"/>
      <c r="Z314" s="3"/>
      <c r="AA314" s="3"/>
      <c r="AB314" s="3"/>
    </row>
    <row r="315" spans="1:28" x14ac:dyDescent="0.2">
      <c r="A315">
        <v>1798</v>
      </c>
      <c r="B315" t="s">
        <v>1836</v>
      </c>
      <c r="C315" t="s">
        <v>18</v>
      </c>
      <c r="D315" t="s">
        <v>19</v>
      </c>
      <c r="E315" t="s">
        <v>30</v>
      </c>
      <c r="F315" t="s">
        <v>33</v>
      </c>
      <c r="G315" t="s">
        <v>25</v>
      </c>
      <c r="H315" s="1">
        <v>309594.52439999999</v>
      </c>
      <c r="I315" s="3">
        <v>744</v>
      </c>
      <c r="J315" s="3">
        <v>1186322</v>
      </c>
      <c r="K315" s="3">
        <v>13593.17</v>
      </c>
      <c r="L315" s="2">
        <v>37</v>
      </c>
      <c r="M315" s="11">
        <v>35.265240640000002</v>
      </c>
      <c r="N315" s="3">
        <v>17</v>
      </c>
      <c r="O315" s="3">
        <v>390127</v>
      </c>
      <c r="P315" s="3">
        <v>955064</v>
      </c>
      <c r="Q315" s="10">
        <v>0</v>
      </c>
      <c r="R315" s="3">
        <f>(Таблица1[Размер кредита]-$AA$2)/$AA$3</f>
        <v>-1.2411115481956205E-10</v>
      </c>
      <c r="S315" s="3">
        <f>(Таблица1[Кредитный рейтинг]-$AA$7)/($AA$8-$AA$7)</f>
        <v>0.99067909454061254</v>
      </c>
      <c r="T315" s="3">
        <f>(Таблица1[Срок с последнего нарушения кредитного договора (мес,)]-$AA$12)/($AA$13-$AA$12)</f>
        <v>0.40074137090909095</v>
      </c>
      <c r="U315" s="3">
        <f>(Таблица1[Количество кредитных карт]-$AA$18)/($AA$19-$AA$18)</f>
        <v>0.38095238095238093</v>
      </c>
      <c r="V315" s="3">
        <f>(Таблица1[Число нарушений кредитных договоров]-$AA$23)/($AA$24-$AA$23)</f>
        <v>0</v>
      </c>
      <c r="W315" s="3">
        <f>Таблица1[[#This Row],[Годовой доход]]/12</f>
        <v>98860.166666666672</v>
      </c>
      <c r="X315" s="3">
        <f>Таблица1[[#This Row],[Ежемесячный платеж]]/Таблица1[[#This Row],[Ежем доход]]</f>
        <v>0.13749895896729555</v>
      </c>
      <c r="Y315" s="3"/>
      <c r="Z315" s="3"/>
      <c r="AA315" s="3"/>
      <c r="AB315" s="3"/>
    </row>
    <row r="316" spans="1:28" x14ac:dyDescent="0.2">
      <c r="A316">
        <v>251</v>
      </c>
      <c r="B316" t="s">
        <v>293</v>
      </c>
      <c r="C316" t="s">
        <v>35</v>
      </c>
      <c r="D316" t="s">
        <v>19</v>
      </c>
      <c r="E316" t="s">
        <v>52</v>
      </c>
      <c r="F316" t="s">
        <v>27</v>
      </c>
      <c r="G316" t="s">
        <v>25</v>
      </c>
      <c r="H316" s="1">
        <v>216612</v>
      </c>
      <c r="I316" s="3">
        <v>722</v>
      </c>
      <c r="J316" s="3">
        <v>897959</v>
      </c>
      <c r="K316" s="3">
        <v>19006.650000000001</v>
      </c>
      <c r="L316" s="2">
        <v>10.7</v>
      </c>
      <c r="M316" s="11">
        <v>35.265240640000002</v>
      </c>
      <c r="N316" s="3">
        <v>14</v>
      </c>
      <c r="O316" s="3">
        <v>321670</v>
      </c>
      <c r="P316" s="3">
        <v>955042</v>
      </c>
      <c r="Q316" s="10">
        <v>0</v>
      </c>
      <c r="R316" s="3">
        <f>(Таблица1[Размер кредита]-$AA$2)/$AA$3</f>
        <v>-0.52937563059569226</v>
      </c>
      <c r="S316" s="3">
        <f>(Таблица1[Кредитный рейтинг]-$AA$7)/($AA$8-$AA$7)</f>
        <v>0.96138482023968042</v>
      </c>
      <c r="T316" s="3">
        <f>(Таблица1[Срок с последнего нарушения кредитного договора (мес,)]-$AA$12)/($AA$13-$AA$12)</f>
        <v>0.40074137090909095</v>
      </c>
      <c r="U316" s="3">
        <f>(Таблица1[Количество кредитных карт]-$AA$18)/($AA$19-$AA$18)</f>
        <v>0.30952380952380953</v>
      </c>
      <c r="V316" s="3">
        <f>(Таблица1[Число нарушений кредитных договоров]-$AA$23)/($AA$24-$AA$23)</f>
        <v>0</v>
      </c>
      <c r="W316" s="3">
        <f>Таблица1[[#This Row],[Годовой доход]]/12</f>
        <v>74829.916666666672</v>
      </c>
      <c r="X316" s="3">
        <f>Таблица1[[#This Row],[Ежемесячный платеж]]/Таблица1[[#This Row],[Ежем доход]]</f>
        <v>0.25399801104504771</v>
      </c>
      <c r="Y316" s="3"/>
      <c r="Z316" s="3"/>
      <c r="AA316" s="3"/>
      <c r="AB316" s="3"/>
    </row>
    <row r="317" spans="1:28" x14ac:dyDescent="0.2">
      <c r="A317">
        <v>939</v>
      </c>
      <c r="B317" t="s">
        <v>980</v>
      </c>
      <c r="C317" t="s">
        <v>18</v>
      </c>
      <c r="D317" t="s">
        <v>19</v>
      </c>
      <c r="E317" t="s">
        <v>37</v>
      </c>
      <c r="F317" t="s">
        <v>21</v>
      </c>
      <c r="G317" t="s">
        <v>25</v>
      </c>
      <c r="H317" s="1">
        <v>522610</v>
      </c>
      <c r="I317" s="3">
        <v>728</v>
      </c>
      <c r="J317" s="3">
        <v>1067515</v>
      </c>
      <c r="K317" s="3">
        <v>24997.54</v>
      </c>
      <c r="L317" s="2">
        <v>30</v>
      </c>
      <c r="M317" s="11">
        <v>35.265240640000002</v>
      </c>
      <c r="N317" s="3">
        <v>15</v>
      </c>
      <c r="O317" s="3">
        <v>759373</v>
      </c>
      <c r="P317" s="3">
        <v>953656</v>
      </c>
      <c r="Q317" s="10">
        <v>0</v>
      </c>
      <c r="R317" s="3">
        <f>(Таблица1[Размер кредита]-$AA$2)/$AA$3</f>
        <v>1.2127569391352591</v>
      </c>
      <c r="S317" s="3">
        <f>(Таблица1[Кредитный рейтинг]-$AA$7)/($AA$8-$AA$7)</f>
        <v>0.96937416777629826</v>
      </c>
      <c r="T317" s="3">
        <f>(Таблица1[Срок с последнего нарушения кредитного договора (мес,)]-$AA$12)/($AA$13-$AA$12)</f>
        <v>0.40074137090909095</v>
      </c>
      <c r="U317" s="3">
        <f>(Таблица1[Количество кредитных карт]-$AA$18)/($AA$19-$AA$18)</f>
        <v>0.33333333333333331</v>
      </c>
      <c r="V317" s="3">
        <f>(Таблица1[Число нарушений кредитных договоров]-$AA$23)/($AA$24-$AA$23)</f>
        <v>0</v>
      </c>
      <c r="W317" s="3">
        <f>Таблица1[[#This Row],[Годовой доход]]/12</f>
        <v>88959.583333333328</v>
      </c>
      <c r="X317" s="3">
        <f>Таблица1[[#This Row],[Ежемесячный платеж]]/Таблица1[[#This Row],[Ежем доход]]</f>
        <v>0.28099884310759105</v>
      </c>
      <c r="Y317" s="3"/>
      <c r="Z317" s="3"/>
      <c r="AA317" s="3"/>
      <c r="AB317" s="3"/>
    </row>
    <row r="318" spans="1:28" x14ac:dyDescent="0.2">
      <c r="A318">
        <v>759</v>
      </c>
      <c r="B318" t="s">
        <v>800</v>
      </c>
      <c r="C318" t="s">
        <v>18</v>
      </c>
      <c r="D318" t="s">
        <v>19</v>
      </c>
      <c r="E318" t="s">
        <v>24</v>
      </c>
      <c r="F318" t="s">
        <v>33</v>
      </c>
      <c r="G318" t="s">
        <v>25</v>
      </c>
      <c r="H318" s="1">
        <v>220022</v>
      </c>
      <c r="I318" s="3">
        <v>0</v>
      </c>
      <c r="J318" s="3">
        <v>1168044</v>
      </c>
      <c r="K318" s="3">
        <v>29528.66</v>
      </c>
      <c r="L318" s="2">
        <v>22</v>
      </c>
      <c r="M318" s="11">
        <v>78</v>
      </c>
      <c r="N318" s="3">
        <v>12</v>
      </c>
      <c r="O318" s="3">
        <v>356421</v>
      </c>
      <c r="P318" s="3">
        <v>953106</v>
      </c>
      <c r="Q318" s="10">
        <v>0</v>
      </c>
      <c r="R318" s="3">
        <f>(Таблица1[Размер кредита]-$AA$2)/$AA$3</f>
        <v>-0.50996154271674354</v>
      </c>
      <c r="S318" s="3">
        <f>(Таблица1[Кредитный рейтинг]-$AA$7)/($AA$8-$AA$7)</f>
        <v>0</v>
      </c>
      <c r="T318" s="3">
        <f>(Таблица1[Срок с последнего нарушения кредитного договора (мес,)]-$AA$12)/($AA$13-$AA$12)</f>
        <v>0.88636363636363635</v>
      </c>
      <c r="U318" s="3">
        <f>(Таблица1[Количество кредитных карт]-$AA$18)/($AA$19-$AA$18)</f>
        <v>0.26190476190476192</v>
      </c>
      <c r="V318" s="3">
        <f>(Таблица1[Число нарушений кредитных договоров]-$AA$23)/($AA$24-$AA$23)</f>
        <v>0</v>
      </c>
      <c r="W318" s="3">
        <f>Таблица1[[#This Row],[Годовой доход]]/12</f>
        <v>97337</v>
      </c>
      <c r="X318" s="3">
        <f>Таблица1[[#This Row],[Ежемесячный платеж]]/Таблица1[[#This Row],[Ежем доход]]</f>
        <v>0.30336521569392932</v>
      </c>
      <c r="Y318" s="3"/>
      <c r="Z318" s="3"/>
      <c r="AA318" s="3"/>
      <c r="AB318" s="3"/>
    </row>
    <row r="319" spans="1:28" x14ac:dyDescent="0.2">
      <c r="A319">
        <v>1230</v>
      </c>
      <c r="B319" t="s">
        <v>1269</v>
      </c>
      <c r="C319" t="s">
        <v>18</v>
      </c>
      <c r="D319" t="s">
        <v>29</v>
      </c>
      <c r="E319" t="s">
        <v>32</v>
      </c>
      <c r="F319" t="s">
        <v>33</v>
      </c>
      <c r="G319" t="s">
        <v>25</v>
      </c>
      <c r="H319" s="1">
        <v>355124</v>
      </c>
      <c r="I319" s="3">
        <v>701</v>
      </c>
      <c r="J319" s="3">
        <v>1533528</v>
      </c>
      <c r="K319" s="3">
        <v>22747.37</v>
      </c>
      <c r="L319" s="2">
        <v>14.1</v>
      </c>
      <c r="M319" s="11">
        <v>53</v>
      </c>
      <c r="N319" s="3">
        <v>16</v>
      </c>
      <c r="O319" s="3">
        <v>215308</v>
      </c>
      <c r="P319" s="3">
        <v>951544</v>
      </c>
      <c r="Q319" s="10">
        <v>1</v>
      </c>
      <c r="R319" s="3">
        <f>(Таблица1[Размер кредита]-$AA$2)/$AA$3</f>
        <v>0.2592120938292175</v>
      </c>
      <c r="S319" s="3">
        <f>(Таблица1[Кредитный рейтинг]-$AA$7)/($AA$8-$AA$7)</f>
        <v>0.93342210386151803</v>
      </c>
      <c r="T319" s="3">
        <f>(Таблица1[Срок с последнего нарушения кредитного договора (мес,)]-$AA$12)/($AA$13-$AA$12)</f>
        <v>0.60227272727272729</v>
      </c>
      <c r="U319" s="3">
        <f>(Таблица1[Количество кредитных карт]-$AA$18)/($AA$19-$AA$18)</f>
        <v>0.35714285714285715</v>
      </c>
      <c r="V319" s="3">
        <f>(Таблица1[Число нарушений кредитных договоров]-$AA$23)/($AA$24-$AA$23)</f>
        <v>0.14285714285714285</v>
      </c>
      <c r="W319" s="3">
        <f>Таблица1[[#This Row],[Годовой доход]]/12</f>
        <v>127794</v>
      </c>
      <c r="X319" s="3">
        <f>Таблица1[[#This Row],[Ежемесячный платеж]]/Таблица1[[#This Row],[Ежем доход]]</f>
        <v>0.17800029735355336</v>
      </c>
      <c r="Y319" s="3"/>
      <c r="Z319" s="3"/>
      <c r="AA319" s="3"/>
      <c r="AB319" s="3"/>
    </row>
    <row r="320" spans="1:28" x14ac:dyDescent="0.2">
      <c r="A320">
        <v>368</v>
      </c>
      <c r="B320" t="s">
        <v>410</v>
      </c>
      <c r="C320" t="s">
        <v>18</v>
      </c>
      <c r="D320" t="s">
        <v>19</v>
      </c>
      <c r="E320" t="s">
        <v>24</v>
      </c>
      <c r="F320" t="s">
        <v>21</v>
      </c>
      <c r="G320" t="s">
        <v>25</v>
      </c>
      <c r="H320" s="1">
        <v>776864</v>
      </c>
      <c r="I320" s="3">
        <v>687</v>
      </c>
      <c r="J320" s="3">
        <v>1629383</v>
      </c>
      <c r="K320" s="3">
        <v>34895.78</v>
      </c>
      <c r="L320" s="2">
        <v>19.600000000000001</v>
      </c>
      <c r="M320" s="11">
        <v>63</v>
      </c>
      <c r="N320" s="3">
        <v>24</v>
      </c>
      <c r="O320" s="3">
        <v>481783</v>
      </c>
      <c r="P320" s="3">
        <v>950334</v>
      </c>
      <c r="Q320" s="10">
        <v>1</v>
      </c>
      <c r="R320" s="3">
        <f>(Таблица1[Размер кредита]-$AA$2)/$AA$3</f>
        <v>2.6602963818256473</v>
      </c>
      <c r="S320" s="3">
        <f>(Таблица1[Кредитный рейтинг]-$AA$7)/($AA$8-$AA$7)</f>
        <v>0.91478029294274299</v>
      </c>
      <c r="T320" s="3">
        <f>(Таблица1[Срок с последнего нарушения кредитного договора (мес,)]-$AA$12)/($AA$13-$AA$12)</f>
        <v>0.71590909090909094</v>
      </c>
      <c r="U320" s="3">
        <f>(Таблица1[Количество кредитных карт]-$AA$18)/($AA$19-$AA$18)</f>
        <v>0.54761904761904767</v>
      </c>
      <c r="V320" s="3">
        <f>(Таблица1[Число нарушений кредитных договоров]-$AA$23)/($AA$24-$AA$23)</f>
        <v>0.14285714285714285</v>
      </c>
      <c r="W320" s="3">
        <f>Таблица1[[#This Row],[Годовой доход]]/12</f>
        <v>135781.91666666666</v>
      </c>
      <c r="X320" s="3">
        <f>Таблица1[[#This Row],[Ежемесячный платеж]]/Таблица1[[#This Row],[Ежем доход]]</f>
        <v>0.25699872896673159</v>
      </c>
      <c r="Y320" s="3"/>
      <c r="Z320" s="3"/>
      <c r="AA320" s="3"/>
      <c r="AB320" s="3"/>
    </row>
    <row r="321" spans="1:28" x14ac:dyDescent="0.2">
      <c r="A321">
        <v>688</v>
      </c>
      <c r="B321" t="s">
        <v>729</v>
      </c>
      <c r="C321" t="s">
        <v>18</v>
      </c>
      <c r="D321" t="s">
        <v>29</v>
      </c>
      <c r="E321" t="s">
        <v>24</v>
      </c>
      <c r="F321" t="s">
        <v>33</v>
      </c>
      <c r="G321" t="s">
        <v>25</v>
      </c>
      <c r="H321" s="1">
        <v>333212</v>
      </c>
      <c r="I321" s="3">
        <v>692</v>
      </c>
      <c r="J321" s="3">
        <v>959215</v>
      </c>
      <c r="K321" s="3">
        <v>26698.23</v>
      </c>
      <c r="L321" s="2">
        <v>17.399999999999999</v>
      </c>
      <c r="M321" s="11">
        <v>36</v>
      </c>
      <c r="N321" s="3">
        <v>9</v>
      </c>
      <c r="O321" s="3">
        <v>616968</v>
      </c>
      <c r="P321" s="3">
        <v>948706</v>
      </c>
      <c r="Q321" s="10">
        <v>0</v>
      </c>
      <c r="R321" s="3">
        <f>(Таблица1[Размер кредита]-$AA$2)/$AA$3</f>
        <v>0.13446092268448909</v>
      </c>
      <c r="S321" s="3">
        <f>(Таблица1[Кредитный рейтинг]-$AA$7)/($AA$8-$AA$7)</f>
        <v>0.92143808255659121</v>
      </c>
      <c r="T321" s="3">
        <f>(Таблица1[Срок с последнего нарушения кредитного договора (мес,)]-$AA$12)/($AA$13-$AA$12)</f>
        <v>0.40909090909090912</v>
      </c>
      <c r="U321" s="3">
        <f>(Таблица1[Количество кредитных карт]-$AA$18)/($AA$19-$AA$18)</f>
        <v>0.19047619047619047</v>
      </c>
      <c r="V321" s="3">
        <f>(Таблица1[Число нарушений кредитных договоров]-$AA$23)/($AA$24-$AA$23)</f>
        <v>0</v>
      </c>
      <c r="W321" s="3">
        <f>Таблица1[[#This Row],[Годовой доход]]/12</f>
        <v>79934.583333333328</v>
      </c>
      <c r="X321" s="3">
        <f>Таблица1[[#This Row],[Ежемесячный платеж]]/Таблица1[[#This Row],[Ежем доход]]</f>
        <v>0.33400099039318609</v>
      </c>
      <c r="Y321" s="3"/>
      <c r="Z321" s="3"/>
      <c r="AA321" s="3"/>
      <c r="AB321" s="3"/>
    </row>
    <row r="322" spans="1:28" x14ac:dyDescent="0.2">
      <c r="A322">
        <v>63</v>
      </c>
      <c r="B322" t="s">
        <v>105</v>
      </c>
      <c r="C322" t="s">
        <v>18</v>
      </c>
      <c r="D322" t="s">
        <v>19</v>
      </c>
      <c r="E322" t="s">
        <v>52</v>
      </c>
      <c r="F322" t="s">
        <v>21</v>
      </c>
      <c r="G322" t="s">
        <v>25</v>
      </c>
      <c r="H322" s="1">
        <v>152548</v>
      </c>
      <c r="I322" s="3">
        <v>0</v>
      </c>
      <c r="J322" s="3">
        <v>1168044</v>
      </c>
      <c r="K322" s="3">
        <v>19164.54</v>
      </c>
      <c r="L322" s="2">
        <v>12.1</v>
      </c>
      <c r="M322" s="11">
        <v>26</v>
      </c>
      <c r="N322" s="3">
        <v>22</v>
      </c>
      <c r="O322" s="3">
        <v>120916</v>
      </c>
      <c r="P322" s="3">
        <v>946000</v>
      </c>
      <c r="Q322" s="10">
        <v>0</v>
      </c>
      <c r="R322" s="3">
        <f>(Таблица1[Размер кредита]-$AA$2)/$AA$3</f>
        <v>-0.89410997836019945</v>
      </c>
      <c r="S322" s="3">
        <f>(Таблица1[Кредитный рейтинг]-$AA$7)/($AA$8-$AA$7)</f>
        <v>0</v>
      </c>
      <c r="T322" s="3">
        <f>(Таблица1[Срок с последнего нарушения кредитного договора (мес,)]-$AA$12)/($AA$13-$AA$12)</f>
        <v>0.29545454545454547</v>
      </c>
      <c r="U322" s="3">
        <f>(Таблица1[Количество кредитных карт]-$AA$18)/($AA$19-$AA$18)</f>
        <v>0.5</v>
      </c>
      <c r="V322" s="3">
        <f>(Таблица1[Число нарушений кредитных договоров]-$AA$23)/($AA$24-$AA$23)</f>
        <v>0</v>
      </c>
      <c r="W322" s="3">
        <f>Таблица1[[#This Row],[Годовой доход]]/12</f>
        <v>97337</v>
      </c>
      <c r="X322" s="3">
        <f>Таблица1[[#This Row],[Ежемесячный платеж]]/Таблица1[[#This Row],[Ежем доход]]</f>
        <v>0.19688854186999805</v>
      </c>
      <c r="Y322" s="3"/>
      <c r="Z322" s="3"/>
      <c r="AA322" s="3"/>
      <c r="AB322" s="3"/>
    </row>
    <row r="323" spans="1:28" x14ac:dyDescent="0.2">
      <c r="A323">
        <v>1539</v>
      </c>
      <c r="B323" t="s">
        <v>1578</v>
      </c>
      <c r="C323" t="s">
        <v>35</v>
      </c>
      <c r="D323" t="s">
        <v>29</v>
      </c>
      <c r="E323" t="s">
        <v>30</v>
      </c>
      <c r="F323" t="s">
        <v>33</v>
      </c>
      <c r="G323" t="s">
        <v>25</v>
      </c>
      <c r="H323" s="1">
        <v>450208</v>
      </c>
      <c r="I323" s="3">
        <v>658</v>
      </c>
      <c r="J323" s="3">
        <v>1030370</v>
      </c>
      <c r="K323" s="3">
        <v>12536.01</v>
      </c>
      <c r="L323" s="2">
        <v>18.7</v>
      </c>
      <c r="M323" s="11">
        <v>26</v>
      </c>
      <c r="N323" s="3">
        <v>11</v>
      </c>
      <c r="O323" s="3">
        <v>341411</v>
      </c>
      <c r="P323" s="3">
        <v>945758</v>
      </c>
      <c r="Q323" s="10">
        <v>0</v>
      </c>
      <c r="R323" s="3">
        <f>(Таблица1[Размер кредита]-$AA$2)/$AA$3</f>
        <v>0.80055201520222574</v>
      </c>
      <c r="S323" s="3">
        <f>(Таблица1[Кредитный рейтинг]-$AA$7)/($AA$8-$AA$7)</f>
        <v>0.87616511318242341</v>
      </c>
      <c r="T323" s="3">
        <f>(Таблица1[Срок с последнего нарушения кредитного договора (мес,)]-$AA$12)/($AA$13-$AA$12)</f>
        <v>0.29545454545454547</v>
      </c>
      <c r="U323" s="3">
        <f>(Таблица1[Количество кредитных карт]-$AA$18)/($AA$19-$AA$18)</f>
        <v>0.23809523809523808</v>
      </c>
      <c r="V323" s="3">
        <f>(Таблица1[Число нарушений кредитных договоров]-$AA$23)/($AA$24-$AA$23)</f>
        <v>0</v>
      </c>
      <c r="W323" s="3">
        <f>Таблица1[[#This Row],[Годовой доход]]/12</f>
        <v>85864.166666666672</v>
      </c>
      <c r="X323" s="3">
        <f>Таблица1[[#This Row],[Ежемесячный платеж]]/Таблица1[[#This Row],[Ежем доход]]</f>
        <v>0.1459981560022128</v>
      </c>
      <c r="Y323" s="3"/>
      <c r="Z323" s="3"/>
      <c r="AA323" s="3"/>
      <c r="AB323" s="3"/>
    </row>
    <row r="324" spans="1:28" x14ac:dyDescent="0.2">
      <c r="A324">
        <v>1125</v>
      </c>
      <c r="B324" t="s">
        <v>1164</v>
      </c>
      <c r="C324" t="s">
        <v>35</v>
      </c>
      <c r="D324" t="s">
        <v>19</v>
      </c>
      <c r="E324" t="s">
        <v>47</v>
      </c>
      <c r="F324" t="s">
        <v>33</v>
      </c>
      <c r="G324" t="s">
        <v>25</v>
      </c>
      <c r="H324" s="1">
        <v>131582</v>
      </c>
      <c r="I324" s="3">
        <v>736</v>
      </c>
      <c r="J324" s="3">
        <v>1704699</v>
      </c>
      <c r="K324" s="3">
        <v>22303.15</v>
      </c>
      <c r="L324" s="2">
        <v>14.9</v>
      </c>
      <c r="M324" s="11">
        <v>35.265240640000002</v>
      </c>
      <c r="N324" s="3">
        <v>14</v>
      </c>
      <c r="O324" s="3">
        <v>777024</v>
      </c>
      <c r="P324" s="3">
        <v>945054</v>
      </c>
      <c r="Q324" s="10">
        <v>0</v>
      </c>
      <c r="R324" s="3">
        <f>(Таблица1[Размер кредита]-$AA$2)/$AA$3</f>
        <v>-1.0134753057707679</v>
      </c>
      <c r="S324" s="3">
        <f>(Таблица1[Кредитный рейтинг]-$AA$7)/($AA$8-$AA$7)</f>
        <v>0.98002663115845534</v>
      </c>
      <c r="T324" s="3">
        <f>(Таблица1[Срок с последнего нарушения кредитного договора (мес,)]-$AA$12)/($AA$13-$AA$12)</f>
        <v>0.40074137090909095</v>
      </c>
      <c r="U324" s="3">
        <f>(Таблица1[Количество кредитных карт]-$AA$18)/($AA$19-$AA$18)</f>
        <v>0.30952380952380953</v>
      </c>
      <c r="V324" s="3">
        <f>(Таблица1[Число нарушений кредитных договоров]-$AA$23)/($AA$24-$AA$23)</f>
        <v>0</v>
      </c>
      <c r="W324" s="3">
        <f>Таблица1[[#This Row],[Годовой доход]]/12</f>
        <v>142058.25</v>
      </c>
      <c r="X324" s="3">
        <f>Таблица1[[#This Row],[Ежемесячный платеж]]/Таблица1[[#This Row],[Ежем доход]]</f>
        <v>0.15700003343698801</v>
      </c>
      <c r="Y324" s="3"/>
      <c r="Z324" s="3"/>
      <c r="AA324" s="3"/>
      <c r="AB324" s="3"/>
    </row>
    <row r="325" spans="1:28" x14ac:dyDescent="0.2">
      <c r="A325">
        <v>1433</v>
      </c>
      <c r="B325" t="s">
        <v>1472</v>
      </c>
      <c r="C325" t="s">
        <v>18</v>
      </c>
      <c r="D325" t="s">
        <v>29</v>
      </c>
      <c r="E325" t="s">
        <v>63</v>
      </c>
      <c r="F325" t="s">
        <v>21</v>
      </c>
      <c r="G325" t="s">
        <v>25</v>
      </c>
      <c r="H325" s="1">
        <v>346544</v>
      </c>
      <c r="I325" s="3">
        <v>722</v>
      </c>
      <c r="J325" s="3">
        <v>972686</v>
      </c>
      <c r="K325" s="3">
        <v>24073.95</v>
      </c>
      <c r="L325" s="2">
        <v>22.5</v>
      </c>
      <c r="M325" s="11">
        <v>35.265240640000002</v>
      </c>
      <c r="N325" s="3">
        <v>14</v>
      </c>
      <c r="O325" s="3">
        <v>434606</v>
      </c>
      <c r="P325" s="3">
        <v>944130</v>
      </c>
      <c r="Q325" s="10">
        <v>0</v>
      </c>
      <c r="R325" s="3">
        <f>(Таблица1[Размер кредита]-$AA$2)/$AA$3</f>
        <v>0.21036374368218527</v>
      </c>
      <c r="S325" s="3">
        <f>(Таблица1[Кредитный рейтинг]-$AA$7)/($AA$8-$AA$7)</f>
        <v>0.96138482023968042</v>
      </c>
      <c r="T325" s="3">
        <f>(Таблица1[Срок с последнего нарушения кредитного договора (мес,)]-$AA$12)/($AA$13-$AA$12)</f>
        <v>0.40074137090909095</v>
      </c>
      <c r="U325" s="3">
        <f>(Таблица1[Количество кредитных карт]-$AA$18)/($AA$19-$AA$18)</f>
        <v>0.30952380952380953</v>
      </c>
      <c r="V325" s="3">
        <f>(Таблица1[Число нарушений кредитных договоров]-$AA$23)/($AA$24-$AA$23)</f>
        <v>0</v>
      </c>
      <c r="W325" s="3">
        <f>Таблица1[[#This Row],[Годовой доход]]/12</f>
        <v>81057.166666666672</v>
      </c>
      <c r="X325" s="3">
        <f>Таблица1[[#This Row],[Ежемесячный платеж]]/Таблица1[[#This Row],[Ежем доход]]</f>
        <v>0.29699964839629645</v>
      </c>
      <c r="Y325" s="3"/>
      <c r="Z325" s="3"/>
      <c r="AA325" s="3"/>
      <c r="AB325" s="3"/>
    </row>
    <row r="326" spans="1:28" x14ac:dyDescent="0.2">
      <c r="A326">
        <v>442</v>
      </c>
      <c r="B326" t="s">
        <v>483</v>
      </c>
      <c r="C326" t="s">
        <v>18</v>
      </c>
      <c r="D326" t="s">
        <v>29</v>
      </c>
      <c r="E326" t="s">
        <v>24</v>
      </c>
      <c r="F326" t="s">
        <v>21</v>
      </c>
      <c r="G326" t="s">
        <v>25</v>
      </c>
      <c r="H326" s="1">
        <v>531168</v>
      </c>
      <c r="I326" s="3">
        <v>724</v>
      </c>
      <c r="J326" s="3">
        <v>1834944</v>
      </c>
      <c r="K326" s="3">
        <v>23242.7</v>
      </c>
      <c r="L326" s="2">
        <v>38</v>
      </c>
      <c r="M326" s="11">
        <v>75</v>
      </c>
      <c r="N326" s="3">
        <v>16</v>
      </c>
      <c r="O326" s="3">
        <v>534033</v>
      </c>
      <c r="P326" s="3">
        <v>942612</v>
      </c>
      <c r="Q326" s="10">
        <v>0</v>
      </c>
      <c r="R326" s="3">
        <f>(Таблица1[Размер кредита]-$AA$2)/$AA$3</f>
        <v>1.2614800371024273</v>
      </c>
      <c r="S326" s="3">
        <f>(Таблица1[Кредитный рейтинг]-$AA$7)/($AA$8-$AA$7)</f>
        <v>0.96404793608521966</v>
      </c>
      <c r="T326" s="3">
        <f>(Таблица1[Срок с последнего нарушения кредитного договора (мес,)]-$AA$12)/($AA$13-$AA$12)</f>
        <v>0.85227272727272729</v>
      </c>
      <c r="U326" s="3">
        <f>(Таблица1[Количество кредитных карт]-$AA$18)/($AA$19-$AA$18)</f>
        <v>0.35714285714285715</v>
      </c>
      <c r="V326" s="3">
        <f>(Таблица1[Число нарушений кредитных договоров]-$AA$23)/($AA$24-$AA$23)</f>
        <v>0</v>
      </c>
      <c r="W326" s="3">
        <f>Таблица1[[#This Row],[Годовой доход]]/12</f>
        <v>152912</v>
      </c>
      <c r="X326" s="3">
        <f>Таблица1[[#This Row],[Ежемесячный платеж]]/Таблица1[[#This Row],[Ежем доход]]</f>
        <v>0.15200049701789264</v>
      </c>
      <c r="Y326" s="3"/>
      <c r="Z326" s="3"/>
      <c r="AA326" s="3"/>
      <c r="AB326" s="3"/>
    </row>
    <row r="327" spans="1:28" x14ac:dyDescent="0.2">
      <c r="A327">
        <v>1999</v>
      </c>
      <c r="B327" t="s">
        <v>2035</v>
      </c>
      <c r="C327" t="s">
        <v>18</v>
      </c>
      <c r="D327" t="s">
        <v>29</v>
      </c>
      <c r="E327" t="s">
        <v>37</v>
      </c>
      <c r="F327" t="s">
        <v>33</v>
      </c>
      <c r="G327" t="s">
        <v>25</v>
      </c>
      <c r="H327" s="1">
        <v>573936</v>
      </c>
      <c r="I327" s="3">
        <v>723</v>
      </c>
      <c r="J327" s="3">
        <v>2001783</v>
      </c>
      <c r="K327" s="3">
        <v>39868.839999999997</v>
      </c>
      <c r="L327" s="2">
        <v>21.6</v>
      </c>
      <c r="M327" s="11">
        <v>35.265240640000002</v>
      </c>
      <c r="N327" s="3">
        <v>14</v>
      </c>
      <c r="O327" s="3">
        <v>305653</v>
      </c>
      <c r="P327" s="3">
        <v>941226</v>
      </c>
      <c r="Q327" s="10">
        <v>0</v>
      </c>
      <c r="R327" s="3">
        <f>(Таблица1[Размер кредита]-$AA$2)/$AA$3</f>
        <v>1.5049702747584031</v>
      </c>
      <c r="S327" s="3">
        <f>(Таблица1[Кредитный рейтинг]-$AA$7)/($AA$8-$AA$7)</f>
        <v>0.96271637816245004</v>
      </c>
      <c r="T327" s="3">
        <f>(Таблица1[Срок с последнего нарушения кредитного договора (мес,)]-$AA$12)/($AA$13-$AA$12)</f>
        <v>0.40074137090909095</v>
      </c>
      <c r="U327" s="3">
        <f>(Таблица1[Количество кредитных карт]-$AA$18)/($AA$19-$AA$18)</f>
        <v>0.30952380952380953</v>
      </c>
      <c r="V327" s="3">
        <f>(Таблица1[Число нарушений кредитных договоров]-$AA$23)/($AA$24-$AA$23)</f>
        <v>0</v>
      </c>
      <c r="W327" s="3">
        <f>Таблица1[[#This Row],[Годовой доход]]/12</f>
        <v>166815.25</v>
      </c>
      <c r="X327" s="3">
        <f>Таблица1[[#This Row],[Ежемесячный платеж]]/Таблица1[[#This Row],[Ежем доход]]</f>
        <v>0.2389999715253851</v>
      </c>
      <c r="Y327" s="3"/>
      <c r="Z327" s="3"/>
      <c r="AA327" s="3"/>
      <c r="AB327" s="3"/>
    </row>
    <row r="328" spans="1:28" x14ac:dyDescent="0.2">
      <c r="A328">
        <v>291</v>
      </c>
      <c r="B328" t="s">
        <v>333</v>
      </c>
      <c r="C328" t="s">
        <v>18</v>
      </c>
      <c r="D328" t="s">
        <v>19</v>
      </c>
      <c r="E328" t="s">
        <v>30</v>
      </c>
      <c r="F328" t="s">
        <v>21</v>
      </c>
      <c r="G328" t="s">
        <v>25</v>
      </c>
      <c r="H328" s="1">
        <v>219186</v>
      </c>
      <c r="I328" s="3">
        <v>748</v>
      </c>
      <c r="J328" s="3">
        <v>2233697</v>
      </c>
      <c r="K328" s="3">
        <v>14779.72</v>
      </c>
      <c r="L328" s="2">
        <v>20.6</v>
      </c>
      <c r="M328" s="11">
        <v>37</v>
      </c>
      <c r="N328" s="3">
        <v>11</v>
      </c>
      <c r="O328" s="3">
        <v>281618</v>
      </c>
      <c r="P328" s="3">
        <v>939708</v>
      </c>
      <c r="Q328" s="10">
        <v>0</v>
      </c>
      <c r="R328" s="3">
        <f>(Таблица1[Размер кредита]-$AA$2)/$AA$3</f>
        <v>-0.51472112555158267</v>
      </c>
      <c r="S328" s="3">
        <f>(Таблица1[Кредитный рейтинг]-$AA$7)/($AA$8-$AA$7)</f>
        <v>0.99600532623169102</v>
      </c>
      <c r="T328" s="3">
        <f>(Таблица1[Срок с последнего нарушения кредитного договора (мес,)]-$AA$12)/($AA$13-$AA$12)</f>
        <v>0.42045454545454547</v>
      </c>
      <c r="U328" s="3">
        <f>(Таблица1[Количество кредитных карт]-$AA$18)/($AA$19-$AA$18)</f>
        <v>0.23809523809523808</v>
      </c>
      <c r="V328" s="3">
        <f>(Таблица1[Число нарушений кредитных договоров]-$AA$23)/($AA$24-$AA$23)</f>
        <v>0</v>
      </c>
      <c r="W328" s="3">
        <f>Таблица1[[#This Row],[Годовой доход]]/12</f>
        <v>186141.41666666666</v>
      </c>
      <c r="X328" s="3">
        <f>Таблица1[[#This Row],[Ежемесячный платеж]]/Таблица1[[#This Row],[Ежем доход]]</f>
        <v>7.9400491651284849E-2</v>
      </c>
      <c r="Y328" s="3"/>
      <c r="Z328" s="3"/>
      <c r="AA328" s="3"/>
      <c r="AB328" s="3"/>
    </row>
    <row r="329" spans="1:28" x14ac:dyDescent="0.2">
      <c r="A329">
        <v>1210</v>
      </c>
      <c r="B329" t="s">
        <v>1249</v>
      </c>
      <c r="C329" t="s">
        <v>35</v>
      </c>
      <c r="D329" t="s">
        <v>19</v>
      </c>
      <c r="E329" t="s">
        <v>24</v>
      </c>
      <c r="F329" t="s">
        <v>21</v>
      </c>
      <c r="G329" t="s">
        <v>25</v>
      </c>
      <c r="H329" s="1">
        <v>232760</v>
      </c>
      <c r="I329" s="3">
        <v>725</v>
      </c>
      <c r="J329" s="3">
        <v>654493</v>
      </c>
      <c r="K329" s="3">
        <v>13526.1</v>
      </c>
      <c r="L329" s="2">
        <v>20.8</v>
      </c>
      <c r="M329" s="11">
        <v>51</v>
      </c>
      <c r="N329" s="3">
        <v>17</v>
      </c>
      <c r="O329" s="3">
        <v>359195</v>
      </c>
      <c r="P329" s="3">
        <v>938828</v>
      </c>
      <c r="Q329" s="10">
        <v>0</v>
      </c>
      <c r="R329" s="3">
        <f>(Таблица1[Размер кредита]-$AA$2)/$AA$3</f>
        <v>-0.4374405305753804</v>
      </c>
      <c r="S329" s="3">
        <f>(Таблица1[Кредитный рейтинг]-$AA$7)/($AA$8-$AA$7)</f>
        <v>0.96537949400798939</v>
      </c>
      <c r="T329" s="3">
        <f>(Таблица1[Срок с последнего нарушения кредитного договора (мес,)]-$AA$12)/($AA$13-$AA$12)</f>
        <v>0.57954545454545459</v>
      </c>
      <c r="U329" s="3">
        <f>(Таблица1[Количество кредитных карт]-$AA$18)/($AA$19-$AA$18)</f>
        <v>0.38095238095238093</v>
      </c>
      <c r="V329" s="3">
        <f>(Таблица1[Число нарушений кредитных договоров]-$AA$23)/($AA$24-$AA$23)</f>
        <v>0</v>
      </c>
      <c r="W329" s="3">
        <f>Таблица1[[#This Row],[Годовой доход]]/12</f>
        <v>54541.083333333336</v>
      </c>
      <c r="X329" s="3">
        <f>Таблица1[[#This Row],[Ежемесячный платеж]]/Таблица1[[#This Row],[Ежем доход]]</f>
        <v>0.24799837431416377</v>
      </c>
      <c r="Y329" s="3"/>
      <c r="Z329" s="3"/>
      <c r="AA329" s="3"/>
      <c r="AB329" s="3"/>
    </row>
    <row r="330" spans="1:28" x14ac:dyDescent="0.2">
      <c r="A330">
        <v>1351</v>
      </c>
      <c r="B330" t="s">
        <v>1390</v>
      </c>
      <c r="C330" t="s">
        <v>18</v>
      </c>
      <c r="D330" t="s">
        <v>29</v>
      </c>
      <c r="E330" t="s">
        <v>47</v>
      </c>
      <c r="F330" t="s">
        <v>33</v>
      </c>
      <c r="G330" t="s">
        <v>25</v>
      </c>
      <c r="H330" s="1">
        <v>545842</v>
      </c>
      <c r="I330" s="3">
        <v>676</v>
      </c>
      <c r="J330" s="3">
        <v>1123660</v>
      </c>
      <c r="K330" s="3">
        <v>36331.800000000003</v>
      </c>
      <c r="L330" s="2">
        <v>17</v>
      </c>
      <c r="M330" s="11">
        <v>49</v>
      </c>
      <c r="N330" s="3">
        <v>20</v>
      </c>
      <c r="O330" s="3">
        <v>445341</v>
      </c>
      <c r="P330" s="3">
        <v>935858</v>
      </c>
      <c r="Q330" s="10">
        <v>0</v>
      </c>
      <c r="R330" s="3">
        <f>(Таблица1[Размер кредита]-$AA$2)/$AA$3</f>
        <v>1.3450232410718388</v>
      </c>
      <c r="S330" s="3">
        <f>(Таблица1[Кредитный рейтинг]-$AA$7)/($AA$8-$AA$7)</f>
        <v>0.90013315579227693</v>
      </c>
      <c r="T330" s="3">
        <f>(Таблица1[Срок с последнего нарушения кредитного договора (мес,)]-$AA$12)/($AA$13-$AA$12)</f>
        <v>0.55681818181818177</v>
      </c>
      <c r="U330" s="3">
        <f>(Таблица1[Количество кредитных карт]-$AA$18)/($AA$19-$AA$18)</f>
        <v>0.45238095238095238</v>
      </c>
      <c r="V330" s="3">
        <f>(Таблица1[Число нарушений кредитных договоров]-$AA$23)/($AA$24-$AA$23)</f>
        <v>0</v>
      </c>
      <c r="W330" s="3">
        <f>Таблица1[[#This Row],[Годовой доход]]/12</f>
        <v>93638.333333333328</v>
      </c>
      <c r="X330" s="3">
        <f>Таблица1[[#This Row],[Ежемесячный платеж]]/Таблица1[[#This Row],[Ежем доход]]</f>
        <v>0.38800135272235381</v>
      </c>
      <c r="Y330" s="3"/>
      <c r="Z330" s="3"/>
      <c r="AA330" s="3"/>
      <c r="AB330" s="3"/>
    </row>
    <row r="331" spans="1:28" x14ac:dyDescent="0.2">
      <c r="A331">
        <v>685</v>
      </c>
      <c r="B331" t="s">
        <v>726</v>
      </c>
      <c r="C331" t="s">
        <v>35</v>
      </c>
      <c r="D331" t="s">
        <v>19</v>
      </c>
      <c r="E331" t="s">
        <v>24</v>
      </c>
      <c r="F331" t="s">
        <v>21</v>
      </c>
      <c r="G331" t="s">
        <v>25</v>
      </c>
      <c r="H331" s="1">
        <v>671506</v>
      </c>
      <c r="I331" s="3">
        <v>706</v>
      </c>
      <c r="J331" s="3">
        <v>1784423</v>
      </c>
      <c r="K331" s="3">
        <v>44610.48</v>
      </c>
      <c r="L331" s="2">
        <v>22.8</v>
      </c>
      <c r="M331" s="11">
        <v>35.265240640000002</v>
      </c>
      <c r="N331" s="3">
        <v>14</v>
      </c>
      <c r="O331" s="3">
        <v>548663</v>
      </c>
      <c r="P331" s="3">
        <v>935660</v>
      </c>
      <c r="Q331" s="10">
        <v>0</v>
      </c>
      <c r="R331" s="3">
        <f>(Таблица1[Размер кредита]-$AA$2)/$AA$3</f>
        <v>2.0604636924560644</v>
      </c>
      <c r="S331" s="3">
        <f>(Таблица1[Кредитный рейтинг]-$AA$7)/($AA$8-$AA$7)</f>
        <v>0.94007989347536614</v>
      </c>
      <c r="T331" s="3">
        <f>(Таблица1[Срок с последнего нарушения кредитного договора (мес,)]-$AA$12)/($AA$13-$AA$12)</f>
        <v>0.40074137090909095</v>
      </c>
      <c r="U331" s="3">
        <f>(Таблица1[Количество кредитных карт]-$AA$18)/($AA$19-$AA$18)</f>
        <v>0.30952380952380953</v>
      </c>
      <c r="V331" s="3">
        <f>(Таблица1[Число нарушений кредитных договоров]-$AA$23)/($AA$24-$AA$23)</f>
        <v>0</v>
      </c>
      <c r="W331" s="3">
        <f>Таблица1[[#This Row],[Годовой доход]]/12</f>
        <v>148701.91666666666</v>
      </c>
      <c r="X331" s="3">
        <f>Таблица1[[#This Row],[Ежемесячный платеж]]/Таблица1[[#This Row],[Ежем доход]]</f>
        <v>0.29999936113802617</v>
      </c>
      <c r="Y331" s="3"/>
      <c r="Z331" s="3"/>
      <c r="AA331" s="3"/>
      <c r="AB331" s="3"/>
    </row>
    <row r="332" spans="1:28" x14ac:dyDescent="0.2">
      <c r="A332">
        <v>1069</v>
      </c>
      <c r="B332" t="s">
        <v>1108</v>
      </c>
      <c r="C332" t="s">
        <v>18</v>
      </c>
      <c r="D332" t="s">
        <v>29</v>
      </c>
      <c r="E332" t="s">
        <v>24</v>
      </c>
      <c r="F332" t="s">
        <v>21</v>
      </c>
      <c r="G332" t="s">
        <v>22</v>
      </c>
      <c r="H332" s="1">
        <v>399410</v>
      </c>
      <c r="I332" s="3">
        <v>0</v>
      </c>
      <c r="J332" s="3">
        <v>1168044</v>
      </c>
      <c r="K332" s="3">
        <v>25316.36</v>
      </c>
      <c r="L332" s="2">
        <v>18.600000000000001</v>
      </c>
      <c r="M332" s="11">
        <v>35.265240640000002</v>
      </c>
      <c r="N332" s="3">
        <v>10</v>
      </c>
      <c r="O332" s="3">
        <v>265259</v>
      </c>
      <c r="P332" s="3">
        <v>933570</v>
      </c>
      <c r="Q332" s="10">
        <v>0</v>
      </c>
      <c r="R332" s="3">
        <f>(Таблица1[Размер кредита]-$AA$2)/$AA$3</f>
        <v>0.51134473189582219</v>
      </c>
      <c r="S332" s="3">
        <f>(Таблица1[Кредитный рейтинг]-$AA$7)/($AA$8-$AA$7)</f>
        <v>0</v>
      </c>
      <c r="T332" s="3">
        <f>(Таблица1[Срок с последнего нарушения кредитного договора (мес,)]-$AA$12)/($AA$13-$AA$12)</f>
        <v>0.40074137090909095</v>
      </c>
      <c r="U332" s="3">
        <f>(Таблица1[Количество кредитных карт]-$AA$18)/($AA$19-$AA$18)</f>
        <v>0.21428571428571427</v>
      </c>
      <c r="V332" s="3">
        <f>(Таблица1[Число нарушений кредитных договоров]-$AA$23)/($AA$24-$AA$23)</f>
        <v>0</v>
      </c>
      <c r="W332" s="3">
        <f>Таблица1[[#This Row],[Годовой доход]]/12</f>
        <v>97337</v>
      </c>
      <c r="X332" s="3">
        <f>Таблица1[[#This Row],[Ежемесячный платеж]]/Таблица1[[#This Row],[Ежем доход]]</f>
        <v>0.26008979113800507</v>
      </c>
      <c r="Y332" s="3"/>
      <c r="Z332" s="3"/>
      <c r="AA332" s="3"/>
      <c r="AB332" s="3"/>
    </row>
    <row r="333" spans="1:28" x14ac:dyDescent="0.2">
      <c r="A333">
        <v>1450</v>
      </c>
      <c r="B333" t="s">
        <v>1489</v>
      </c>
      <c r="C333" t="s">
        <v>18</v>
      </c>
      <c r="D333" t="s">
        <v>29</v>
      </c>
      <c r="E333" t="s">
        <v>69</v>
      </c>
      <c r="F333" t="s">
        <v>33</v>
      </c>
      <c r="G333" t="s">
        <v>25</v>
      </c>
      <c r="H333" s="1">
        <v>309594.52439999999</v>
      </c>
      <c r="I333" s="3">
        <v>738</v>
      </c>
      <c r="J333" s="3">
        <v>1341704</v>
      </c>
      <c r="K333" s="3">
        <v>5646.23</v>
      </c>
      <c r="L333" s="2">
        <v>18.899999999999999</v>
      </c>
      <c r="M333" s="11">
        <v>35.265240640000002</v>
      </c>
      <c r="N333" s="3">
        <v>10</v>
      </c>
      <c r="O333" s="3">
        <v>182058</v>
      </c>
      <c r="P333" s="3">
        <v>932734</v>
      </c>
      <c r="Q333" s="10">
        <v>0</v>
      </c>
      <c r="R333" s="3">
        <f>(Таблица1[Размер кредита]-$AA$2)/$AA$3</f>
        <v>-1.2411115481956205E-10</v>
      </c>
      <c r="S333" s="3">
        <f>(Таблица1[Кредитный рейтинг]-$AA$7)/($AA$8-$AA$7)</f>
        <v>0.9826897470039947</v>
      </c>
      <c r="T333" s="3">
        <f>(Таблица1[Срок с последнего нарушения кредитного договора (мес,)]-$AA$12)/($AA$13-$AA$12)</f>
        <v>0.40074137090909095</v>
      </c>
      <c r="U333" s="3">
        <f>(Таблица1[Количество кредитных карт]-$AA$18)/($AA$19-$AA$18)</f>
        <v>0.21428571428571427</v>
      </c>
      <c r="V333" s="3">
        <f>(Таблица1[Число нарушений кредитных договоров]-$AA$23)/($AA$24-$AA$23)</f>
        <v>0</v>
      </c>
      <c r="W333" s="3">
        <f>Таблица1[[#This Row],[Годовой доход]]/12</f>
        <v>111808.66666666667</v>
      </c>
      <c r="X333" s="3">
        <f>Таблица1[[#This Row],[Ежемесячный платеж]]/Таблица1[[#This Row],[Ежем доход]]</f>
        <v>5.0499037045428789E-2</v>
      </c>
      <c r="Y333" s="3"/>
      <c r="Z333" s="3"/>
      <c r="AA333" s="3"/>
      <c r="AB333" s="3"/>
    </row>
    <row r="334" spans="1:28" x14ac:dyDescent="0.2">
      <c r="A334">
        <v>1403</v>
      </c>
      <c r="B334" t="s">
        <v>1442</v>
      </c>
      <c r="C334" t="s">
        <v>18</v>
      </c>
      <c r="D334" t="s">
        <v>29</v>
      </c>
      <c r="E334" t="s">
        <v>30</v>
      </c>
      <c r="F334" t="s">
        <v>27</v>
      </c>
      <c r="G334" t="s">
        <v>22</v>
      </c>
      <c r="H334" s="1">
        <v>451154</v>
      </c>
      <c r="I334" s="3">
        <v>726</v>
      </c>
      <c r="J334" s="3">
        <v>5306301</v>
      </c>
      <c r="K334" s="3">
        <v>43246.28</v>
      </c>
      <c r="L334" s="2">
        <v>13</v>
      </c>
      <c r="M334" s="11">
        <v>35.265240640000002</v>
      </c>
      <c r="N334" s="3">
        <v>13</v>
      </c>
      <c r="O334" s="3">
        <v>191691</v>
      </c>
      <c r="P334" s="3">
        <v>932624</v>
      </c>
      <c r="Q334" s="10">
        <v>0</v>
      </c>
      <c r="R334" s="3">
        <f>(Таблица1[Размер кредита]-$AA$2)/$AA$3</f>
        <v>0.8059378589363857</v>
      </c>
      <c r="S334" s="3">
        <f>(Таблица1[Кредитный рейтинг]-$AA$7)/($AA$8-$AA$7)</f>
        <v>0.96671105193075901</v>
      </c>
      <c r="T334" s="3">
        <f>(Таблица1[Срок с последнего нарушения кредитного договора (мес,)]-$AA$12)/($AA$13-$AA$12)</f>
        <v>0.40074137090909095</v>
      </c>
      <c r="U334" s="3">
        <f>(Таблица1[Количество кредитных карт]-$AA$18)/($AA$19-$AA$18)</f>
        <v>0.2857142857142857</v>
      </c>
      <c r="V334" s="3">
        <f>(Таблица1[Число нарушений кредитных договоров]-$AA$23)/($AA$24-$AA$23)</f>
        <v>0</v>
      </c>
      <c r="W334" s="3">
        <f>Таблица1[[#This Row],[Годовой доход]]/12</f>
        <v>442191.75</v>
      </c>
      <c r="X334" s="3">
        <f>Таблица1[[#This Row],[Ежемесячный платеж]]/Таблица1[[#This Row],[Ежем доход]]</f>
        <v>9.7799834574028119E-2</v>
      </c>
      <c r="Y334" s="3"/>
      <c r="Z334" s="3"/>
      <c r="AA334" s="3"/>
      <c r="AB334" s="3"/>
    </row>
    <row r="335" spans="1:28" x14ac:dyDescent="0.2">
      <c r="A335">
        <v>534</v>
      </c>
      <c r="B335" t="s">
        <v>575</v>
      </c>
      <c r="C335" t="s">
        <v>18</v>
      </c>
      <c r="D335" t="s">
        <v>29</v>
      </c>
      <c r="E335" t="s">
        <v>30</v>
      </c>
      <c r="F335" t="s">
        <v>21</v>
      </c>
      <c r="G335" t="s">
        <v>102</v>
      </c>
      <c r="H335" s="1">
        <v>358116</v>
      </c>
      <c r="I335" s="3">
        <v>721</v>
      </c>
      <c r="J335" s="3">
        <v>1507783</v>
      </c>
      <c r="K335" s="3">
        <v>34679.18</v>
      </c>
      <c r="L335" s="2">
        <v>19</v>
      </c>
      <c r="M335" s="11">
        <v>35.265240640000002</v>
      </c>
      <c r="N335" s="3">
        <v>7</v>
      </c>
      <c r="O335" s="3">
        <v>760399</v>
      </c>
      <c r="P335" s="3">
        <v>928774</v>
      </c>
      <c r="Q335" s="10">
        <v>0</v>
      </c>
      <c r="R335" s="3">
        <f>(Таблица1[Размер кредита]-$AA$2)/$AA$3</f>
        <v>0.27624639029074666</v>
      </c>
      <c r="S335" s="3">
        <f>(Таблица1[Кредитный рейтинг]-$AA$7)/($AA$8-$AA$7)</f>
        <v>0.96005326231691079</v>
      </c>
      <c r="T335" s="3">
        <f>(Таблица1[Срок с последнего нарушения кредитного договора (мес,)]-$AA$12)/($AA$13-$AA$12)</f>
        <v>0.40074137090909095</v>
      </c>
      <c r="U335" s="3">
        <f>(Таблица1[Количество кредитных карт]-$AA$18)/($AA$19-$AA$18)</f>
        <v>0.14285714285714285</v>
      </c>
      <c r="V335" s="3">
        <f>(Таблица1[Число нарушений кредитных договоров]-$AA$23)/($AA$24-$AA$23)</f>
        <v>0</v>
      </c>
      <c r="W335" s="3">
        <f>Таблица1[[#This Row],[Годовой доход]]/12</f>
        <v>125648.58333333333</v>
      </c>
      <c r="X335" s="3">
        <f>Таблица1[[#This Row],[Ежемесячный платеж]]/Таблица1[[#This Row],[Ежем доход]]</f>
        <v>0.27600136093854355</v>
      </c>
      <c r="Y335" s="3"/>
      <c r="Z335" s="3"/>
      <c r="AA335" s="3"/>
      <c r="AB335" s="3"/>
    </row>
    <row r="336" spans="1:28" x14ac:dyDescent="0.2">
      <c r="A336">
        <v>539</v>
      </c>
      <c r="B336" t="s">
        <v>580</v>
      </c>
      <c r="C336" t="s">
        <v>35</v>
      </c>
      <c r="D336" t="s">
        <v>29</v>
      </c>
      <c r="E336" t="s">
        <v>50</v>
      </c>
      <c r="F336" t="s">
        <v>33</v>
      </c>
      <c r="G336" t="s">
        <v>25</v>
      </c>
      <c r="H336" s="1">
        <v>435864</v>
      </c>
      <c r="I336" s="3">
        <v>0</v>
      </c>
      <c r="J336" s="3">
        <v>1168044</v>
      </c>
      <c r="K336" s="3">
        <v>15429.9</v>
      </c>
      <c r="L336" s="2">
        <v>17.3</v>
      </c>
      <c r="M336" s="11">
        <v>34</v>
      </c>
      <c r="N336" s="3">
        <v>19</v>
      </c>
      <c r="O336" s="3">
        <v>338485</v>
      </c>
      <c r="P336" s="3">
        <v>928730</v>
      </c>
      <c r="Q336" s="10">
        <v>0</v>
      </c>
      <c r="R336" s="3">
        <f>(Таблица1[Размер кредита]-$AA$2)/$AA$3</f>
        <v>0.71888759393077706</v>
      </c>
      <c r="S336" s="3">
        <f>(Таблица1[Кредитный рейтинг]-$AA$7)/($AA$8-$AA$7)</f>
        <v>0</v>
      </c>
      <c r="T336" s="3">
        <f>(Таблица1[Срок с последнего нарушения кредитного договора (мес,)]-$AA$12)/($AA$13-$AA$12)</f>
        <v>0.38636363636363635</v>
      </c>
      <c r="U336" s="3">
        <f>(Таблица1[Количество кредитных карт]-$AA$18)/($AA$19-$AA$18)</f>
        <v>0.42857142857142855</v>
      </c>
      <c r="V336" s="3">
        <f>(Таблица1[Число нарушений кредитных договоров]-$AA$23)/($AA$24-$AA$23)</f>
        <v>0</v>
      </c>
      <c r="W336" s="3">
        <f>Таблица1[[#This Row],[Годовой доход]]/12</f>
        <v>97337</v>
      </c>
      <c r="X336" s="3">
        <f>Таблица1[[#This Row],[Ежемесячный платеж]]/Таблица1[[#This Row],[Ежем доход]]</f>
        <v>0.15852039820417724</v>
      </c>
      <c r="Y336" s="3"/>
      <c r="Z336" s="3"/>
      <c r="AA336" s="3"/>
      <c r="AB336" s="3"/>
    </row>
    <row r="337" spans="1:28" x14ac:dyDescent="0.2">
      <c r="A337">
        <v>1017</v>
      </c>
      <c r="B337" t="s">
        <v>1056</v>
      </c>
      <c r="C337" t="s">
        <v>18</v>
      </c>
      <c r="D337" t="s">
        <v>19</v>
      </c>
      <c r="E337" t="s">
        <v>63</v>
      </c>
      <c r="F337" t="s">
        <v>33</v>
      </c>
      <c r="G337" t="s">
        <v>25</v>
      </c>
      <c r="H337" s="1">
        <v>218900</v>
      </c>
      <c r="I337" s="3">
        <v>748</v>
      </c>
      <c r="J337" s="3">
        <v>1890500</v>
      </c>
      <c r="K337" s="3">
        <v>12745.2</v>
      </c>
      <c r="L337" s="2">
        <v>10.8</v>
      </c>
      <c r="M337" s="11">
        <v>39</v>
      </c>
      <c r="N337" s="3">
        <v>9</v>
      </c>
      <c r="O337" s="3">
        <v>171551</v>
      </c>
      <c r="P337" s="3">
        <v>928180</v>
      </c>
      <c r="Q337" s="10">
        <v>0</v>
      </c>
      <c r="R337" s="3">
        <f>(Таблица1[Размер кредита]-$AA$2)/$AA$3</f>
        <v>-0.51634940388981698</v>
      </c>
      <c r="S337" s="3">
        <f>(Таблица1[Кредитный рейтинг]-$AA$7)/($AA$8-$AA$7)</f>
        <v>0.99600532623169102</v>
      </c>
      <c r="T337" s="3">
        <f>(Таблица1[Срок с последнего нарушения кредитного договора (мес,)]-$AA$12)/($AA$13-$AA$12)</f>
        <v>0.44318181818181818</v>
      </c>
      <c r="U337" s="3">
        <f>(Таблица1[Количество кредитных карт]-$AA$18)/($AA$19-$AA$18)</f>
        <v>0.19047619047619047</v>
      </c>
      <c r="V337" s="3">
        <f>(Таблица1[Число нарушений кредитных договоров]-$AA$23)/($AA$24-$AA$23)</f>
        <v>0</v>
      </c>
      <c r="W337" s="3">
        <f>Таблица1[[#This Row],[Годовой доход]]/12</f>
        <v>157541.66666666666</v>
      </c>
      <c r="X337" s="3">
        <f>Таблица1[[#This Row],[Ежемесячный платеж]]/Таблица1[[#This Row],[Ежем доход]]</f>
        <v>8.0900502512562825E-2</v>
      </c>
      <c r="Y337" s="3"/>
      <c r="Z337" s="3"/>
      <c r="AA337" s="3"/>
      <c r="AB337" s="3"/>
    </row>
    <row r="338" spans="1:28" x14ac:dyDescent="0.2">
      <c r="A338">
        <v>239</v>
      </c>
      <c r="B338" t="s">
        <v>281</v>
      </c>
      <c r="C338" t="s">
        <v>18</v>
      </c>
      <c r="D338" t="s">
        <v>29</v>
      </c>
      <c r="E338" t="s">
        <v>24</v>
      </c>
      <c r="F338" t="s">
        <v>21</v>
      </c>
      <c r="G338" t="s">
        <v>25</v>
      </c>
      <c r="H338" s="1">
        <v>660132</v>
      </c>
      <c r="I338" s="3">
        <v>722</v>
      </c>
      <c r="J338" s="3">
        <v>1634323</v>
      </c>
      <c r="K338" s="3">
        <v>18931.03</v>
      </c>
      <c r="L338" s="2">
        <v>16.7</v>
      </c>
      <c r="M338" s="11">
        <v>35.265240640000002</v>
      </c>
      <c r="N338" s="3">
        <v>17</v>
      </c>
      <c r="O338" s="3">
        <v>452713</v>
      </c>
      <c r="P338" s="3">
        <v>927762</v>
      </c>
      <c r="Q338" s="10">
        <v>1</v>
      </c>
      <c r="R338" s="3">
        <f>(Таблица1[Размер кредита]-$AA$2)/$AA$3</f>
        <v>1.9957083154662807</v>
      </c>
      <c r="S338" s="3">
        <f>(Таблица1[Кредитный рейтинг]-$AA$7)/($AA$8-$AA$7)</f>
        <v>0.96138482023968042</v>
      </c>
      <c r="T338" s="3">
        <f>(Таблица1[Срок с последнего нарушения кредитного договора (мес,)]-$AA$12)/($AA$13-$AA$12)</f>
        <v>0.40074137090909095</v>
      </c>
      <c r="U338" s="3">
        <f>(Таблица1[Количество кредитных карт]-$AA$18)/($AA$19-$AA$18)</f>
        <v>0.38095238095238093</v>
      </c>
      <c r="V338" s="3">
        <f>(Таблица1[Число нарушений кредитных договоров]-$AA$23)/($AA$24-$AA$23)</f>
        <v>0.14285714285714285</v>
      </c>
      <c r="W338" s="3">
        <f>Таблица1[[#This Row],[Годовой доход]]/12</f>
        <v>136193.58333333334</v>
      </c>
      <c r="X338" s="3">
        <f>Таблица1[[#This Row],[Ежемесячный платеж]]/Таблица1[[#This Row],[Ежем доход]]</f>
        <v>0.1390008951718846</v>
      </c>
      <c r="Y338" s="3"/>
      <c r="Z338" s="3"/>
      <c r="AA338" s="3"/>
      <c r="AB338" s="3"/>
    </row>
    <row r="339" spans="1:28" x14ac:dyDescent="0.2">
      <c r="A339">
        <v>696</v>
      </c>
      <c r="B339" t="s">
        <v>737</v>
      </c>
      <c r="C339" t="s">
        <v>35</v>
      </c>
      <c r="D339" t="s">
        <v>19</v>
      </c>
      <c r="E339" t="s">
        <v>41</v>
      </c>
      <c r="F339" t="s">
        <v>33</v>
      </c>
      <c r="G339" t="s">
        <v>25</v>
      </c>
      <c r="H339" s="1">
        <v>246774</v>
      </c>
      <c r="I339" s="3">
        <v>746</v>
      </c>
      <c r="J339" s="3">
        <v>968715</v>
      </c>
      <c r="K339" s="3">
        <v>22684.1</v>
      </c>
      <c r="L339" s="2">
        <v>15.4</v>
      </c>
      <c r="M339" s="11">
        <v>35.265240640000002</v>
      </c>
      <c r="N339" s="3">
        <v>10</v>
      </c>
      <c r="O339" s="3">
        <v>349999</v>
      </c>
      <c r="P339" s="3">
        <v>927366</v>
      </c>
      <c r="Q339" s="10">
        <v>0</v>
      </c>
      <c r="R339" s="3">
        <f>(Таблица1[Размер кредита]-$AA$2)/$AA$3</f>
        <v>-0.35765489200189443</v>
      </c>
      <c r="S339" s="3">
        <f>(Таблица1[Кредитный рейтинг]-$AA$7)/($AA$8-$AA$7)</f>
        <v>0.99334221038615178</v>
      </c>
      <c r="T339" s="3">
        <f>(Таблица1[Срок с последнего нарушения кредитного договора (мес,)]-$AA$12)/($AA$13-$AA$12)</f>
        <v>0.40074137090909095</v>
      </c>
      <c r="U339" s="3">
        <f>(Таблица1[Количество кредитных карт]-$AA$18)/($AA$19-$AA$18)</f>
        <v>0.21428571428571427</v>
      </c>
      <c r="V339" s="3">
        <f>(Таблица1[Число нарушений кредитных договоров]-$AA$23)/($AA$24-$AA$23)</f>
        <v>0</v>
      </c>
      <c r="W339" s="3">
        <f>Таблица1[[#This Row],[Годовой доход]]/12</f>
        <v>80726.25</v>
      </c>
      <c r="X339" s="3">
        <f>Таблица1[[#This Row],[Ежемесячный платеж]]/Таблица1[[#This Row],[Ежем доход]]</f>
        <v>0.28100029420417766</v>
      </c>
      <c r="Y339" s="3"/>
      <c r="Z339" s="3"/>
      <c r="AA339" s="3"/>
      <c r="AB339" s="3"/>
    </row>
    <row r="340" spans="1:28" x14ac:dyDescent="0.2">
      <c r="A340">
        <v>226</v>
      </c>
      <c r="B340" t="s">
        <v>268</v>
      </c>
      <c r="C340" t="s">
        <v>18</v>
      </c>
      <c r="D340" t="s">
        <v>29</v>
      </c>
      <c r="E340" t="s">
        <v>69</v>
      </c>
      <c r="F340" t="s">
        <v>33</v>
      </c>
      <c r="G340" t="s">
        <v>25</v>
      </c>
      <c r="H340" s="1">
        <v>67166</v>
      </c>
      <c r="I340" s="3">
        <v>0</v>
      </c>
      <c r="J340" s="3">
        <v>1168044</v>
      </c>
      <c r="K340" s="3">
        <v>42060.68</v>
      </c>
      <c r="L340" s="2">
        <v>27.4</v>
      </c>
      <c r="M340" s="11">
        <v>35.265240640000002</v>
      </c>
      <c r="N340" s="3">
        <v>11</v>
      </c>
      <c r="O340" s="3">
        <v>679725</v>
      </c>
      <c r="P340" s="3">
        <v>927014</v>
      </c>
      <c r="Q340" s="10">
        <v>0</v>
      </c>
      <c r="R340" s="3">
        <f>(Таблица1[Размер кредита]-$AA$2)/$AA$3</f>
        <v>-1.3802136884131022</v>
      </c>
      <c r="S340" s="3">
        <f>(Таблица1[Кредитный рейтинг]-$AA$7)/($AA$8-$AA$7)</f>
        <v>0</v>
      </c>
      <c r="T340" s="3">
        <f>(Таблица1[Срок с последнего нарушения кредитного договора (мес,)]-$AA$12)/($AA$13-$AA$12)</f>
        <v>0.40074137090909095</v>
      </c>
      <c r="U340" s="3">
        <f>(Таблица1[Количество кредитных карт]-$AA$18)/($AA$19-$AA$18)</f>
        <v>0.23809523809523808</v>
      </c>
      <c r="V340" s="3">
        <f>(Таблица1[Число нарушений кредитных договоров]-$AA$23)/($AA$24-$AA$23)</f>
        <v>0</v>
      </c>
      <c r="W340" s="3">
        <f>Таблица1[[#This Row],[Годовой доход]]/12</f>
        <v>97337</v>
      </c>
      <c r="X340" s="3">
        <f>Таблица1[[#This Row],[Ежемесячный платеж]]/Таблица1[[#This Row],[Ежем доход]]</f>
        <v>0.43211399570564124</v>
      </c>
      <c r="Y340" s="3"/>
      <c r="Z340" s="3"/>
      <c r="AA340" s="3"/>
      <c r="AB340" s="3"/>
    </row>
    <row r="341" spans="1:28" x14ac:dyDescent="0.2">
      <c r="A341">
        <v>565</v>
      </c>
      <c r="B341" t="s">
        <v>606</v>
      </c>
      <c r="C341" t="s">
        <v>18</v>
      </c>
      <c r="D341" t="s">
        <v>19</v>
      </c>
      <c r="E341" t="s">
        <v>69</v>
      </c>
      <c r="F341" t="s">
        <v>21</v>
      </c>
      <c r="G341" t="s">
        <v>25</v>
      </c>
      <c r="H341" s="1">
        <v>309594.52439999999</v>
      </c>
      <c r="I341" s="3">
        <v>700</v>
      </c>
      <c r="J341" s="3">
        <v>1489771</v>
      </c>
      <c r="K341" s="3">
        <v>23141.24</v>
      </c>
      <c r="L341" s="2">
        <v>14</v>
      </c>
      <c r="M341" s="11">
        <v>1</v>
      </c>
      <c r="N341" s="3">
        <v>11</v>
      </c>
      <c r="O341" s="3">
        <v>65626</v>
      </c>
      <c r="P341" s="3">
        <v>926706</v>
      </c>
      <c r="Q341" s="10">
        <v>0</v>
      </c>
      <c r="R341" s="3">
        <f>(Таблица1[Размер кредита]-$AA$2)/$AA$3</f>
        <v>-1.2411115481956205E-10</v>
      </c>
      <c r="S341" s="3">
        <f>(Таблица1[Кредитный рейтинг]-$AA$7)/($AA$8-$AA$7)</f>
        <v>0.93209054593874829</v>
      </c>
      <c r="T341" s="3">
        <f>(Таблица1[Срок с последнего нарушения кредитного договора (мес,)]-$AA$12)/($AA$13-$AA$12)</f>
        <v>1.1363636363636364E-2</v>
      </c>
      <c r="U341" s="3">
        <f>(Таблица1[Количество кредитных карт]-$AA$18)/($AA$19-$AA$18)</f>
        <v>0.23809523809523808</v>
      </c>
      <c r="V341" s="3">
        <f>(Таблица1[Число нарушений кредитных договоров]-$AA$23)/($AA$24-$AA$23)</f>
        <v>0</v>
      </c>
      <c r="W341" s="3">
        <f>Таблица1[[#This Row],[Годовой доход]]/12</f>
        <v>124147.58333333333</v>
      </c>
      <c r="X341" s="3">
        <f>Таблица1[[#This Row],[Ежемесячный платеж]]/Таблица1[[#This Row],[Ежем доход]]</f>
        <v>0.18640105089976919</v>
      </c>
      <c r="Y341" s="3"/>
      <c r="Z341" s="3"/>
      <c r="AA341" s="3"/>
      <c r="AB341" s="3"/>
    </row>
    <row r="342" spans="1:28" x14ac:dyDescent="0.2">
      <c r="A342">
        <v>1769</v>
      </c>
      <c r="B342" t="s">
        <v>1807</v>
      </c>
      <c r="C342" t="s">
        <v>18</v>
      </c>
      <c r="D342" t="s">
        <v>19</v>
      </c>
      <c r="E342" t="s">
        <v>63</v>
      </c>
      <c r="F342" t="s">
        <v>21</v>
      </c>
      <c r="G342" t="s">
        <v>25</v>
      </c>
      <c r="H342" s="1">
        <v>457666</v>
      </c>
      <c r="I342" s="3">
        <v>745</v>
      </c>
      <c r="J342" s="3">
        <v>3293745</v>
      </c>
      <c r="K342" s="3">
        <v>51602.1</v>
      </c>
      <c r="L342" s="2">
        <v>19.7</v>
      </c>
      <c r="M342" s="11">
        <v>76</v>
      </c>
      <c r="N342" s="3">
        <v>22</v>
      </c>
      <c r="O342" s="3">
        <v>640338</v>
      </c>
      <c r="P342" s="3">
        <v>924484</v>
      </c>
      <c r="Q342" s="10">
        <v>0</v>
      </c>
      <c r="R342" s="3">
        <f>(Таблица1[Размер кредита]-$AA$2)/$AA$3</f>
        <v>0.84301250417618456</v>
      </c>
      <c r="S342" s="3">
        <f>(Таблица1[Кредитный рейтинг]-$AA$7)/($AA$8-$AA$7)</f>
        <v>0.99201065246338216</v>
      </c>
      <c r="T342" s="3">
        <f>(Таблица1[Срок с последнего нарушения кредитного договора (мес,)]-$AA$12)/($AA$13-$AA$12)</f>
        <v>0.86363636363636365</v>
      </c>
      <c r="U342" s="3">
        <f>(Таблица1[Количество кредитных карт]-$AA$18)/($AA$19-$AA$18)</f>
        <v>0.5</v>
      </c>
      <c r="V342" s="3">
        <f>(Таблица1[Число нарушений кредитных договоров]-$AA$23)/($AA$24-$AA$23)</f>
        <v>0</v>
      </c>
      <c r="W342" s="3">
        <f>Таблица1[[#This Row],[Годовой доход]]/12</f>
        <v>274478.75</v>
      </c>
      <c r="X342" s="3">
        <f>Таблица1[[#This Row],[Ежемесячный платеж]]/Таблица1[[#This Row],[Ежем доход]]</f>
        <v>0.18800034611058233</v>
      </c>
      <c r="Y342" s="3"/>
      <c r="Z342" s="3"/>
      <c r="AA342" s="3"/>
      <c r="AB342" s="3"/>
    </row>
    <row r="343" spans="1:28" x14ac:dyDescent="0.2">
      <c r="A343">
        <v>283</v>
      </c>
      <c r="B343" t="s">
        <v>325</v>
      </c>
      <c r="C343" t="s">
        <v>18</v>
      </c>
      <c r="D343" t="s">
        <v>19</v>
      </c>
      <c r="E343" t="s">
        <v>30</v>
      </c>
      <c r="F343" t="s">
        <v>33</v>
      </c>
      <c r="G343" t="s">
        <v>25</v>
      </c>
      <c r="H343" s="1">
        <v>323708</v>
      </c>
      <c r="I343" s="3">
        <v>723</v>
      </c>
      <c r="J343" s="3">
        <v>1640061</v>
      </c>
      <c r="K343" s="3">
        <v>21047.439999999999</v>
      </c>
      <c r="L343" s="2">
        <v>21.2</v>
      </c>
      <c r="M343" s="11">
        <v>31</v>
      </c>
      <c r="N343" s="3">
        <v>14</v>
      </c>
      <c r="O343" s="3">
        <v>546782</v>
      </c>
      <c r="P343" s="3">
        <v>924242</v>
      </c>
      <c r="Q343" s="10">
        <v>0</v>
      </c>
      <c r="R343" s="3">
        <f>(Таблица1[Размер кредита]-$AA$2)/$AA$3</f>
        <v>8.0351980983161084E-2</v>
      </c>
      <c r="S343" s="3">
        <f>(Таблица1[Кредитный рейтинг]-$AA$7)/($AA$8-$AA$7)</f>
        <v>0.96271637816245004</v>
      </c>
      <c r="T343" s="3">
        <f>(Таблица1[Срок с последнего нарушения кредитного договора (мес,)]-$AA$12)/($AA$13-$AA$12)</f>
        <v>0.35227272727272729</v>
      </c>
      <c r="U343" s="3">
        <f>(Таблица1[Количество кредитных карт]-$AA$18)/($AA$19-$AA$18)</f>
        <v>0.30952380952380953</v>
      </c>
      <c r="V343" s="3">
        <f>(Таблица1[Число нарушений кредитных договоров]-$AA$23)/($AA$24-$AA$23)</f>
        <v>0</v>
      </c>
      <c r="W343" s="3">
        <f>Таблица1[[#This Row],[Годовой доход]]/12</f>
        <v>136671.75</v>
      </c>
      <c r="X343" s="3">
        <f>Таблица1[[#This Row],[Ежемесячный платеж]]/Таблица1[[#This Row],[Ежем доход]]</f>
        <v>0.15399993049039029</v>
      </c>
      <c r="Y343" s="3"/>
      <c r="Z343" s="3"/>
      <c r="AA343" s="3"/>
      <c r="AB343" s="3"/>
    </row>
    <row r="344" spans="1:28" x14ac:dyDescent="0.2">
      <c r="A344">
        <v>433</v>
      </c>
      <c r="B344" t="s">
        <v>474</v>
      </c>
      <c r="C344" t="s">
        <v>18</v>
      </c>
      <c r="D344" t="s">
        <v>29</v>
      </c>
      <c r="E344" t="s">
        <v>24</v>
      </c>
      <c r="F344" t="s">
        <v>21</v>
      </c>
      <c r="G344" t="s">
        <v>25</v>
      </c>
      <c r="H344" s="1">
        <v>309594.52439999999</v>
      </c>
      <c r="I344" s="3">
        <v>693</v>
      </c>
      <c r="J344" s="3">
        <v>1885959</v>
      </c>
      <c r="K344" s="3">
        <v>8046.88</v>
      </c>
      <c r="L344" s="2">
        <v>21.8</v>
      </c>
      <c r="M344" s="11">
        <v>35</v>
      </c>
      <c r="N344" s="3">
        <v>10</v>
      </c>
      <c r="O344" s="3">
        <v>315932</v>
      </c>
      <c r="P344" s="3">
        <v>923758</v>
      </c>
      <c r="Q344" s="10">
        <v>0</v>
      </c>
      <c r="R344" s="3">
        <f>(Таблица1[Размер кредита]-$AA$2)/$AA$3</f>
        <v>-1.2411115481956205E-10</v>
      </c>
      <c r="S344" s="3">
        <f>(Таблица1[Кредитный рейтинг]-$AA$7)/($AA$8-$AA$7)</f>
        <v>0.92276964047936083</v>
      </c>
      <c r="T344" s="3">
        <f>(Таблица1[Срок с последнего нарушения кредитного договора (мес,)]-$AA$12)/($AA$13-$AA$12)</f>
        <v>0.39772727272727271</v>
      </c>
      <c r="U344" s="3">
        <f>(Таблица1[Количество кредитных карт]-$AA$18)/($AA$19-$AA$18)</f>
        <v>0.21428571428571427</v>
      </c>
      <c r="V344" s="3">
        <f>(Таблица1[Число нарушений кредитных договоров]-$AA$23)/($AA$24-$AA$23)</f>
        <v>0</v>
      </c>
      <c r="W344" s="3">
        <f>Таблица1[[#This Row],[Годовой доход]]/12</f>
        <v>157163.25</v>
      </c>
      <c r="X344" s="3">
        <f>Таблица1[[#This Row],[Ежемесячный платеж]]/Таблица1[[#This Row],[Ежем доход]]</f>
        <v>5.1200773717774352E-2</v>
      </c>
      <c r="Y344" s="3"/>
      <c r="Z344" s="3"/>
      <c r="AA344" s="3"/>
      <c r="AB344" s="3"/>
    </row>
    <row r="345" spans="1:28" x14ac:dyDescent="0.2">
      <c r="A345">
        <v>1452</v>
      </c>
      <c r="B345" t="s">
        <v>1491</v>
      </c>
      <c r="C345" t="s">
        <v>18</v>
      </c>
      <c r="D345" t="s">
        <v>19</v>
      </c>
      <c r="E345" t="s">
        <v>47</v>
      </c>
      <c r="F345" t="s">
        <v>21</v>
      </c>
      <c r="G345" t="s">
        <v>25</v>
      </c>
      <c r="H345" s="1">
        <v>309594.52439999999</v>
      </c>
      <c r="I345" s="3">
        <v>749</v>
      </c>
      <c r="J345" s="3">
        <v>1068598</v>
      </c>
      <c r="K345" s="3">
        <v>18255.2</v>
      </c>
      <c r="L345" s="2">
        <v>20.6</v>
      </c>
      <c r="M345" s="11">
        <v>35.265240640000002</v>
      </c>
      <c r="N345" s="3">
        <v>10</v>
      </c>
      <c r="O345" s="3">
        <v>409051</v>
      </c>
      <c r="P345" s="3">
        <v>923252</v>
      </c>
      <c r="Q345" s="10">
        <v>0</v>
      </c>
      <c r="R345" s="3">
        <f>(Таблица1[Размер кредита]-$AA$2)/$AA$3</f>
        <v>-1.2411115481956205E-10</v>
      </c>
      <c r="S345" s="3">
        <f>(Таблица1[Кредитный рейтинг]-$AA$7)/($AA$8-$AA$7)</f>
        <v>0.99733688415446076</v>
      </c>
      <c r="T345" s="3">
        <f>(Таблица1[Срок с последнего нарушения кредитного договора (мес,)]-$AA$12)/($AA$13-$AA$12)</f>
        <v>0.40074137090909095</v>
      </c>
      <c r="U345" s="3">
        <f>(Таблица1[Количество кредитных карт]-$AA$18)/($AA$19-$AA$18)</f>
        <v>0.21428571428571427</v>
      </c>
      <c r="V345" s="3">
        <f>(Таблица1[Число нарушений кредитных договоров]-$AA$23)/($AA$24-$AA$23)</f>
        <v>0</v>
      </c>
      <c r="W345" s="3">
        <f>Таблица1[[#This Row],[Годовой доход]]/12</f>
        <v>89049.833333333328</v>
      </c>
      <c r="X345" s="3">
        <f>Таблица1[[#This Row],[Ежемесячный платеж]]/Таблица1[[#This Row],[Ежем доход]]</f>
        <v>0.20499982219693469</v>
      </c>
      <c r="Y345" s="3"/>
      <c r="Z345" s="3"/>
      <c r="AA345" s="3"/>
      <c r="AB345" s="3"/>
    </row>
    <row r="346" spans="1:28" x14ac:dyDescent="0.2">
      <c r="A346">
        <v>1310</v>
      </c>
      <c r="B346" t="s">
        <v>1349</v>
      </c>
      <c r="C346" t="s">
        <v>18</v>
      </c>
      <c r="D346" t="s">
        <v>19</v>
      </c>
      <c r="E346" t="s">
        <v>37</v>
      </c>
      <c r="F346" t="s">
        <v>33</v>
      </c>
      <c r="G346" t="s">
        <v>2038</v>
      </c>
      <c r="H346" s="1">
        <v>309594.52439999999</v>
      </c>
      <c r="I346" s="3">
        <v>717</v>
      </c>
      <c r="J346" s="3">
        <v>3055200</v>
      </c>
      <c r="K346" s="3">
        <v>32079.599999999999</v>
      </c>
      <c r="L346" s="2">
        <v>17.5</v>
      </c>
      <c r="M346" s="11">
        <v>35.265240640000002</v>
      </c>
      <c r="N346" s="3">
        <v>22</v>
      </c>
      <c r="O346" s="3">
        <v>573895</v>
      </c>
      <c r="P346" s="3">
        <v>921646</v>
      </c>
      <c r="Q346" s="10">
        <v>0</v>
      </c>
      <c r="R346" s="3">
        <f>(Таблица1[Размер кредита]-$AA$2)/$AA$3</f>
        <v>-1.2411115481956205E-10</v>
      </c>
      <c r="S346" s="3">
        <f>(Таблица1[Кредитный рейтинг]-$AA$7)/($AA$8-$AA$7)</f>
        <v>0.9547270306258322</v>
      </c>
      <c r="T346" s="3">
        <f>(Таблица1[Срок с последнего нарушения кредитного договора (мес,)]-$AA$12)/($AA$13-$AA$12)</f>
        <v>0.40074137090909095</v>
      </c>
      <c r="U346" s="3">
        <f>(Таблица1[Количество кредитных карт]-$AA$18)/($AA$19-$AA$18)</f>
        <v>0.5</v>
      </c>
      <c r="V346" s="3">
        <f>(Таблица1[Число нарушений кредитных договоров]-$AA$23)/($AA$24-$AA$23)</f>
        <v>0</v>
      </c>
      <c r="W346" s="3">
        <f>Таблица1[[#This Row],[Годовой доход]]/12</f>
        <v>254600</v>
      </c>
      <c r="X346" s="3">
        <f>Таблица1[[#This Row],[Ежемесячный платеж]]/Таблица1[[#This Row],[Ежем доход]]</f>
        <v>0.126</v>
      </c>
      <c r="Y346" s="3"/>
      <c r="Z346" s="3"/>
      <c r="AA346" s="3"/>
      <c r="AB346" s="3"/>
    </row>
    <row r="347" spans="1:28" x14ac:dyDescent="0.2">
      <c r="A347">
        <v>35</v>
      </c>
      <c r="B347" t="s">
        <v>74</v>
      </c>
      <c r="C347" t="s">
        <v>18</v>
      </c>
      <c r="D347" t="s">
        <v>29</v>
      </c>
      <c r="E347" t="s">
        <v>24</v>
      </c>
      <c r="F347" t="s">
        <v>21</v>
      </c>
      <c r="G347" t="s">
        <v>75</v>
      </c>
      <c r="H347" s="1">
        <v>109318</v>
      </c>
      <c r="I347" s="3">
        <v>0</v>
      </c>
      <c r="J347" s="3">
        <v>1168044</v>
      </c>
      <c r="K347" s="3">
        <v>15524.9</v>
      </c>
      <c r="L347" s="2">
        <v>22.7</v>
      </c>
      <c r="M347" s="11">
        <v>35.265240640000002</v>
      </c>
      <c r="N347" s="3">
        <v>9</v>
      </c>
      <c r="O347" s="3">
        <v>77121</v>
      </c>
      <c r="P347" s="3">
        <v>920524</v>
      </c>
      <c r="Q347" s="10">
        <v>0</v>
      </c>
      <c r="R347" s="3">
        <f>(Таблица1[Размер кредита]-$AA$2)/$AA$3</f>
        <v>-1.1402305117933234</v>
      </c>
      <c r="S347" s="3">
        <f>(Таблица1[Кредитный рейтинг]-$AA$7)/($AA$8-$AA$7)</f>
        <v>0</v>
      </c>
      <c r="T347" s="3">
        <f>(Таблица1[Срок с последнего нарушения кредитного договора (мес,)]-$AA$12)/($AA$13-$AA$12)</f>
        <v>0.40074137090909095</v>
      </c>
      <c r="U347" s="3">
        <f>(Таблица1[Количество кредитных карт]-$AA$18)/($AA$19-$AA$18)</f>
        <v>0.19047619047619047</v>
      </c>
      <c r="V347" s="3">
        <f>(Таблица1[Число нарушений кредитных договоров]-$AA$23)/($AA$24-$AA$23)</f>
        <v>0</v>
      </c>
      <c r="W347" s="3">
        <f>Таблица1[[#This Row],[Годовой доход]]/12</f>
        <v>97337</v>
      </c>
      <c r="X347" s="3">
        <f>Таблица1[[#This Row],[Ежемесячный платеж]]/Таблица1[[#This Row],[Ежем доход]]</f>
        <v>0.15949638883466719</v>
      </c>
      <c r="Y347" s="3"/>
      <c r="Z347" s="3"/>
      <c r="AA347" s="3"/>
      <c r="AB347" s="3"/>
    </row>
    <row r="348" spans="1:28" x14ac:dyDescent="0.2">
      <c r="A348">
        <v>1196</v>
      </c>
      <c r="B348" t="s">
        <v>1235</v>
      </c>
      <c r="C348" t="s">
        <v>18</v>
      </c>
      <c r="D348" t="s">
        <v>29</v>
      </c>
      <c r="E348" t="s">
        <v>52</v>
      </c>
      <c r="F348" t="s">
        <v>21</v>
      </c>
      <c r="G348" t="s">
        <v>2038</v>
      </c>
      <c r="H348" s="1">
        <v>223168</v>
      </c>
      <c r="I348" s="3">
        <v>705</v>
      </c>
      <c r="J348" s="3">
        <v>1252784</v>
      </c>
      <c r="K348" s="3">
        <v>20566.55</v>
      </c>
      <c r="L348" s="2">
        <v>17.8</v>
      </c>
      <c r="M348" s="11">
        <v>29</v>
      </c>
      <c r="N348" s="3">
        <v>26</v>
      </c>
      <c r="O348" s="3">
        <v>236379</v>
      </c>
      <c r="P348" s="3">
        <v>918434</v>
      </c>
      <c r="Q348" s="10">
        <v>0</v>
      </c>
      <c r="R348" s="3">
        <f>(Таблица1[Размер кредита]-$AA$2)/$AA$3</f>
        <v>-0.49205048099616511</v>
      </c>
      <c r="S348" s="3">
        <f>(Таблица1[Кредитный рейтинг]-$AA$7)/($AA$8-$AA$7)</f>
        <v>0.93874833555259651</v>
      </c>
      <c r="T348" s="3">
        <f>(Таблица1[Срок с последнего нарушения кредитного договора (мес,)]-$AA$12)/($AA$13-$AA$12)</f>
        <v>0.32954545454545453</v>
      </c>
      <c r="U348" s="3">
        <f>(Таблица1[Количество кредитных карт]-$AA$18)/($AA$19-$AA$18)</f>
        <v>0.59523809523809523</v>
      </c>
      <c r="V348" s="3">
        <f>(Таблица1[Число нарушений кредитных договоров]-$AA$23)/($AA$24-$AA$23)</f>
        <v>0</v>
      </c>
      <c r="W348" s="3">
        <f>Таблица1[[#This Row],[Годовой доход]]/12</f>
        <v>104398.66666666667</v>
      </c>
      <c r="X348" s="3">
        <f>Таблица1[[#This Row],[Ежемесячный платеж]]/Таблица1[[#This Row],[Ежем доход]]</f>
        <v>0.19700012132977432</v>
      </c>
      <c r="Y348" s="3"/>
      <c r="Z348" s="3"/>
      <c r="AA348" s="3"/>
      <c r="AB348" s="3"/>
    </row>
    <row r="349" spans="1:28" x14ac:dyDescent="0.2">
      <c r="A349">
        <v>514</v>
      </c>
      <c r="B349" t="s">
        <v>555</v>
      </c>
      <c r="C349" t="s">
        <v>35</v>
      </c>
      <c r="D349" t="s">
        <v>19</v>
      </c>
      <c r="E349" t="s">
        <v>47</v>
      </c>
      <c r="F349" t="s">
        <v>21</v>
      </c>
      <c r="G349" t="s">
        <v>25</v>
      </c>
      <c r="H349" s="1">
        <v>423676</v>
      </c>
      <c r="I349" s="3">
        <v>0</v>
      </c>
      <c r="J349" s="3">
        <v>1168044</v>
      </c>
      <c r="K349" s="3">
        <v>97671.02</v>
      </c>
      <c r="L349" s="2">
        <v>19.7</v>
      </c>
      <c r="M349" s="11">
        <v>33</v>
      </c>
      <c r="N349" s="3">
        <v>22</v>
      </c>
      <c r="O349" s="3">
        <v>676951</v>
      </c>
      <c r="P349" s="3">
        <v>917840</v>
      </c>
      <c r="Q349" s="10">
        <v>0</v>
      </c>
      <c r="R349" s="3">
        <f>(Таблица1[Размер кредита]-$AA$2)/$AA$3</f>
        <v>0.64949788628601846</v>
      </c>
      <c r="S349" s="3">
        <f>(Таблица1[Кредитный рейтинг]-$AA$7)/($AA$8-$AA$7)</f>
        <v>0</v>
      </c>
      <c r="T349" s="3">
        <f>(Таблица1[Срок с последнего нарушения кредитного договора (мес,)]-$AA$12)/($AA$13-$AA$12)</f>
        <v>0.375</v>
      </c>
      <c r="U349" s="3">
        <f>(Таблица1[Количество кредитных карт]-$AA$18)/($AA$19-$AA$18)</f>
        <v>0.5</v>
      </c>
      <c r="V349" s="3">
        <f>(Таблица1[Число нарушений кредитных договоров]-$AA$23)/($AA$24-$AA$23)</f>
        <v>0</v>
      </c>
      <c r="W349" s="3">
        <f>Таблица1[[#This Row],[Годовой доход]]/12</f>
        <v>97337</v>
      </c>
      <c r="X349" s="3">
        <f>Таблица1[[#This Row],[Ежемесячный платеж]]/Таблица1[[#This Row],[Ежем доход]]</f>
        <v>1.0034315830568028</v>
      </c>
      <c r="Y349" s="3"/>
      <c r="Z349" s="3"/>
      <c r="AA349" s="3"/>
      <c r="AB349" s="3"/>
    </row>
    <row r="350" spans="1:28" x14ac:dyDescent="0.2">
      <c r="A350">
        <v>351</v>
      </c>
      <c r="B350" t="s">
        <v>393</v>
      </c>
      <c r="C350" t="s">
        <v>35</v>
      </c>
      <c r="D350" t="s">
        <v>29</v>
      </c>
      <c r="E350" t="s">
        <v>37</v>
      </c>
      <c r="F350" t="s">
        <v>33</v>
      </c>
      <c r="G350" t="s">
        <v>25</v>
      </c>
      <c r="H350" s="1">
        <v>563068</v>
      </c>
      <c r="I350" s="3">
        <v>623</v>
      </c>
      <c r="J350" s="3">
        <v>2094807</v>
      </c>
      <c r="K350" s="3">
        <v>35960.92</v>
      </c>
      <c r="L350" s="2">
        <v>12.1</v>
      </c>
      <c r="M350" s="11">
        <v>35.265240640000002</v>
      </c>
      <c r="N350" s="3">
        <v>17</v>
      </c>
      <c r="O350" s="3">
        <v>580203</v>
      </c>
      <c r="P350" s="3">
        <v>917774</v>
      </c>
      <c r="Q350" s="10">
        <v>0</v>
      </c>
      <c r="R350" s="3">
        <f>(Таблица1[Размер кредита]-$AA$2)/$AA$3</f>
        <v>1.4430956979054956</v>
      </c>
      <c r="S350" s="3">
        <f>(Таблица1[Кредитный рейтинг]-$AA$7)/($AA$8-$AA$7)</f>
        <v>0.82956058588548598</v>
      </c>
      <c r="T350" s="3">
        <f>(Таблица1[Срок с последнего нарушения кредитного договора (мес,)]-$AA$12)/($AA$13-$AA$12)</f>
        <v>0.40074137090909095</v>
      </c>
      <c r="U350" s="3">
        <f>(Таблица1[Количество кредитных карт]-$AA$18)/($AA$19-$AA$18)</f>
        <v>0.38095238095238093</v>
      </c>
      <c r="V350" s="3">
        <f>(Таблица1[Число нарушений кредитных договоров]-$AA$23)/($AA$24-$AA$23)</f>
        <v>0</v>
      </c>
      <c r="W350" s="3">
        <f>Таблица1[[#This Row],[Годовой доход]]/12</f>
        <v>174567.25</v>
      </c>
      <c r="X350" s="3">
        <f>Таблица1[[#This Row],[Ежемесячный платеж]]/Таблица1[[#This Row],[Ежем доход]]</f>
        <v>0.20600038094201517</v>
      </c>
      <c r="Y350" s="3"/>
      <c r="Z350" s="3"/>
      <c r="AA350" s="3"/>
      <c r="AB350" s="3"/>
    </row>
    <row r="351" spans="1:28" x14ac:dyDescent="0.2">
      <c r="A351">
        <v>1286</v>
      </c>
      <c r="B351" t="s">
        <v>1325</v>
      </c>
      <c r="C351" t="s">
        <v>18</v>
      </c>
      <c r="D351" t="s">
        <v>29</v>
      </c>
      <c r="E351" t="s">
        <v>24</v>
      </c>
      <c r="F351" t="s">
        <v>21</v>
      </c>
      <c r="G351" t="s">
        <v>25</v>
      </c>
      <c r="H351" s="1">
        <v>270226</v>
      </c>
      <c r="I351" s="3">
        <v>0</v>
      </c>
      <c r="J351" s="3">
        <v>1168044</v>
      </c>
      <c r="K351" s="3">
        <v>26717.23</v>
      </c>
      <c r="L351" s="2">
        <v>33.5</v>
      </c>
      <c r="M351" s="11">
        <v>22</v>
      </c>
      <c r="N351" s="3">
        <v>11</v>
      </c>
      <c r="O351" s="3">
        <v>635398</v>
      </c>
      <c r="P351" s="3">
        <v>913946</v>
      </c>
      <c r="Q351" s="10">
        <v>0</v>
      </c>
      <c r="R351" s="3">
        <f>(Таблица1[Размер кредита]-$AA$2)/$AA$3</f>
        <v>-0.22413606826667304</v>
      </c>
      <c r="S351" s="3">
        <f>(Таблица1[Кредитный рейтинг]-$AA$7)/($AA$8-$AA$7)</f>
        <v>0</v>
      </c>
      <c r="T351" s="3">
        <f>(Таблица1[Срок с последнего нарушения кредитного договора (мес,)]-$AA$12)/($AA$13-$AA$12)</f>
        <v>0.25</v>
      </c>
      <c r="U351" s="3">
        <f>(Таблица1[Количество кредитных карт]-$AA$18)/($AA$19-$AA$18)</f>
        <v>0.23809523809523808</v>
      </c>
      <c r="V351" s="3">
        <f>(Таблица1[Число нарушений кредитных договоров]-$AA$23)/($AA$24-$AA$23)</f>
        <v>0</v>
      </c>
      <c r="W351" s="3">
        <f>Таблица1[[#This Row],[Годовой доход]]/12</f>
        <v>97337</v>
      </c>
      <c r="X351" s="3">
        <f>Таблица1[[#This Row],[Ежемесячный платеж]]/Таблица1[[#This Row],[Ежем доход]]</f>
        <v>0.27448174897520983</v>
      </c>
      <c r="Y351" s="3"/>
      <c r="Z351" s="3"/>
      <c r="AA351" s="3"/>
      <c r="AB351" s="3"/>
    </row>
    <row r="352" spans="1:28" x14ac:dyDescent="0.2">
      <c r="A352">
        <v>745</v>
      </c>
      <c r="B352" t="s">
        <v>786</v>
      </c>
      <c r="C352" t="s">
        <v>18</v>
      </c>
      <c r="D352" t="s">
        <v>19</v>
      </c>
      <c r="E352" t="s">
        <v>41</v>
      </c>
      <c r="F352" t="s">
        <v>21</v>
      </c>
      <c r="G352" t="s">
        <v>25</v>
      </c>
      <c r="H352" s="1">
        <v>309594.52439999999</v>
      </c>
      <c r="I352" s="3">
        <v>723</v>
      </c>
      <c r="J352" s="3">
        <v>9057984</v>
      </c>
      <c r="K352" s="3">
        <v>105676.48</v>
      </c>
      <c r="L352" s="2">
        <v>23.1</v>
      </c>
      <c r="M352" s="11">
        <v>4</v>
      </c>
      <c r="N352" s="3">
        <v>15</v>
      </c>
      <c r="O352" s="3">
        <v>149720</v>
      </c>
      <c r="P352" s="3">
        <v>912428</v>
      </c>
      <c r="Q352" s="10">
        <v>0</v>
      </c>
      <c r="R352" s="3">
        <f>(Таблица1[Размер кредита]-$AA$2)/$AA$3</f>
        <v>-1.2411115481956205E-10</v>
      </c>
      <c r="S352" s="3">
        <f>(Таблица1[Кредитный рейтинг]-$AA$7)/($AA$8-$AA$7)</f>
        <v>0.96271637816245004</v>
      </c>
      <c r="T352" s="3">
        <f>(Таблица1[Срок с последнего нарушения кредитного договора (мес,)]-$AA$12)/($AA$13-$AA$12)</f>
        <v>4.5454545454545456E-2</v>
      </c>
      <c r="U352" s="3">
        <f>(Таблица1[Количество кредитных карт]-$AA$18)/($AA$19-$AA$18)</f>
        <v>0.33333333333333331</v>
      </c>
      <c r="V352" s="3">
        <f>(Таблица1[Число нарушений кредитных договоров]-$AA$23)/($AA$24-$AA$23)</f>
        <v>0</v>
      </c>
      <c r="W352" s="3">
        <f>Таблица1[[#This Row],[Годовой доход]]/12</f>
        <v>754832</v>
      </c>
      <c r="X352" s="3">
        <f>Таблица1[[#This Row],[Ежемесячный платеж]]/Таблица1[[#This Row],[Ежем доход]]</f>
        <v>0.13999999999999999</v>
      </c>
      <c r="Y352" s="3"/>
      <c r="Z352" s="3"/>
      <c r="AA352" s="3"/>
      <c r="AB352" s="3"/>
    </row>
    <row r="353" spans="1:28" x14ac:dyDescent="0.2">
      <c r="A353">
        <v>938</v>
      </c>
      <c r="B353" t="s">
        <v>979</v>
      </c>
      <c r="C353" t="s">
        <v>18</v>
      </c>
      <c r="D353" t="s">
        <v>19</v>
      </c>
      <c r="E353" t="s">
        <v>52</v>
      </c>
      <c r="F353" t="s">
        <v>21</v>
      </c>
      <c r="G353" t="s">
        <v>70</v>
      </c>
      <c r="H353" s="1">
        <v>646206</v>
      </c>
      <c r="I353" s="3">
        <v>714</v>
      </c>
      <c r="J353" s="3">
        <v>3069488</v>
      </c>
      <c r="K353" s="3">
        <v>50902.14</v>
      </c>
      <c r="L353" s="2">
        <v>16.399999999999999</v>
      </c>
      <c r="M353" s="11">
        <v>31</v>
      </c>
      <c r="N353" s="3">
        <v>10</v>
      </c>
      <c r="O353" s="3">
        <v>738834</v>
      </c>
      <c r="P353" s="3">
        <v>911064</v>
      </c>
      <c r="Q353" s="10">
        <v>0</v>
      </c>
      <c r="R353" s="3">
        <f>(Таблица1[Размер кредита]-$AA$2)/$AA$3</f>
        <v>1.9164236856122514</v>
      </c>
      <c r="S353" s="3">
        <f>(Таблица1[Кредитный рейтинг]-$AA$7)/($AA$8-$AA$7)</f>
        <v>0.95073235685752333</v>
      </c>
      <c r="T353" s="3">
        <f>(Таблица1[Срок с последнего нарушения кредитного договора (мес,)]-$AA$12)/($AA$13-$AA$12)</f>
        <v>0.35227272727272729</v>
      </c>
      <c r="U353" s="3">
        <f>(Таблица1[Количество кредитных карт]-$AA$18)/($AA$19-$AA$18)</f>
        <v>0.21428571428571427</v>
      </c>
      <c r="V353" s="3">
        <f>(Таблица1[Число нарушений кредитных договоров]-$AA$23)/($AA$24-$AA$23)</f>
        <v>0</v>
      </c>
      <c r="W353" s="3">
        <f>Таблица1[[#This Row],[Годовой доход]]/12</f>
        <v>255790.66666666666</v>
      </c>
      <c r="X353" s="3">
        <f>Таблица1[[#This Row],[Ежемесячный платеж]]/Таблица1[[#This Row],[Ежем доход]]</f>
        <v>0.19899920768545112</v>
      </c>
      <c r="Y353" s="3"/>
      <c r="Z353" s="3"/>
      <c r="AA353" s="3"/>
      <c r="AB353" s="3"/>
    </row>
    <row r="354" spans="1:28" x14ac:dyDescent="0.2">
      <c r="A354">
        <v>1878</v>
      </c>
      <c r="B354" t="s">
        <v>1914</v>
      </c>
      <c r="C354" t="s">
        <v>18</v>
      </c>
      <c r="D354" t="s">
        <v>29</v>
      </c>
      <c r="E354" t="s">
        <v>63</v>
      </c>
      <c r="F354" t="s">
        <v>33</v>
      </c>
      <c r="G354" t="s">
        <v>25</v>
      </c>
      <c r="H354" s="1">
        <v>628144</v>
      </c>
      <c r="I354" s="3">
        <v>0</v>
      </c>
      <c r="J354" s="3">
        <v>1168044</v>
      </c>
      <c r="K354" s="3">
        <v>19793.439999999999</v>
      </c>
      <c r="L354" s="2">
        <v>22.5</v>
      </c>
      <c r="M354" s="11">
        <v>32</v>
      </c>
      <c r="N354" s="3">
        <v>6</v>
      </c>
      <c r="O354" s="3">
        <v>298566</v>
      </c>
      <c r="P354" s="3">
        <v>909744</v>
      </c>
      <c r="Q354" s="10">
        <v>0</v>
      </c>
      <c r="R354" s="3">
        <f>(Таблица1[Размер кредита]-$AA$2)/$AA$3</f>
        <v>1.8135916459437553</v>
      </c>
      <c r="S354" s="3">
        <f>(Таблица1[Кредитный рейтинг]-$AA$7)/($AA$8-$AA$7)</f>
        <v>0</v>
      </c>
      <c r="T354" s="3">
        <f>(Таблица1[Срок с последнего нарушения кредитного договора (мес,)]-$AA$12)/($AA$13-$AA$12)</f>
        <v>0.36363636363636365</v>
      </c>
      <c r="U354" s="3">
        <f>(Таблица1[Количество кредитных карт]-$AA$18)/($AA$19-$AA$18)</f>
        <v>0.11904761904761904</v>
      </c>
      <c r="V354" s="3">
        <f>(Таблица1[Число нарушений кредитных договоров]-$AA$23)/($AA$24-$AA$23)</f>
        <v>0</v>
      </c>
      <c r="W354" s="3">
        <f>Таблица1[[#This Row],[Годовой доход]]/12</f>
        <v>97337</v>
      </c>
      <c r="X354" s="3">
        <f>Таблица1[[#This Row],[Ежемесячный платеж]]/Таблица1[[#This Row],[Ежем доход]]</f>
        <v>0.20334959984384149</v>
      </c>
      <c r="Y354" s="3"/>
      <c r="Z354" s="3"/>
      <c r="AA354" s="3"/>
      <c r="AB354" s="3"/>
    </row>
    <row r="355" spans="1:28" x14ac:dyDescent="0.2">
      <c r="A355">
        <v>761</v>
      </c>
      <c r="B355" t="s">
        <v>802</v>
      </c>
      <c r="C355" t="s">
        <v>18</v>
      </c>
      <c r="D355" t="s">
        <v>19</v>
      </c>
      <c r="E355" t="s">
        <v>24</v>
      </c>
      <c r="F355" t="s">
        <v>27</v>
      </c>
      <c r="G355" t="s">
        <v>22</v>
      </c>
      <c r="H355" s="1">
        <v>270556</v>
      </c>
      <c r="I355" s="3">
        <v>724</v>
      </c>
      <c r="J355" s="3">
        <v>1752408</v>
      </c>
      <c r="K355" s="3">
        <v>24095.61</v>
      </c>
      <c r="L355" s="2">
        <v>23.5</v>
      </c>
      <c r="M355" s="11">
        <v>70</v>
      </c>
      <c r="N355" s="3">
        <v>7</v>
      </c>
      <c r="O355" s="3">
        <v>286387</v>
      </c>
      <c r="P355" s="3">
        <v>908490</v>
      </c>
      <c r="Q355" s="10">
        <v>0</v>
      </c>
      <c r="R355" s="3">
        <f>(Таблица1[Размер кредита]-$AA$2)/$AA$3</f>
        <v>-0.22225728556871027</v>
      </c>
      <c r="S355" s="3">
        <f>(Таблица1[Кредитный рейтинг]-$AA$7)/($AA$8-$AA$7)</f>
        <v>0.96404793608521966</v>
      </c>
      <c r="T355" s="3">
        <f>(Таблица1[Срок с последнего нарушения кредитного договора (мес,)]-$AA$12)/($AA$13-$AA$12)</f>
        <v>0.79545454545454541</v>
      </c>
      <c r="U355" s="3">
        <f>(Таблица1[Количество кредитных карт]-$AA$18)/($AA$19-$AA$18)</f>
        <v>0.14285714285714285</v>
      </c>
      <c r="V355" s="3">
        <f>(Таблица1[Число нарушений кредитных договоров]-$AA$23)/($AA$24-$AA$23)</f>
        <v>0</v>
      </c>
      <c r="W355" s="3">
        <f>Таблица1[[#This Row],[Годовой доход]]/12</f>
        <v>146034</v>
      </c>
      <c r="X355" s="3">
        <f>Таблица1[[#This Row],[Ежемесячный платеж]]/Таблица1[[#This Row],[Ежем доход]]</f>
        <v>0.16500000000000001</v>
      </c>
      <c r="Y355" s="3"/>
      <c r="Z355" s="3"/>
      <c r="AA355" s="3"/>
      <c r="AB355" s="3"/>
    </row>
    <row r="356" spans="1:28" x14ac:dyDescent="0.2">
      <c r="A356">
        <v>1339</v>
      </c>
      <c r="B356" t="s">
        <v>1378</v>
      </c>
      <c r="C356" t="s">
        <v>18</v>
      </c>
      <c r="D356" t="s">
        <v>19</v>
      </c>
      <c r="E356" t="s">
        <v>24</v>
      </c>
      <c r="F356" t="s">
        <v>21</v>
      </c>
      <c r="G356" t="s">
        <v>25</v>
      </c>
      <c r="H356" s="1">
        <v>543466</v>
      </c>
      <c r="I356" s="3">
        <v>748</v>
      </c>
      <c r="J356" s="3">
        <v>1163978</v>
      </c>
      <c r="K356" s="3">
        <v>10572.93</v>
      </c>
      <c r="L356" s="2">
        <v>25</v>
      </c>
      <c r="M356" s="11">
        <v>35.265240640000002</v>
      </c>
      <c r="N356" s="3">
        <v>9</v>
      </c>
      <c r="O356" s="3">
        <v>197657</v>
      </c>
      <c r="P356" s="3">
        <v>908182</v>
      </c>
      <c r="Q356" s="10">
        <v>0</v>
      </c>
      <c r="R356" s="3">
        <f>(Таблица1[Размер кредита]-$AA$2)/$AA$3</f>
        <v>1.3314960056465066</v>
      </c>
      <c r="S356" s="3">
        <f>(Таблица1[Кредитный рейтинг]-$AA$7)/($AA$8-$AA$7)</f>
        <v>0.99600532623169102</v>
      </c>
      <c r="T356" s="3">
        <f>(Таблица1[Срок с последнего нарушения кредитного договора (мес,)]-$AA$12)/($AA$13-$AA$12)</f>
        <v>0.40074137090909095</v>
      </c>
      <c r="U356" s="3">
        <f>(Таблица1[Количество кредитных карт]-$AA$18)/($AA$19-$AA$18)</f>
        <v>0.19047619047619047</v>
      </c>
      <c r="V356" s="3">
        <f>(Таблица1[Число нарушений кредитных договоров]-$AA$23)/($AA$24-$AA$23)</f>
        <v>0</v>
      </c>
      <c r="W356" s="3">
        <f>Таблица1[[#This Row],[Годовой доход]]/12</f>
        <v>96998.166666666672</v>
      </c>
      <c r="X356" s="3">
        <f>Таблица1[[#This Row],[Ежемесячный платеж]]/Таблица1[[#This Row],[Ежем доход]]</f>
        <v>0.10900133851327087</v>
      </c>
      <c r="Y356" s="3"/>
      <c r="Z356" s="3"/>
      <c r="AA356" s="3"/>
      <c r="AB356" s="3"/>
    </row>
    <row r="357" spans="1:28" x14ac:dyDescent="0.2">
      <c r="A357">
        <v>679</v>
      </c>
      <c r="B357" t="s">
        <v>720</v>
      </c>
      <c r="C357" t="s">
        <v>18</v>
      </c>
      <c r="D357" t="s">
        <v>19</v>
      </c>
      <c r="E357" t="s">
        <v>20</v>
      </c>
      <c r="F357" t="s">
        <v>27</v>
      </c>
      <c r="G357" t="s">
        <v>25</v>
      </c>
      <c r="H357" s="1">
        <v>152592</v>
      </c>
      <c r="I357" s="3">
        <v>741</v>
      </c>
      <c r="J357" s="3">
        <v>805790</v>
      </c>
      <c r="K357" s="3">
        <v>10273.870000000001</v>
      </c>
      <c r="L357" s="2">
        <v>14.7</v>
      </c>
      <c r="M357" s="11">
        <v>35.265240640000002</v>
      </c>
      <c r="N357" s="3">
        <v>16</v>
      </c>
      <c r="O357" s="3">
        <v>307420</v>
      </c>
      <c r="P357" s="3">
        <v>908050</v>
      </c>
      <c r="Q357" s="10">
        <v>0</v>
      </c>
      <c r="R357" s="3">
        <f>(Таблица1[Размер кредита]-$AA$2)/$AA$3</f>
        <v>-0.89385947400047117</v>
      </c>
      <c r="S357" s="3">
        <f>(Таблица1[Кредитный рейтинг]-$AA$7)/($AA$8-$AA$7)</f>
        <v>0.98668442077230356</v>
      </c>
      <c r="T357" s="3">
        <f>(Таблица1[Срок с последнего нарушения кредитного договора (мес,)]-$AA$12)/($AA$13-$AA$12)</f>
        <v>0.40074137090909095</v>
      </c>
      <c r="U357" s="3">
        <f>(Таблица1[Количество кредитных карт]-$AA$18)/($AA$19-$AA$18)</f>
        <v>0.35714285714285715</v>
      </c>
      <c r="V357" s="3">
        <f>(Таблица1[Число нарушений кредитных договоров]-$AA$23)/($AA$24-$AA$23)</f>
        <v>0</v>
      </c>
      <c r="W357" s="3">
        <f>Таблица1[[#This Row],[Годовой доход]]/12</f>
        <v>67149.166666666672</v>
      </c>
      <c r="X357" s="3">
        <f>Таблица1[[#This Row],[Ежемесячный платеж]]/Таблица1[[#This Row],[Ежем доход]]</f>
        <v>0.15300070738033483</v>
      </c>
      <c r="Y357" s="3"/>
      <c r="Z357" s="3"/>
      <c r="AA357" s="3"/>
      <c r="AB357" s="3"/>
    </row>
    <row r="358" spans="1:28" x14ac:dyDescent="0.2">
      <c r="A358">
        <v>849</v>
      </c>
      <c r="B358" s="4" t="s">
        <v>890</v>
      </c>
      <c r="C358" t="s">
        <v>18</v>
      </c>
      <c r="D358" t="s">
        <v>19</v>
      </c>
      <c r="E358" t="s">
        <v>20</v>
      </c>
      <c r="F358" t="s">
        <v>21</v>
      </c>
      <c r="G358" t="s">
        <v>25</v>
      </c>
      <c r="H358" s="1">
        <v>380512</v>
      </c>
      <c r="I358" s="3">
        <v>728</v>
      </c>
      <c r="J358" s="3">
        <v>948594</v>
      </c>
      <c r="K358" s="3">
        <v>22845.22</v>
      </c>
      <c r="L358" s="2">
        <v>15.9</v>
      </c>
      <c r="M358" s="11">
        <v>20</v>
      </c>
      <c r="N358" s="3">
        <v>27</v>
      </c>
      <c r="O358" s="3">
        <v>348061</v>
      </c>
      <c r="P358" s="3">
        <v>907676</v>
      </c>
      <c r="Q358" s="10">
        <v>0</v>
      </c>
      <c r="R358" s="3">
        <f>(Таблица1[Размер кредита]-$AA$2)/$AA$3</f>
        <v>0.40375310939248715</v>
      </c>
      <c r="S358" s="3">
        <f>(Таблица1[Кредитный рейтинг]-$AA$7)/($AA$8-$AA$7)</f>
        <v>0.96937416777629826</v>
      </c>
      <c r="T358" s="3">
        <f>(Таблица1[Срок с последнего нарушения кредитного договора (мес,)]-$AA$12)/($AA$13-$AA$12)</f>
        <v>0.22727272727272727</v>
      </c>
      <c r="U358" s="3">
        <f>(Таблица1[Количество кредитных карт]-$AA$18)/($AA$19-$AA$18)</f>
        <v>0.61904761904761907</v>
      </c>
      <c r="V358" s="3">
        <f>(Таблица1[Число нарушений кредитных договоров]-$AA$23)/($AA$24-$AA$23)</f>
        <v>0</v>
      </c>
      <c r="W358" s="3">
        <f>Таблица1[[#This Row],[Годовой доход]]/12</f>
        <v>79049.5</v>
      </c>
      <c r="X358" s="3">
        <f>Таблица1[[#This Row],[Ежемесячный платеж]]/Таблица1[[#This Row],[Ежем доход]]</f>
        <v>0.28899891839923086</v>
      </c>
      <c r="Y358" s="3"/>
      <c r="Z358" s="3"/>
      <c r="AA358" s="3"/>
      <c r="AB358" s="3"/>
    </row>
    <row r="359" spans="1:28" x14ac:dyDescent="0.2">
      <c r="A359">
        <v>389</v>
      </c>
      <c r="B359" t="s">
        <v>431</v>
      </c>
      <c r="C359" t="s">
        <v>18</v>
      </c>
      <c r="D359" t="s">
        <v>19</v>
      </c>
      <c r="E359" t="s">
        <v>41</v>
      </c>
      <c r="F359" t="s">
        <v>21</v>
      </c>
      <c r="G359" t="s">
        <v>25</v>
      </c>
      <c r="H359" s="1">
        <v>281710</v>
      </c>
      <c r="I359" s="3">
        <v>728</v>
      </c>
      <c r="J359" s="3">
        <v>831953</v>
      </c>
      <c r="K359" s="3">
        <v>12964.46</v>
      </c>
      <c r="L359" s="2">
        <v>18</v>
      </c>
      <c r="M359" s="11">
        <v>52</v>
      </c>
      <c r="N359" s="3">
        <v>12</v>
      </c>
      <c r="O359" s="3">
        <v>461415</v>
      </c>
      <c r="P359" s="3">
        <v>907104</v>
      </c>
      <c r="Q359" s="10">
        <v>0</v>
      </c>
      <c r="R359" s="3">
        <f>(Таблица1[Размер кредита]-$AA$2)/$AA$3</f>
        <v>-0.1587544303775684</v>
      </c>
      <c r="S359" s="3">
        <f>(Таблица1[Кредитный рейтинг]-$AA$7)/($AA$8-$AA$7)</f>
        <v>0.96937416777629826</v>
      </c>
      <c r="T359" s="3">
        <f>(Таблица1[Срок с последнего нарушения кредитного договора (мес,)]-$AA$12)/($AA$13-$AA$12)</f>
        <v>0.59090909090909094</v>
      </c>
      <c r="U359" s="3">
        <f>(Таблица1[Количество кредитных карт]-$AA$18)/($AA$19-$AA$18)</f>
        <v>0.26190476190476192</v>
      </c>
      <c r="V359" s="3">
        <f>(Таблица1[Число нарушений кредитных договоров]-$AA$23)/($AA$24-$AA$23)</f>
        <v>0</v>
      </c>
      <c r="W359" s="3">
        <f>Таблица1[[#This Row],[Годовой доход]]/12</f>
        <v>69329.416666666672</v>
      </c>
      <c r="X359" s="3">
        <f>Таблица1[[#This Row],[Ежемесячный платеж]]/Таблица1[[#This Row],[Ежем доход]]</f>
        <v>0.18699796743325642</v>
      </c>
      <c r="Y359" s="3"/>
      <c r="Z359" s="3"/>
      <c r="AA359" s="3"/>
      <c r="AB359" s="3"/>
    </row>
    <row r="360" spans="1:28" x14ac:dyDescent="0.2">
      <c r="A360">
        <v>298</v>
      </c>
      <c r="B360" t="s">
        <v>340</v>
      </c>
      <c r="C360" t="s">
        <v>18</v>
      </c>
      <c r="D360" t="s">
        <v>29</v>
      </c>
      <c r="E360" t="s">
        <v>20</v>
      </c>
      <c r="F360" t="s">
        <v>27</v>
      </c>
      <c r="G360" t="s">
        <v>25</v>
      </c>
      <c r="H360" s="1">
        <v>523248</v>
      </c>
      <c r="I360" s="3">
        <v>668</v>
      </c>
      <c r="J360" s="3">
        <v>1468662</v>
      </c>
      <c r="K360" s="3">
        <v>39286.68</v>
      </c>
      <c r="L360" s="2">
        <v>14.8</v>
      </c>
      <c r="M360" s="11">
        <v>35.265240640000002</v>
      </c>
      <c r="N360" s="3">
        <v>9</v>
      </c>
      <c r="O360" s="3">
        <v>621585</v>
      </c>
      <c r="P360" s="3">
        <v>906466</v>
      </c>
      <c r="Q360" s="10">
        <v>0</v>
      </c>
      <c r="R360" s="3">
        <f>(Таблица1[Размер кредита]-$AA$2)/$AA$3</f>
        <v>1.2163892523513204</v>
      </c>
      <c r="S360" s="3">
        <f>(Таблица1[Кредитный рейтинг]-$AA$7)/($AA$8-$AA$7)</f>
        <v>0.88948069241011984</v>
      </c>
      <c r="T360" s="3">
        <f>(Таблица1[Срок с последнего нарушения кредитного договора (мес,)]-$AA$12)/($AA$13-$AA$12)</f>
        <v>0.40074137090909095</v>
      </c>
      <c r="U360" s="3">
        <f>(Таблица1[Количество кредитных карт]-$AA$18)/($AA$19-$AA$18)</f>
        <v>0.19047619047619047</v>
      </c>
      <c r="V360" s="3">
        <f>(Таблица1[Число нарушений кредитных договоров]-$AA$23)/($AA$24-$AA$23)</f>
        <v>0</v>
      </c>
      <c r="W360" s="3">
        <f>Таблица1[[#This Row],[Годовой доход]]/12</f>
        <v>122388.5</v>
      </c>
      <c r="X360" s="3">
        <f>Таблица1[[#This Row],[Ежемесячный платеж]]/Таблица1[[#This Row],[Ежем доход]]</f>
        <v>0.32099976713498407</v>
      </c>
      <c r="Y360" s="3"/>
      <c r="Z360" s="3"/>
      <c r="AA360" s="3"/>
      <c r="AB360" s="3"/>
    </row>
    <row r="361" spans="1:28" x14ac:dyDescent="0.2">
      <c r="A361">
        <v>28</v>
      </c>
      <c r="B361" t="s">
        <v>64</v>
      </c>
      <c r="C361" t="s">
        <v>18</v>
      </c>
      <c r="D361" t="s">
        <v>19</v>
      </c>
      <c r="E361" t="s">
        <v>41</v>
      </c>
      <c r="F361" t="s">
        <v>21</v>
      </c>
      <c r="G361" t="s">
        <v>25</v>
      </c>
      <c r="H361" s="1">
        <v>443960</v>
      </c>
      <c r="I361" s="3">
        <v>749</v>
      </c>
      <c r="J361" s="3">
        <v>1432391</v>
      </c>
      <c r="K361" s="3">
        <v>25186.21</v>
      </c>
      <c r="L361" s="2">
        <v>14</v>
      </c>
      <c r="M361" s="11">
        <v>35.265240640000002</v>
      </c>
      <c r="N361" s="3">
        <v>15</v>
      </c>
      <c r="O361" s="3">
        <v>342475</v>
      </c>
      <c r="P361" s="3">
        <v>905344</v>
      </c>
      <c r="Q361" s="10">
        <v>0</v>
      </c>
      <c r="R361" s="3">
        <f>(Таблица1[Размер кредита]-$AA$2)/$AA$3</f>
        <v>0.76498039612079716</v>
      </c>
      <c r="S361" s="3">
        <f>(Таблица1[Кредитный рейтинг]-$AA$7)/($AA$8-$AA$7)</f>
        <v>0.99733688415446076</v>
      </c>
      <c r="T361" s="3">
        <f>(Таблица1[Срок с последнего нарушения кредитного договора (мес,)]-$AA$12)/($AA$13-$AA$12)</f>
        <v>0.40074137090909095</v>
      </c>
      <c r="U361" s="3">
        <f>(Таблица1[Количество кредитных карт]-$AA$18)/($AA$19-$AA$18)</f>
        <v>0.33333333333333331</v>
      </c>
      <c r="V361" s="3">
        <f>(Таблица1[Число нарушений кредитных договоров]-$AA$23)/($AA$24-$AA$23)</f>
        <v>0</v>
      </c>
      <c r="W361" s="3">
        <f>Таблица1[[#This Row],[Годовой доход]]/12</f>
        <v>119365.91666666667</v>
      </c>
      <c r="X361" s="3">
        <f>Таблица1[[#This Row],[Ежемесячный платеж]]/Таблица1[[#This Row],[Ежем доход]]</f>
        <v>0.2110000132645346</v>
      </c>
      <c r="Y361" s="3"/>
      <c r="Z361" s="3"/>
      <c r="AA361" s="3"/>
      <c r="AB361" s="3"/>
    </row>
    <row r="362" spans="1:28" x14ac:dyDescent="0.2">
      <c r="A362">
        <v>1141</v>
      </c>
      <c r="B362" t="s">
        <v>1180</v>
      </c>
      <c r="C362" t="s">
        <v>18</v>
      </c>
      <c r="D362" t="s">
        <v>19</v>
      </c>
      <c r="E362" t="s">
        <v>37</v>
      </c>
      <c r="F362" t="s">
        <v>33</v>
      </c>
      <c r="G362" t="s">
        <v>75</v>
      </c>
      <c r="H362" s="1">
        <v>133034</v>
      </c>
      <c r="I362" s="3">
        <v>0</v>
      </c>
      <c r="J362" s="3">
        <v>1168044</v>
      </c>
      <c r="K362" s="3">
        <v>14541.08</v>
      </c>
      <c r="L362" s="2">
        <v>12.4</v>
      </c>
      <c r="M362" s="11">
        <v>35.265240640000002</v>
      </c>
      <c r="N362" s="3">
        <v>9</v>
      </c>
      <c r="O362" s="3">
        <v>576840</v>
      </c>
      <c r="P362" s="3">
        <v>905036</v>
      </c>
      <c r="Q362" s="10">
        <v>0</v>
      </c>
      <c r="R362" s="3">
        <f>(Таблица1[Размер кредита]-$AA$2)/$AA$3</f>
        <v>-1.0052086618997318</v>
      </c>
      <c r="S362" s="3">
        <f>(Таблица1[Кредитный рейтинг]-$AA$7)/($AA$8-$AA$7)</f>
        <v>0</v>
      </c>
      <c r="T362" s="3">
        <f>(Таблица1[Срок с последнего нарушения кредитного договора (мес,)]-$AA$12)/($AA$13-$AA$12)</f>
        <v>0.40074137090909095</v>
      </c>
      <c r="U362" s="3">
        <f>(Таблица1[Количество кредитных карт]-$AA$18)/($AA$19-$AA$18)</f>
        <v>0.19047619047619047</v>
      </c>
      <c r="V362" s="3">
        <f>(Таблица1[Число нарушений кредитных договоров]-$AA$23)/($AA$24-$AA$23)</f>
        <v>0</v>
      </c>
      <c r="W362" s="3">
        <f>Таблица1[[#This Row],[Годовой доход]]/12</f>
        <v>97337</v>
      </c>
      <c r="X362" s="3">
        <f>Таблица1[[#This Row],[Ежемесячный платеж]]/Таблица1[[#This Row],[Ежем доход]]</f>
        <v>0.1493890298653133</v>
      </c>
      <c r="Y362" s="3"/>
      <c r="Z362" s="3"/>
      <c r="AA362" s="3"/>
      <c r="AB362" s="3"/>
    </row>
    <row r="363" spans="1:28" x14ac:dyDescent="0.2">
      <c r="A363">
        <v>691</v>
      </c>
      <c r="B363" t="s">
        <v>732</v>
      </c>
      <c r="C363" t="s">
        <v>35</v>
      </c>
      <c r="D363" t="s">
        <v>19</v>
      </c>
      <c r="E363" t="s">
        <v>50</v>
      </c>
      <c r="F363" t="s">
        <v>33</v>
      </c>
      <c r="G363" t="s">
        <v>25</v>
      </c>
      <c r="H363" s="1">
        <v>219692</v>
      </c>
      <c r="I363" s="3">
        <v>734</v>
      </c>
      <c r="J363" s="3">
        <v>1413524</v>
      </c>
      <c r="K363" s="3">
        <v>11060.66</v>
      </c>
      <c r="L363" s="2">
        <v>25.2</v>
      </c>
      <c r="M363" s="11">
        <v>51</v>
      </c>
      <c r="N363" s="3">
        <v>13</v>
      </c>
      <c r="O363" s="3">
        <v>213712</v>
      </c>
      <c r="P363" s="3">
        <v>899866</v>
      </c>
      <c r="Q363" s="10">
        <v>1</v>
      </c>
      <c r="R363" s="3">
        <f>(Таблица1[Размер кредита]-$AA$2)/$AA$3</f>
        <v>-0.51184032541470637</v>
      </c>
      <c r="S363" s="3">
        <f>(Таблица1[Кредитный рейтинг]-$AA$7)/($AA$8-$AA$7)</f>
        <v>0.9773635153129161</v>
      </c>
      <c r="T363" s="3">
        <f>(Таблица1[Срок с последнего нарушения кредитного договора (мес,)]-$AA$12)/($AA$13-$AA$12)</f>
        <v>0.57954545454545459</v>
      </c>
      <c r="U363" s="3">
        <f>(Таблица1[Количество кредитных карт]-$AA$18)/($AA$19-$AA$18)</f>
        <v>0.2857142857142857</v>
      </c>
      <c r="V363" s="3">
        <f>(Таблица1[Число нарушений кредитных договоров]-$AA$23)/($AA$24-$AA$23)</f>
        <v>0.14285714285714285</v>
      </c>
      <c r="W363" s="3">
        <f>Таблица1[[#This Row],[Годовой доход]]/12</f>
        <v>117793.66666666667</v>
      </c>
      <c r="X363" s="3">
        <f>Таблица1[[#This Row],[Ежемесячный платеж]]/Таблица1[[#This Row],[Ежем доход]]</f>
        <v>9.3898596698747241E-2</v>
      </c>
      <c r="Y363" s="3"/>
      <c r="Z363" s="3"/>
      <c r="AA363" s="3"/>
      <c r="AB363" s="3"/>
    </row>
    <row r="364" spans="1:28" x14ac:dyDescent="0.2">
      <c r="A364">
        <v>1031</v>
      </c>
      <c r="B364" t="s">
        <v>1070</v>
      </c>
      <c r="C364" t="s">
        <v>18</v>
      </c>
      <c r="D364" t="s">
        <v>19</v>
      </c>
      <c r="E364" t="s">
        <v>24</v>
      </c>
      <c r="F364" t="s">
        <v>33</v>
      </c>
      <c r="G364" t="s">
        <v>25</v>
      </c>
      <c r="H364" s="1">
        <v>309594.52439999999</v>
      </c>
      <c r="I364" s="3">
        <v>749</v>
      </c>
      <c r="J364" s="3">
        <v>800280</v>
      </c>
      <c r="K364" s="3">
        <v>8336.06</v>
      </c>
      <c r="L364" s="2">
        <v>16.899999999999999</v>
      </c>
      <c r="M364" s="11">
        <v>35.265240640000002</v>
      </c>
      <c r="N364" s="3">
        <v>7</v>
      </c>
      <c r="O364" s="3">
        <v>288895</v>
      </c>
      <c r="P364" s="3">
        <v>899228</v>
      </c>
      <c r="Q364" s="10">
        <v>0</v>
      </c>
      <c r="R364" s="3">
        <f>(Таблица1[Размер кредита]-$AA$2)/$AA$3</f>
        <v>-1.2411115481956205E-10</v>
      </c>
      <c r="S364" s="3">
        <f>(Таблица1[Кредитный рейтинг]-$AA$7)/($AA$8-$AA$7)</f>
        <v>0.99733688415446076</v>
      </c>
      <c r="T364" s="3">
        <f>(Таблица1[Срок с последнего нарушения кредитного договора (мес,)]-$AA$12)/($AA$13-$AA$12)</f>
        <v>0.40074137090909095</v>
      </c>
      <c r="U364" s="3">
        <f>(Таблица1[Количество кредитных карт]-$AA$18)/($AA$19-$AA$18)</f>
        <v>0.14285714285714285</v>
      </c>
      <c r="V364" s="3">
        <f>(Таблица1[Число нарушений кредитных договоров]-$AA$23)/($AA$24-$AA$23)</f>
        <v>0</v>
      </c>
      <c r="W364" s="3">
        <f>Таблица1[[#This Row],[Годовой доход]]/12</f>
        <v>66690</v>
      </c>
      <c r="X364" s="3">
        <f>Таблица1[[#This Row],[Ежемесячный платеж]]/Таблица1[[#This Row],[Ежем доход]]</f>
        <v>0.12499715099715099</v>
      </c>
      <c r="Y364" s="3"/>
      <c r="Z364" s="3"/>
      <c r="AA364" s="3"/>
      <c r="AB364" s="3"/>
    </row>
    <row r="365" spans="1:28" x14ac:dyDescent="0.2">
      <c r="A365">
        <v>796</v>
      </c>
      <c r="B365" t="s">
        <v>837</v>
      </c>
      <c r="C365" t="s">
        <v>18</v>
      </c>
      <c r="D365" t="s">
        <v>29</v>
      </c>
      <c r="E365" t="s">
        <v>52</v>
      </c>
      <c r="F365" t="s">
        <v>21</v>
      </c>
      <c r="G365" t="s">
        <v>25</v>
      </c>
      <c r="H365" s="1">
        <v>309594.52439999999</v>
      </c>
      <c r="I365" s="3">
        <v>725</v>
      </c>
      <c r="J365" s="3">
        <v>1698885</v>
      </c>
      <c r="K365" s="3">
        <v>29164.240000000002</v>
      </c>
      <c r="L365" s="2">
        <v>13.1</v>
      </c>
      <c r="M365" s="11">
        <v>35.265240640000002</v>
      </c>
      <c r="N365" s="3">
        <v>10</v>
      </c>
      <c r="O365" s="3">
        <v>589988</v>
      </c>
      <c r="P365" s="3">
        <v>898876</v>
      </c>
      <c r="Q365" s="10">
        <v>0</v>
      </c>
      <c r="R365" s="3">
        <f>(Таблица1[Размер кредита]-$AA$2)/$AA$3</f>
        <v>-1.2411115481956205E-10</v>
      </c>
      <c r="S365" s="3">
        <f>(Таблица1[Кредитный рейтинг]-$AA$7)/($AA$8-$AA$7)</f>
        <v>0.96537949400798939</v>
      </c>
      <c r="T365" s="3">
        <f>(Таблица1[Срок с последнего нарушения кредитного договора (мес,)]-$AA$12)/($AA$13-$AA$12)</f>
        <v>0.40074137090909095</v>
      </c>
      <c r="U365" s="3">
        <f>(Таблица1[Количество кредитных карт]-$AA$18)/($AA$19-$AA$18)</f>
        <v>0.21428571428571427</v>
      </c>
      <c r="V365" s="3">
        <f>(Таблица1[Число нарушений кредитных договоров]-$AA$23)/($AA$24-$AA$23)</f>
        <v>0</v>
      </c>
      <c r="W365" s="3">
        <f>Таблица1[[#This Row],[Годовой доход]]/12</f>
        <v>141573.75</v>
      </c>
      <c r="X365" s="3">
        <f>Таблица1[[#This Row],[Ежемесячный платеж]]/Таблица1[[#This Row],[Ежем доход]]</f>
        <v>0.20600033551417549</v>
      </c>
      <c r="Y365" s="3"/>
      <c r="Z365" s="3"/>
      <c r="AA365" s="3"/>
      <c r="AB365" s="3"/>
    </row>
    <row r="366" spans="1:28" x14ac:dyDescent="0.2">
      <c r="A366">
        <v>486</v>
      </c>
      <c r="B366" t="s">
        <v>527</v>
      </c>
      <c r="C366" t="s">
        <v>35</v>
      </c>
      <c r="D366" t="s">
        <v>19</v>
      </c>
      <c r="E366" t="s">
        <v>24</v>
      </c>
      <c r="F366" t="s">
        <v>21</v>
      </c>
      <c r="G366" t="s">
        <v>25</v>
      </c>
      <c r="H366" s="1">
        <v>388168</v>
      </c>
      <c r="I366" s="3">
        <v>744</v>
      </c>
      <c r="J366" s="3">
        <v>2234856</v>
      </c>
      <c r="K366" s="3">
        <v>40041.17</v>
      </c>
      <c r="L366" s="2">
        <v>21</v>
      </c>
      <c r="M366" s="11">
        <v>18</v>
      </c>
      <c r="N366" s="3">
        <v>9</v>
      </c>
      <c r="O366" s="3">
        <v>681587</v>
      </c>
      <c r="P366" s="3">
        <v>896852</v>
      </c>
      <c r="Q366" s="10">
        <v>0</v>
      </c>
      <c r="R366" s="3">
        <f>(Таблица1[Размер кредита]-$AA$2)/$AA$3</f>
        <v>0.4473408679852236</v>
      </c>
      <c r="S366" s="3">
        <f>(Таблица1[Кредитный рейтинг]-$AA$7)/($AA$8-$AA$7)</f>
        <v>0.99067909454061254</v>
      </c>
      <c r="T366" s="3">
        <f>(Таблица1[Срок с последнего нарушения кредитного договора (мес,)]-$AA$12)/($AA$13-$AA$12)</f>
        <v>0.20454545454545456</v>
      </c>
      <c r="U366" s="3">
        <f>(Таблица1[Количество кредитных карт]-$AA$18)/($AA$19-$AA$18)</f>
        <v>0.19047619047619047</v>
      </c>
      <c r="V366" s="3">
        <f>(Таблица1[Число нарушений кредитных договоров]-$AA$23)/($AA$24-$AA$23)</f>
        <v>0</v>
      </c>
      <c r="W366" s="3">
        <f>Таблица1[[#This Row],[Годовой доход]]/12</f>
        <v>186238</v>
      </c>
      <c r="X366" s="3">
        <f>Таблица1[[#This Row],[Ежемесячный платеж]]/Таблица1[[#This Row],[Ежем доход]]</f>
        <v>0.215</v>
      </c>
      <c r="Y366" s="3"/>
      <c r="Z366" s="3"/>
      <c r="AA366" s="3"/>
      <c r="AB366" s="3"/>
    </row>
    <row r="367" spans="1:28" x14ac:dyDescent="0.2">
      <c r="A367">
        <v>313</v>
      </c>
      <c r="B367" t="s">
        <v>355</v>
      </c>
      <c r="C367" t="s">
        <v>18</v>
      </c>
      <c r="D367" t="s">
        <v>29</v>
      </c>
      <c r="E367" t="s">
        <v>24</v>
      </c>
      <c r="F367" t="s">
        <v>21</v>
      </c>
      <c r="G367" t="s">
        <v>25</v>
      </c>
      <c r="H367" s="1">
        <v>448712</v>
      </c>
      <c r="I367" s="3">
        <v>696</v>
      </c>
      <c r="J367" s="3">
        <v>1264602</v>
      </c>
      <c r="K367" s="3">
        <v>33722.910000000003</v>
      </c>
      <c r="L367" s="2">
        <v>16.7</v>
      </c>
      <c r="M367" s="11">
        <v>22</v>
      </c>
      <c r="N367" s="3">
        <v>28</v>
      </c>
      <c r="O367" s="3">
        <v>328054</v>
      </c>
      <c r="P367" s="3">
        <v>895906</v>
      </c>
      <c r="Q367" s="10">
        <v>2</v>
      </c>
      <c r="R367" s="3">
        <f>(Таблица1[Размер кредита]-$AA$2)/$AA$3</f>
        <v>0.79203486697146119</v>
      </c>
      <c r="S367" s="3">
        <f>(Таблица1[Кредитный рейтинг]-$AA$7)/($AA$8-$AA$7)</f>
        <v>0.92676431424766981</v>
      </c>
      <c r="T367" s="3">
        <f>(Таблица1[Срок с последнего нарушения кредитного договора (мес,)]-$AA$12)/($AA$13-$AA$12)</f>
        <v>0.25</v>
      </c>
      <c r="U367" s="3">
        <f>(Таблица1[Количество кредитных карт]-$AA$18)/($AA$19-$AA$18)</f>
        <v>0.6428571428571429</v>
      </c>
      <c r="V367" s="3">
        <f>(Таблица1[Число нарушений кредитных договоров]-$AA$23)/($AA$24-$AA$23)</f>
        <v>0.2857142857142857</v>
      </c>
      <c r="W367" s="3">
        <f>Таблица1[[#This Row],[Годовой доход]]/12</f>
        <v>105383.5</v>
      </c>
      <c r="X367" s="3">
        <f>Таблица1[[#This Row],[Ежемесячный платеж]]/Таблица1[[#This Row],[Ежем доход]]</f>
        <v>0.32000180293879027</v>
      </c>
      <c r="Y367" s="3"/>
      <c r="Z367" s="3"/>
      <c r="AA367" s="3"/>
      <c r="AB367" s="3"/>
    </row>
    <row r="368" spans="1:28" x14ac:dyDescent="0.2">
      <c r="A368">
        <v>1004</v>
      </c>
      <c r="B368" t="s">
        <v>355</v>
      </c>
      <c r="C368" t="s">
        <v>18</v>
      </c>
      <c r="D368" t="s">
        <v>29</v>
      </c>
      <c r="E368" t="s">
        <v>24</v>
      </c>
      <c r="F368" t="s">
        <v>21</v>
      </c>
      <c r="G368" t="s">
        <v>25</v>
      </c>
      <c r="H368" s="1">
        <v>448712</v>
      </c>
      <c r="I368" s="3">
        <v>696</v>
      </c>
      <c r="J368" s="3">
        <v>1264602</v>
      </c>
      <c r="K368" s="3">
        <v>33722.910000000003</v>
      </c>
      <c r="L368" s="2">
        <v>16.7</v>
      </c>
      <c r="M368" s="11">
        <v>22</v>
      </c>
      <c r="N368" s="3">
        <v>28</v>
      </c>
      <c r="O368" s="3">
        <v>328054</v>
      </c>
      <c r="P368" s="3">
        <v>895906</v>
      </c>
      <c r="Q368" s="10">
        <v>2</v>
      </c>
      <c r="R368" s="3">
        <f>(Таблица1[Размер кредита]-$AA$2)/$AA$3</f>
        <v>0.79203486697146119</v>
      </c>
      <c r="S368" s="3">
        <f>(Таблица1[Кредитный рейтинг]-$AA$7)/($AA$8-$AA$7)</f>
        <v>0.92676431424766981</v>
      </c>
      <c r="T368" s="3">
        <f>(Таблица1[Срок с последнего нарушения кредитного договора (мес,)]-$AA$12)/($AA$13-$AA$12)</f>
        <v>0.25</v>
      </c>
      <c r="U368" s="3">
        <f>(Таблица1[Количество кредитных карт]-$AA$18)/($AA$19-$AA$18)</f>
        <v>0.6428571428571429</v>
      </c>
      <c r="V368" s="3">
        <f>(Таблица1[Число нарушений кредитных договоров]-$AA$23)/($AA$24-$AA$23)</f>
        <v>0.2857142857142857</v>
      </c>
      <c r="W368" s="3">
        <f>Таблица1[[#This Row],[Годовой доход]]/12</f>
        <v>105383.5</v>
      </c>
      <c r="X368" s="3">
        <f>Таблица1[[#This Row],[Ежемесячный платеж]]/Таблица1[[#This Row],[Ежем доход]]</f>
        <v>0.32000180293879027</v>
      </c>
      <c r="Y368" s="3"/>
      <c r="Z368" s="3"/>
      <c r="AA368" s="3"/>
      <c r="AB368" s="3"/>
    </row>
    <row r="369" spans="1:28" x14ac:dyDescent="0.2">
      <c r="A369">
        <v>657</v>
      </c>
      <c r="B369" t="s">
        <v>698</v>
      </c>
      <c r="C369" t="s">
        <v>18</v>
      </c>
      <c r="D369" t="s">
        <v>19</v>
      </c>
      <c r="E369" t="s">
        <v>24</v>
      </c>
      <c r="F369" t="s">
        <v>21</v>
      </c>
      <c r="G369" t="s">
        <v>25</v>
      </c>
      <c r="H369" s="1">
        <v>322740</v>
      </c>
      <c r="I369" s="3">
        <v>0</v>
      </c>
      <c r="J369" s="3">
        <v>1168044</v>
      </c>
      <c r="K369" s="3">
        <v>43985</v>
      </c>
      <c r="L369" s="2">
        <v>20.7</v>
      </c>
      <c r="M369" s="11">
        <v>35.265240640000002</v>
      </c>
      <c r="N369" s="3">
        <v>16</v>
      </c>
      <c r="O369" s="3">
        <v>446329</v>
      </c>
      <c r="P369" s="3">
        <v>891022</v>
      </c>
      <c r="Q369" s="10">
        <v>1</v>
      </c>
      <c r="R369" s="3">
        <f>(Таблица1[Размер кредита]-$AA$2)/$AA$3</f>
        <v>7.4840885069136942E-2</v>
      </c>
      <c r="S369" s="3">
        <f>(Таблица1[Кредитный рейтинг]-$AA$7)/($AA$8-$AA$7)</f>
        <v>0</v>
      </c>
      <c r="T369" s="3">
        <f>(Таблица1[Срок с последнего нарушения кредитного договора (мес,)]-$AA$12)/($AA$13-$AA$12)</f>
        <v>0.40074137090909095</v>
      </c>
      <c r="U369" s="3">
        <f>(Таблица1[Количество кредитных карт]-$AA$18)/($AA$19-$AA$18)</f>
        <v>0.35714285714285715</v>
      </c>
      <c r="V369" s="3">
        <f>(Таблица1[Число нарушений кредитных договоров]-$AA$23)/($AA$24-$AA$23)</f>
        <v>0.14285714285714285</v>
      </c>
      <c r="W369" s="3">
        <f>Таблица1[[#This Row],[Годовой доход]]/12</f>
        <v>97337</v>
      </c>
      <c r="X369" s="3">
        <f>Таблица1[[#This Row],[Ежемесячный платеж]]/Таблица1[[#This Row],[Ежем доход]]</f>
        <v>0.45188366191684559</v>
      </c>
      <c r="Y369" s="3"/>
      <c r="Z369" s="3"/>
      <c r="AA369" s="3"/>
      <c r="AB369" s="3"/>
    </row>
    <row r="370" spans="1:28" x14ac:dyDescent="0.2">
      <c r="A370">
        <v>1872</v>
      </c>
      <c r="B370" t="s">
        <v>698</v>
      </c>
      <c r="C370" t="s">
        <v>18</v>
      </c>
      <c r="D370" t="s">
        <v>19</v>
      </c>
      <c r="E370" t="s">
        <v>24</v>
      </c>
      <c r="F370" t="s">
        <v>21</v>
      </c>
      <c r="G370" t="s">
        <v>25</v>
      </c>
      <c r="H370" s="1">
        <v>322740</v>
      </c>
      <c r="I370" s="3">
        <v>717</v>
      </c>
      <c r="J370" s="3">
        <v>1765290</v>
      </c>
      <c r="K370" s="3">
        <v>43985</v>
      </c>
      <c r="L370" s="2">
        <v>20.7</v>
      </c>
      <c r="M370" s="11">
        <v>35.265240640000002</v>
      </c>
      <c r="N370" s="3">
        <v>16</v>
      </c>
      <c r="O370" s="3">
        <v>446329</v>
      </c>
      <c r="P370" s="3">
        <v>891022</v>
      </c>
      <c r="Q370" s="10">
        <v>1</v>
      </c>
      <c r="R370" s="3">
        <f>(Таблица1[Размер кредита]-$AA$2)/$AA$3</f>
        <v>7.4840885069136942E-2</v>
      </c>
      <c r="S370" s="3">
        <f>(Таблица1[Кредитный рейтинг]-$AA$7)/($AA$8-$AA$7)</f>
        <v>0.9547270306258322</v>
      </c>
      <c r="T370" s="3">
        <f>(Таблица1[Срок с последнего нарушения кредитного договора (мес,)]-$AA$12)/($AA$13-$AA$12)</f>
        <v>0.40074137090909095</v>
      </c>
      <c r="U370" s="3">
        <f>(Таблица1[Количество кредитных карт]-$AA$18)/($AA$19-$AA$18)</f>
        <v>0.35714285714285715</v>
      </c>
      <c r="V370" s="3">
        <f>(Таблица1[Число нарушений кредитных договоров]-$AA$23)/($AA$24-$AA$23)</f>
        <v>0.14285714285714285</v>
      </c>
      <c r="W370" s="3">
        <f>Таблица1[[#This Row],[Годовой доход]]/12</f>
        <v>147107.5</v>
      </c>
      <c r="X370" s="3">
        <f>Таблица1[[#This Row],[Ежемесячный платеж]]/Таблица1[[#This Row],[Ежем доход]]</f>
        <v>0.29899903132063288</v>
      </c>
      <c r="Y370" s="3"/>
      <c r="Z370" s="3"/>
      <c r="AA370" s="3"/>
      <c r="AB370" s="3"/>
    </row>
    <row r="371" spans="1:28" x14ac:dyDescent="0.2">
      <c r="A371">
        <v>1322</v>
      </c>
      <c r="B371" t="s">
        <v>1361</v>
      </c>
      <c r="C371" t="s">
        <v>35</v>
      </c>
      <c r="D371" t="s">
        <v>19</v>
      </c>
      <c r="E371" t="s">
        <v>41</v>
      </c>
      <c r="F371" t="s">
        <v>33</v>
      </c>
      <c r="G371" t="s">
        <v>25</v>
      </c>
      <c r="H371" s="1">
        <v>718498</v>
      </c>
      <c r="I371" s="3">
        <v>0</v>
      </c>
      <c r="J371" s="3">
        <v>1168044</v>
      </c>
      <c r="K371" s="3">
        <v>30122.22</v>
      </c>
      <c r="L371" s="2">
        <v>20.399999999999999</v>
      </c>
      <c r="M371" s="11">
        <v>67</v>
      </c>
      <c r="N371" s="3">
        <v>13</v>
      </c>
      <c r="O371" s="3">
        <v>436164</v>
      </c>
      <c r="P371" s="3">
        <v>890714</v>
      </c>
      <c r="Q371" s="10">
        <v>0</v>
      </c>
      <c r="R371" s="3">
        <f>(Таблица1[Размер кредита]-$AA$2)/$AA$3</f>
        <v>2.3280023486459638</v>
      </c>
      <c r="S371" s="3">
        <f>(Таблица1[Кредитный рейтинг]-$AA$7)/($AA$8-$AA$7)</f>
        <v>0</v>
      </c>
      <c r="T371" s="3">
        <f>(Таблица1[Срок с последнего нарушения кредитного договора (мес,)]-$AA$12)/($AA$13-$AA$12)</f>
        <v>0.76136363636363635</v>
      </c>
      <c r="U371" s="3">
        <f>(Таблица1[Количество кредитных карт]-$AA$18)/($AA$19-$AA$18)</f>
        <v>0.2857142857142857</v>
      </c>
      <c r="V371" s="3">
        <f>(Таблица1[Число нарушений кредитных договоров]-$AA$23)/($AA$24-$AA$23)</f>
        <v>0</v>
      </c>
      <c r="W371" s="3">
        <f>Таблица1[[#This Row],[Годовой доход]]/12</f>
        <v>97337</v>
      </c>
      <c r="X371" s="3">
        <f>Таблица1[[#This Row],[Ежемесячный платеж]]/Таблица1[[#This Row],[Ежем доход]]</f>
        <v>0.30946320515323056</v>
      </c>
      <c r="Y371" s="3"/>
      <c r="Z371" s="3"/>
      <c r="AA371" s="3"/>
      <c r="AB371" s="3"/>
    </row>
    <row r="372" spans="1:28" x14ac:dyDescent="0.2">
      <c r="A372">
        <v>1634</v>
      </c>
      <c r="B372" t="s">
        <v>1672</v>
      </c>
      <c r="C372" t="s">
        <v>18</v>
      </c>
      <c r="D372" t="s">
        <v>19</v>
      </c>
      <c r="E372" t="s">
        <v>30</v>
      </c>
      <c r="F372" t="s">
        <v>21</v>
      </c>
      <c r="G372" t="s">
        <v>25</v>
      </c>
      <c r="H372" s="1">
        <v>309594.52439999999</v>
      </c>
      <c r="I372" s="3">
        <v>737</v>
      </c>
      <c r="J372" s="3">
        <v>898358</v>
      </c>
      <c r="K372" s="3">
        <v>16919.12</v>
      </c>
      <c r="L372" s="2">
        <v>28.9</v>
      </c>
      <c r="M372" s="11">
        <v>69</v>
      </c>
      <c r="N372" s="3">
        <v>12</v>
      </c>
      <c r="O372" s="3">
        <v>607886</v>
      </c>
      <c r="P372" s="3">
        <v>889834</v>
      </c>
      <c r="Q372" s="10">
        <v>0</v>
      </c>
      <c r="R372" s="3">
        <f>(Таблица1[Размер кредита]-$AA$2)/$AA$3</f>
        <v>-1.2411115481956205E-10</v>
      </c>
      <c r="S372" s="3">
        <f>(Таблица1[Кредитный рейтинг]-$AA$7)/($AA$8-$AA$7)</f>
        <v>0.98135818908122507</v>
      </c>
      <c r="T372" s="3">
        <f>(Таблица1[Срок с последнего нарушения кредитного договора (мес,)]-$AA$12)/($AA$13-$AA$12)</f>
        <v>0.78409090909090906</v>
      </c>
      <c r="U372" s="3">
        <f>(Таблица1[Количество кредитных карт]-$AA$18)/($AA$19-$AA$18)</f>
        <v>0.26190476190476192</v>
      </c>
      <c r="V372" s="3">
        <f>(Таблица1[Число нарушений кредитных договоров]-$AA$23)/($AA$24-$AA$23)</f>
        <v>0</v>
      </c>
      <c r="W372" s="3">
        <f>Таблица1[[#This Row],[Годовой доход]]/12</f>
        <v>74863.166666666672</v>
      </c>
      <c r="X372" s="3">
        <f>Таблица1[[#This Row],[Ежемесячный платеж]]/Таблица1[[#This Row],[Ежем доход]]</f>
        <v>0.22600059219153162</v>
      </c>
      <c r="Y372" s="3"/>
      <c r="Z372" s="3"/>
      <c r="AA372" s="3"/>
      <c r="AB372" s="3"/>
    </row>
    <row r="373" spans="1:28" x14ac:dyDescent="0.2">
      <c r="A373">
        <v>1475</v>
      </c>
      <c r="B373" t="s">
        <v>1514</v>
      </c>
      <c r="C373" t="s">
        <v>18</v>
      </c>
      <c r="D373" t="s">
        <v>19</v>
      </c>
      <c r="E373" t="s">
        <v>63</v>
      </c>
      <c r="F373" t="s">
        <v>21</v>
      </c>
      <c r="G373" t="s">
        <v>70</v>
      </c>
      <c r="H373" s="1">
        <v>309594.52439999999</v>
      </c>
      <c r="I373" s="3">
        <v>702</v>
      </c>
      <c r="J373" s="3">
        <v>1238610</v>
      </c>
      <c r="K373" s="3">
        <v>9712.7999999999993</v>
      </c>
      <c r="L373" s="2">
        <v>17.7</v>
      </c>
      <c r="M373" s="11">
        <v>35.265240640000002</v>
      </c>
      <c r="N373" s="3">
        <v>9</v>
      </c>
      <c r="O373" s="3">
        <v>43757</v>
      </c>
      <c r="P373" s="3">
        <v>888910</v>
      </c>
      <c r="Q373" s="10">
        <v>0</v>
      </c>
      <c r="R373" s="3">
        <f>(Таблица1[Размер кредита]-$AA$2)/$AA$3</f>
        <v>-1.2411115481956205E-10</v>
      </c>
      <c r="S373" s="3">
        <f>(Таблица1[Кредитный рейтинг]-$AA$7)/($AA$8-$AA$7)</f>
        <v>0.93475366178428765</v>
      </c>
      <c r="T373" s="3">
        <f>(Таблица1[Срок с последнего нарушения кредитного договора (мес,)]-$AA$12)/($AA$13-$AA$12)</f>
        <v>0.40074137090909095</v>
      </c>
      <c r="U373" s="3">
        <f>(Таблица1[Количество кредитных карт]-$AA$18)/($AA$19-$AA$18)</f>
        <v>0.19047619047619047</v>
      </c>
      <c r="V373" s="3">
        <f>(Таблица1[Число нарушений кредитных договоров]-$AA$23)/($AA$24-$AA$23)</f>
        <v>0</v>
      </c>
      <c r="W373" s="3">
        <f>Таблица1[[#This Row],[Годовой доход]]/12</f>
        <v>103217.5</v>
      </c>
      <c r="X373" s="3">
        <f>Таблица1[[#This Row],[Ежемесячный платеж]]/Таблица1[[#This Row],[Ежем доход]]</f>
        <v>9.4100322135296816E-2</v>
      </c>
      <c r="Y373" s="3"/>
      <c r="Z373" s="3"/>
      <c r="AA373" s="3"/>
      <c r="AB373" s="3"/>
    </row>
    <row r="374" spans="1:28" x14ac:dyDescent="0.2">
      <c r="A374">
        <v>584</v>
      </c>
      <c r="B374" t="s">
        <v>625</v>
      </c>
      <c r="C374" t="s">
        <v>18</v>
      </c>
      <c r="D374" t="s">
        <v>19</v>
      </c>
      <c r="E374" t="s">
        <v>50</v>
      </c>
      <c r="F374" t="s">
        <v>21</v>
      </c>
      <c r="G374" t="s">
        <v>25</v>
      </c>
      <c r="H374" s="1">
        <v>153868</v>
      </c>
      <c r="I374" s="3">
        <v>741</v>
      </c>
      <c r="J374" s="3">
        <v>2183043</v>
      </c>
      <c r="K374" s="3">
        <v>49482.080000000002</v>
      </c>
      <c r="L374" s="2">
        <v>24</v>
      </c>
      <c r="M374" s="11">
        <v>38</v>
      </c>
      <c r="N374" s="3">
        <v>15</v>
      </c>
      <c r="O374" s="3">
        <v>688655</v>
      </c>
      <c r="P374" s="3">
        <v>887986</v>
      </c>
      <c r="Q374" s="10">
        <v>0</v>
      </c>
      <c r="R374" s="3">
        <f>(Таблица1[Размер кредита]-$AA$2)/$AA$3</f>
        <v>-0.88659484756834839</v>
      </c>
      <c r="S374" s="3">
        <f>(Таблица1[Кредитный рейтинг]-$AA$7)/($AA$8-$AA$7)</f>
        <v>0.98668442077230356</v>
      </c>
      <c r="T374" s="3">
        <f>(Таблица1[Срок с последнего нарушения кредитного договора (мес,)]-$AA$12)/($AA$13-$AA$12)</f>
        <v>0.43181818181818182</v>
      </c>
      <c r="U374" s="3">
        <f>(Таблица1[Количество кредитных карт]-$AA$18)/($AA$19-$AA$18)</f>
        <v>0.33333333333333331</v>
      </c>
      <c r="V374" s="3">
        <f>(Таблица1[Число нарушений кредитных договоров]-$AA$23)/($AA$24-$AA$23)</f>
        <v>0</v>
      </c>
      <c r="W374" s="3">
        <f>Таблица1[[#This Row],[Годовой доход]]/12</f>
        <v>181920.25</v>
      </c>
      <c r="X374" s="3">
        <f>Таблица1[[#This Row],[Ежемесячный платеж]]/Таблица1[[#This Row],[Ежем доход]]</f>
        <v>0.27199874670356927</v>
      </c>
      <c r="Y374" s="3"/>
      <c r="Z374" s="3"/>
      <c r="AA374" s="3"/>
      <c r="AB374" s="3"/>
    </row>
    <row r="375" spans="1:28" x14ac:dyDescent="0.2">
      <c r="A375">
        <v>948</v>
      </c>
      <c r="B375" t="s">
        <v>989</v>
      </c>
      <c r="C375" t="s">
        <v>18</v>
      </c>
      <c r="D375" t="s">
        <v>19</v>
      </c>
      <c r="E375" t="s">
        <v>47</v>
      </c>
      <c r="F375" t="s">
        <v>21</v>
      </c>
      <c r="G375" t="s">
        <v>25</v>
      </c>
      <c r="H375" s="1">
        <v>520542</v>
      </c>
      <c r="I375" s="3">
        <v>743</v>
      </c>
      <c r="J375" s="3">
        <v>1251435</v>
      </c>
      <c r="K375" s="3">
        <v>25132.82</v>
      </c>
      <c r="L375" s="2">
        <v>15.7</v>
      </c>
      <c r="M375" s="11">
        <v>35.265240640000002</v>
      </c>
      <c r="N375" s="3">
        <v>14</v>
      </c>
      <c r="O375" s="3">
        <v>593769</v>
      </c>
      <c r="P375" s="3">
        <v>887128</v>
      </c>
      <c r="Q375" s="10">
        <v>0</v>
      </c>
      <c r="R375" s="3">
        <f>(Таблица1[Размер кредита]-$AA$2)/$AA$3</f>
        <v>1.2009832342280258</v>
      </c>
      <c r="S375" s="3">
        <f>(Таблица1[Кредитный рейтинг]-$AA$7)/($AA$8-$AA$7)</f>
        <v>0.98934753661784292</v>
      </c>
      <c r="T375" s="3">
        <f>(Таблица1[Срок с последнего нарушения кредитного договора (мес,)]-$AA$12)/($AA$13-$AA$12)</f>
        <v>0.40074137090909095</v>
      </c>
      <c r="U375" s="3">
        <f>(Таблица1[Количество кредитных карт]-$AA$18)/($AA$19-$AA$18)</f>
        <v>0.30952380952380953</v>
      </c>
      <c r="V375" s="3">
        <f>(Таблица1[Число нарушений кредитных договоров]-$AA$23)/($AA$24-$AA$23)</f>
        <v>0</v>
      </c>
      <c r="W375" s="3">
        <f>Таблица1[[#This Row],[Годовой доход]]/12</f>
        <v>104286.25</v>
      </c>
      <c r="X375" s="3">
        <f>Таблица1[[#This Row],[Ежемесячный платеж]]/Таблица1[[#This Row],[Ежем доход]]</f>
        <v>0.24099840583010704</v>
      </c>
      <c r="Y375" s="3"/>
      <c r="Z375" s="3"/>
      <c r="AA375" s="3"/>
      <c r="AB375" s="3"/>
    </row>
    <row r="376" spans="1:28" x14ac:dyDescent="0.2">
      <c r="A376">
        <v>811</v>
      </c>
      <c r="B376" t="s">
        <v>852</v>
      </c>
      <c r="C376" t="s">
        <v>18</v>
      </c>
      <c r="D376" t="s">
        <v>19</v>
      </c>
      <c r="E376" t="s">
        <v>69</v>
      </c>
      <c r="F376" t="s">
        <v>33</v>
      </c>
      <c r="G376" t="s">
        <v>25</v>
      </c>
      <c r="H376" s="1">
        <v>309594.52439999999</v>
      </c>
      <c r="I376" s="3">
        <v>746</v>
      </c>
      <c r="J376" s="3">
        <v>1580116</v>
      </c>
      <c r="K376" s="3">
        <v>25150.3</v>
      </c>
      <c r="L376" s="2">
        <v>18.899999999999999</v>
      </c>
      <c r="M376" s="11">
        <v>35.265240640000002</v>
      </c>
      <c r="N376" s="3">
        <v>6</v>
      </c>
      <c r="O376" s="3">
        <v>465785</v>
      </c>
      <c r="P376" s="3">
        <v>887062</v>
      </c>
      <c r="Q376" s="10">
        <v>1</v>
      </c>
      <c r="R376" s="3">
        <f>(Таблица1[Размер кредита]-$AA$2)/$AA$3</f>
        <v>-1.2411115481956205E-10</v>
      </c>
      <c r="S376" s="3">
        <f>(Таблица1[Кредитный рейтинг]-$AA$7)/($AA$8-$AA$7)</f>
        <v>0.99334221038615178</v>
      </c>
      <c r="T376" s="3">
        <f>(Таблица1[Срок с последнего нарушения кредитного договора (мес,)]-$AA$12)/($AA$13-$AA$12)</f>
        <v>0.40074137090909095</v>
      </c>
      <c r="U376" s="3">
        <f>(Таблица1[Количество кредитных карт]-$AA$18)/($AA$19-$AA$18)</f>
        <v>0.11904761904761904</v>
      </c>
      <c r="V376" s="3">
        <f>(Таблица1[Число нарушений кредитных договоров]-$AA$23)/($AA$24-$AA$23)</f>
        <v>0.14285714285714285</v>
      </c>
      <c r="W376" s="3">
        <f>Таблица1[[#This Row],[Годовой доход]]/12</f>
        <v>131676.33333333334</v>
      </c>
      <c r="X376" s="3">
        <f>Таблица1[[#This Row],[Ежемесячный платеж]]/Таблица1[[#This Row],[Ежем доход]]</f>
        <v>0.19100091385695731</v>
      </c>
      <c r="Y376" s="3"/>
      <c r="Z376" s="3"/>
      <c r="AA376" s="3"/>
      <c r="AB376" s="3"/>
    </row>
    <row r="377" spans="1:28" x14ac:dyDescent="0.2">
      <c r="A377">
        <v>1008</v>
      </c>
      <c r="B377" t="s">
        <v>1047</v>
      </c>
      <c r="C377" t="s">
        <v>18</v>
      </c>
      <c r="D377" t="s">
        <v>19</v>
      </c>
      <c r="E377" t="s">
        <v>20</v>
      </c>
      <c r="F377" t="s">
        <v>21</v>
      </c>
      <c r="G377" t="s">
        <v>25</v>
      </c>
      <c r="H377" s="1">
        <v>188606</v>
      </c>
      <c r="I377" s="3">
        <v>0</v>
      </c>
      <c r="J377" s="3">
        <v>1168044</v>
      </c>
      <c r="K377" s="3">
        <v>24487.01</v>
      </c>
      <c r="L377" s="2">
        <v>26.3</v>
      </c>
      <c r="M377" s="11">
        <v>59</v>
      </c>
      <c r="N377" s="3">
        <v>11</v>
      </c>
      <c r="O377" s="3">
        <v>638552</v>
      </c>
      <c r="P377" s="3">
        <v>885456</v>
      </c>
      <c r="Q377" s="10">
        <v>0</v>
      </c>
      <c r="R377" s="3">
        <f>(Таблица1[Размер кредита]-$AA$2)/$AA$3</f>
        <v>-0.68882165556280006</v>
      </c>
      <c r="S377" s="3">
        <f>(Таблица1[Кредитный рейтинг]-$AA$7)/($AA$8-$AA$7)</f>
        <v>0</v>
      </c>
      <c r="T377" s="3">
        <f>(Таблица1[Срок с последнего нарушения кредитного договора (мес,)]-$AA$12)/($AA$13-$AA$12)</f>
        <v>0.67045454545454541</v>
      </c>
      <c r="U377" s="3">
        <f>(Таблица1[Количество кредитных карт]-$AA$18)/($AA$19-$AA$18)</f>
        <v>0.23809523809523808</v>
      </c>
      <c r="V377" s="3">
        <f>(Таблица1[Число нарушений кредитных договоров]-$AA$23)/($AA$24-$AA$23)</f>
        <v>0</v>
      </c>
      <c r="W377" s="3">
        <f>Таблица1[[#This Row],[Годовой доход]]/12</f>
        <v>97337</v>
      </c>
      <c r="X377" s="3">
        <f>Таблица1[[#This Row],[Ежемесячный платеж]]/Таблица1[[#This Row],[Ежем доход]]</f>
        <v>0.2515693929338278</v>
      </c>
      <c r="Y377" s="3"/>
      <c r="Z377" s="3"/>
      <c r="AA377" s="3"/>
      <c r="AB377" s="3"/>
    </row>
    <row r="378" spans="1:28" x14ac:dyDescent="0.2">
      <c r="A378">
        <v>1108</v>
      </c>
      <c r="B378" t="s">
        <v>1147</v>
      </c>
      <c r="C378" t="s">
        <v>18</v>
      </c>
      <c r="D378" t="s">
        <v>29</v>
      </c>
      <c r="E378" t="s">
        <v>24</v>
      </c>
      <c r="F378" t="s">
        <v>33</v>
      </c>
      <c r="G378" t="s">
        <v>25</v>
      </c>
      <c r="H378" s="1">
        <v>390038</v>
      </c>
      <c r="I378" s="3">
        <v>708</v>
      </c>
      <c r="J378" s="3">
        <v>1039433</v>
      </c>
      <c r="K378" s="3">
        <v>27631.89</v>
      </c>
      <c r="L378" s="2">
        <v>14.4</v>
      </c>
      <c r="M378" s="11">
        <v>13</v>
      </c>
      <c r="N378" s="3">
        <v>16</v>
      </c>
      <c r="O378" s="3">
        <v>384389</v>
      </c>
      <c r="P378" s="3">
        <v>883080</v>
      </c>
      <c r="Q378" s="10">
        <v>0</v>
      </c>
      <c r="R378" s="3">
        <f>(Таблица1[Размер кредита]-$AA$2)/$AA$3</f>
        <v>0.45798730327367937</v>
      </c>
      <c r="S378" s="3">
        <f>(Таблица1[Кредитный рейтинг]-$AA$7)/($AA$8-$AA$7)</f>
        <v>0.94274300932090549</v>
      </c>
      <c r="T378" s="3">
        <f>(Таблица1[Срок с последнего нарушения кредитного договора (мес,)]-$AA$12)/($AA$13-$AA$12)</f>
        <v>0.14772727272727273</v>
      </c>
      <c r="U378" s="3">
        <f>(Таблица1[Количество кредитных карт]-$AA$18)/($AA$19-$AA$18)</f>
        <v>0.35714285714285715</v>
      </c>
      <c r="V378" s="3">
        <f>(Таблица1[Число нарушений кредитных договоров]-$AA$23)/($AA$24-$AA$23)</f>
        <v>0</v>
      </c>
      <c r="W378" s="3">
        <f>Таблица1[[#This Row],[Годовой доход]]/12</f>
        <v>86619.416666666672</v>
      </c>
      <c r="X378" s="3">
        <f>Таблица1[[#This Row],[Ежемесячный платеж]]/Таблица1[[#This Row],[Ежем доход]]</f>
        <v>0.31900341820973549</v>
      </c>
      <c r="Y378" s="3"/>
      <c r="Z378" s="3"/>
      <c r="AA378" s="3"/>
      <c r="AB378" s="3"/>
    </row>
    <row r="379" spans="1:28" x14ac:dyDescent="0.2">
      <c r="A379">
        <v>553</v>
      </c>
      <c r="B379" t="s">
        <v>594</v>
      </c>
      <c r="C379" t="s">
        <v>18</v>
      </c>
      <c r="D379" t="s">
        <v>29</v>
      </c>
      <c r="E379" t="s">
        <v>50</v>
      </c>
      <c r="F379" t="s">
        <v>33</v>
      </c>
      <c r="G379" t="s">
        <v>25</v>
      </c>
      <c r="H379" s="1">
        <v>757768</v>
      </c>
      <c r="I379" s="3">
        <v>739</v>
      </c>
      <c r="J379" s="3">
        <v>4674475</v>
      </c>
      <c r="K379" s="3">
        <v>71285.72</v>
      </c>
      <c r="L379" s="2">
        <v>16</v>
      </c>
      <c r="M379" s="11">
        <v>3</v>
      </c>
      <c r="N379" s="3">
        <v>12</v>
      </c>
      <c r="O379" s="3">
        <v>475133</v>
      </c>
      <c r="P379" s="3">
        <v>883058</v>
      </c>
      <c r="Q379" s="10">
        <v>0</v>
      </c>
      <c r="R379" s="3">
        <f>(Таблица1[Размер кредита]-$AA$2)/$AA$3</f>
        <v>2.5515774897035346</v>
      </c>
      <c r="S379" s="3">
        <f>(Таблица1[Кредитный рейтинг]-$AA$7)/($AA$8-$AA$7)</f>
        <v>0.98402130492676432</v>
      </c>
      <c r="T379" s="3">
        <f>(Таблица1[Срок с последнего нарушения кредитного договора (мес,)]-$AA$12)/($AA$13-$AA$12)</f>
        <v>3.4090909090909088E-2</v>
      </c>
      <c r="U379" s="3">
        <f>(Таблица1[Количество кредитных карт]-$AA$18)/($AA$19-$AA$18)</f>
        <v>0.26190476190476192</v>
      </c>
      <c r="V379" s="3">
        <f>(Таблица1[Число нарушений кредитных договоров]-$AA$23)/($AA$24-$AA$23)</f>
        <v>0</v>
      </c>
      <c r="W379" s="3">
        <f>Таблица1[[#This Row],[Годовой доход]]/12</f>
        <v>389539.58333333331</v>
      </c>
      <c r="X379" s="3">
        <f>Таблица1[[#This Row],[Ежемесячный платеж]]/Таблица1[[#This Row],[Ежем доход]]</f>
        <v>0.18299993903058634</v>
      </c>
      <c r="Y379" s="3"/>
      <c r="Z379" s="3"/>
      <c r="AA379" s="3"/>
      <c r="AB379" s="3"/>
    </row>
    <row r="380" spans="1:28" x14ac:dyDescent="0.2">
      <c r="A380">
        <v>303</v>
      </c>
      <c r="B380" t="s">
        <v>345</v>
      </c>
      <c r="C380" t="s">
        <v>18</v>
      </c>
      <c r="D380" t="s">
        <v>19</v>
      </c>
      <c r="E380" t="s">
        <v>24</v>
      </c>
      <c r="F380" t="s">
        <v>27</v>
      </c>
      <c r="G380" t="s">
        <v>25</v>
      </c>
      <c r="H380" s="1">
        <v>309594.52439999999</v>
      </c>
      <c r="I380" s="3">
        <v>737</v>
      </c>
      <c r="J380" s="3">
        <v>1054937</v>
      </c>
      <c r="K380" s="3">
        <v>15472.27</v>
      </c>
      <c r="L380" s="2">
        <v>22.8</v>
      </c>
      <c r="M380" s="11">
        <v>53</v>
      </c>
      <c r="N380" s="3">
        <v>11</v>
      </c>
      <c r="O380" s="3">
        <v>480434</v>
      </c>
      <c r="P380" s="3">
        <v>881606</v>
      </c>
      <c r="Q380" s="10">
        <v>0</v>
      </c>
      <c r="R380" s="3">
        <f>(Таблица1[Размер кредита]-$AA$2)/$AA$3</f>
        <v>-1.2411115481956205E-10</v>
      </c>
      <c r="S380" s="3">
        <f>(Таблица1[Кредитный рейтинг]-$AA$7)/($AA$8-$AA$7)</f>
        <v>0.98135818908122507</v>
      </c>
      <c r="T380" s="3">
        <f>(Таблица1[Срок с последнего нарушения кредитного договора (мес,)]-$AA$12)/($AA$13-$AA$12)</f>
        <v>0.60227272727272729</v>
      </c>
      <c r="U380" s="3">
        <f>(Таблица1[Количество кредитных карт]-$AA$18)/($AA$19-$AA$18)</f>
        <v>0.23809523809523808</v>
      </c>
      <c r="V380" s="3">
        <f>(Таблица1[Число нарушений кредитных договоров]-$AA$23)/($AA$24-$AA$23)</f>
        <v>0</v>
      </c>
      <c r="W380" s="3">
        <f>Таблица1[[#This Row],[Годовой доход]]/12</f>
        <v>87911.416666666672</v>
      </c>
      <c r="X380" s="3">
        <f>Таблица1[[#This Row],[Ежемесячный платеж]]/Таблица1[[#This Row],[Ежем доход]]</f>
        <v>0.17599841507123173</v>
      </c>
      <c r="Y380" s="3"/>
      <c r="Z380" s="3"/>
      <c r="AA380" s="3"/>
      <c r="AB380" s="3"/>
    </row>
    <row r="381" spans="1:28" x14ac:dyDescent="0.2">
      <c r="A381">
        <v>1838</v>
      </c>
      <c r="B381" t="s">
        <v>1875</v>
      </c>
      <c r="C381" t="s">
        <v>18</v>
      </c>
      <c r="D381" t="s">
        <v>19</v>
      </c>
      <c r="E381" t="s">
        <v>24</v>
      </c>
      <c r="F381" t="s">
        <v>21</v>
      </c>
      <c r="G381" t="s">
        <v>25</v>
      </c>
      <c r="H381" s="1">
        <v>466972</v>
      </c>
      <c r="I381" s="3">
        <v>722</v>
      </c>
      <c r="J381" s="3">
        <v>1442328</v>
      </c>
      <c r="K381" s="3">
        <v>21009.82</v>
      </c>
      <c r="L381" s="2">
        <v>38</v>
      </c>
      <c r="M381" s="11">
        <v>43</v>
      </c>
      <c r="N381" s="3">
        <v>12</v>
      </c>
      <c r="O381" s="3">
        <v>606290</v>
      </c>
      <c r="P381" s="3">
        <v>879736</v>
      </c>
      <c r="Q381" s="10">
        <v>0</v>
      </c>
      <c r="R381" s="3">
        <f>(Таблица1[Размер кредита]-$AA$2)/$AA$3</f>
        <v>0.8959941762587349</v>
      </c>
      <c r="S381" s="3">
        <f>(Таблица1[Кредитный рейтинг]-$AA$7)/($AA$8-$AA$7)</f>
        <v>0.96138482023968042</v>
      </c>
      <c r="T381" s="3">
        <f>(Таблица1[Срок с последнего нарушения кредитного договора (мес,)]-$AA$12)/($AA$13-$AA$12)</f>
        <v>0.48863636363636365</v>
      </c>
      <c r="U381" s="3">
        <f>(Таблица1[Количество кредитных карт]-$AA$18)/($AA$19-$AA$18)</f>
        <v>0.26190476190476192</v>
      </c>
      <c r="V381" s="3">
        <f>(Таблица1[Число нарушений кредитных договоров]-$AA$23)/($AA$24-$AA$23)</f>
        <v>0</v>
      </c>
      <c r="W381" s="3">
        <f>Таблица1[[#This Row],[Годовой доход]]/12</f>
        <v>120194</v>
      </c>
      <c r="X381" s="3">
        <f>Таблица1[[#This Row],[Ежемесячный платеж]]/Таблица1[[#This Row],[Ежем доход]]</f>
        <v>0.17479924122668353</v>
      </c>
      <c r="Y381" s="3"/>
      <c r="Z381" s="3"/>
      <c r="AA381" s="3"/>
      <c r="AB381" s="3"/>
    </row>
    <row r="382" spans="1:28" x14ac:dyDescent="0.2">
      <c r="A382">
        <v>639</v>
      </c>
      <c r="B382" t="s">
        <v>680</v>
      </c>
      <c r="C382" t="s">
        <v>18</v>
      </c>
      <c r="D382" t="s">
        <v>19</v>
      </c>
      <c r="E382" t="s">
        <v>50</v>
      </c>
      <c r="F382" t="s">
        <v>21</v>
      </c>
      <c r="G382" t="s">
        <v>25</v>
      </c>
      <c r="H382" s="1">
        <v>218394</v>
      </c>
      <c r="I382" s="3">
        <v>0</v>
      </c>
      <c r="J382" s="3">
        <v>1168044</v>
      </c>
      <c r="K382" s="3">
        <v>15784.44</v>
      </c>
      <c r="L382" s="2">
        <v>13.7</v>
      </c>
      <c r="M382" s="11">
        <v>24</v>
      </c>
      <c r="N382" s="3">
        <v>10</v>
      </c>
      <c r="O382" s="3">
        <v>172121</v>
      </c>
      <c r="P382" s="3">
        <v>878020</v>
      </c>
      <c r="Q382" s="10">
        <v>0</v>
      </c>
      <c r="R382" s="3">
        <f>(Таблица1[Размер кредита]-$AA$2)/$AA$3</f>
        <v>-0.51923020402669329</v>
      </c>
      <c r="S382" s="3">
        <f>(Таблица1[Кредитный рейтинг]-$AA$7)/($AA$8-$AA$7)</f>
        <v>0</v>
      </c>
      <c r="T382" s="3">
        <f>(Таблица1[Срок с последнего нарушения кредитного договора (мес,)]-$AA$12)/($AA$13-$AA$12)</f>
        <v>0.27272727272727271</v>
      </c>
      <c r="U382" s="3">
        <f>(Таблица1[Количество кредитных карт]-$AA$18)/($AA$19-$AA$18)</f>
        <v>0.21428571428571427</v>
      </c>
      <c r="V382" s="3">
        <f>(Таблица1[Число нарушений кредитных договоров]-$AA$23)/($AA$24-$AA$23)</f>
        <v>0</v>
      </c>
      <c r="W382" s="3">
        <f>Таблица1[[#This Row],[Годовой доход]]/12</f>
        <v>97337</v>
      </c>
      <c r="X382" s="3">
        <f>Таблица1[[#This Row],[Ежемесячный платеж]]/Таблица1[[#This Row],[Ежем доход]]</f>
        <v>0.16216279523716573</v>
      </c>
      <c r="Y382" s="3"/>
      <c r="Z382" s="3"/>
      <c r="AA382" s="3"/>
      <c r="AB382" s="3"/>
    </row>
    <row r="383" spans="1:28" x14ac:dyDescent="0.2">
      <c r="A383">
        <v>1104</v>
      </c>
      <c r="B383" t="s">
        <v>1143</v>
      </c>
      <c r="C383" t="s">
        <v>35</v>
      </c>
      <c r="D383" t="s">
        <v>29</v>
      </c>
      <c r="E383" t="s">
        <v>24</v>
      </c>
      <c r="F383" t="s">
        <v>33</v>
      </c>
      <c r="G383" t="s">
        <v>25</v>
      </c>
      <c r="H383" s="1">
        <v>525910</v>
      </c>
      <c r="I383" s="3">
        <v>0</v>
      </c>
      <c r="J383" s="3">
        <v>1168044</v>
      </c>
      <c r="K383" s="3">
        <v>26756.37</v>
      </c>
      <c r="L383" s="2">
        <v>20.6</v>
      </c>
      <c r="M383" s="11">
        <v>35.265240640000002</v>
      </c>
      <c r="N383" s="3">
        <v>11</v>
      </c>
      <c r="O383" s="3">
        <v>480567</v>
      </c>
      <c r="P383" s="3">
        <v>877690</v>
      </c>
      <c r="Q383" s="10">
        <v>0</v>
      </c>
      <c r="R383" s="3">
        <f>(Таблица1[Размер кредита]-$AA$2)/$AA$3</f>
        <v>1.2315447661148868</v>
      </c>
      <c r="S383" s="3">
        <f>(Таблица1[Кредитный рейтинг]-$AA$7)/($AA$8-$AA$7)</f>
        <v>0</v>
      </c>
      <c r="T383" s="3">
        <f>(Таблица1[Срок с последнего нарушения кредитного договора (мес,)]-$AA$12)/($AA$13-$AA$12)</f>
        <v>0.40074137090909095</v>
      </c>
      <c r="U383" s="3">
        <f>(Таблица1[Количество кредитных карт]-$AA$18)/($AA$19-$AA$18)</f>
        <v>0.23809523809523808</v>
      </c>
      <c r="V383" s="3">
        <f>(Таблица1[Число нарушений кредитных договоров]-$AA$23)/($AA$24-$AA$23)</f>
        <v>0</v>
      </c>
      <c r="W383" s="3">
        <f>Таблица1[[#This Row],[Годовой доход]]/12</f>
        <v>97337</v>
      </c>
      <c r="X383" s="3">
        <f>Таблица1[[#This Row],[Ежемесячный платеж]]/Таблица1[[#This Row],[Ежем доход]]</f>
        <v>0.27488385711497171</v>
      </c>
      <c r="Y383" s="3"/>
      <c r="Z383" s="3"/>
      <c r="AA383" s="3"/>
      <c r="AB383" s="3"/>
    </row>
    <row r="384" spans="1:28" x14ac:dyDescent="0.2">
      <c r="A384">
        <v>953</v>
      </c>
      <c r="B384" t="s">
        <v>994</v>
      </c>
      <c r="C384" t="s">
        <v>18</v>
      </c>
      <c r="D384" t="s">
        <v>19</v>
      </c>
      <c r="E384" t="s">
        <v>24</v>
      </c>
      <c r="F384" t="s">
        <v>21</v>
      </c>
      <c r="G384" t="s">
        <v>25</v>
      </c>
      <c r="H384" s="1">
        <v>333608</v>
      </c>
      <c r="I384" s="3">
        <v>0</v>
      </c>
      <c r="J384" s="3">
        <v>1168044</v>
      </c>
      <c r="K384" s="3">
        <v>9243.5</v>
      </c>
      <c r="L384" s="2">
        <v>14.6</v>
      </c>
      <c r="M384" s="11">
        <v>35.265240640000002</v>
      </c>
      <c r="N384" s="3">
        <v>9</v>
      </c>
      <c r="O384" s="3">
        <v>135394</v>
      </c>
      <c r="P384" s="3">
        <v>875798</v>
      </c>
      <c r="Q384" s="10">
        <v>0</v>
      </c>
      <c r="R384" s="3">
        <f>(Таблица1[Размер кредита]-$AA$2)/$AA$3</f>
        <v>0.1367154619220444</v>
      </c>
      <c r="S384" s="3">
        <f>(Таблица1[Кредитный рейтинг]-$AA$7)/($AA$8-$AA$7)</f>
        <v>0</v>
      </c>
      <c r="T384" s="3">
        <f>(Таблица1[Срок с последнего нарушения кредитного договора (мес,)]-$AA$12)/($AA$13-$AA$12)</f>
        <v>0.40074137090909095</v>
      </c>
      <c r="U384" s="3">
        <f>(Таблица1[Количество кредитных карт]-$AA$18)/($AA$19-$AA$18)</f>
        <v>0.19047619047619047</v>
      </c>
      <c r="V384" s="3">
        <f>(Таблица1[Число нарушений кредитных договоров]-$AA$23)/($AA$24-$AA$23)</f>
        <v>0</v>
      </c>
      <c r="W384" s="3">
        <f>Таблица1[[#This Row],[Годовой доход]]/12</f>
        <v>97337</v>
      </c>
      <c r="X384" s="3">
        <f>Таблица1[[#This Row],[Ежемесячный платеж]]/Таблица1[[#This Row],[Ежем доход]]</f>
        <v>9.4963888346671868E-2</v>
      </c>
      <c r="Y384" s="3"/>
      <c r="Z384" s="3"/>
      <c r="AA384" s="3"/>
      <c r="AB384" s="3"/>
    </row>
    <row r="385" spans="1:28" x14ac:dyDescent="0.2">
      <c r="A385">
        <v>997</v>
      </c>
      <c r="B385" t="s">
        <v>1037</v>
      </c>
      <c r="C385" t="s">
        <v>35</v>
      </c>
      <c r="D385" t="s">
        <v>29</v>
      </c>
      <c r="E385" t="s">
        <v>24</v>
      </c>
      <c r="F385" t="s">
        <v>33</v>
      </c>
      <c r="G385" t="s">
        <v>25</v>
      </c>
      <c r="H385" s="1">
        <v>218284</v>
      </c>
      <c r="I385" s="3">
        <v>721</v>
      </c>
      <c r="J385" s="3">
        <v>1319626</v>
      </c>
      <c r="K385" s="3">
        <v>13086.44</v>
      </c>
      <c r="L385" s="2">
        <v>14.6</v>
      </c>
      <c r="M385" s="11">
        <v>35.265240640000002</v>
      </c>
      <c r="N385" s="3">
        <v>4</v>
      </c>
      <c r="O385" s="3">
        <v>436012</v>
      </c>
      <c r="P385" s="3">
        <v>873444</v>
      </c>
      <c r="Q385" s="10">
        <v>0</v>
      </c>
      <c r="R385" s="3">
        <f>(Таблица1[Размер кредита]-$AA$2)/$AA$3</f>
        <v>-0.51985646492601423</v>
      </c>
      <c r="S385" s="3">
        <f>(Таблица1[Кредитный рейтинг]-$AA$7)/($AA$8-$AA$7)</f>
        <v>0.96005326231691079</v>
      </c>
      <c r="T385" s="3">
        <f>(Таблица1[Срок с последнего нарушения кредитного договора (мес,)]-$AA$12)/($AA$13-$AA$12)</f>
        <v>0.40074137090909095</v>
      </c>
      <c r="U385" s="3">
        <f>(Таблица1[Количество кредитных карт]-$AA$18)/($AA$19-$AA$18)</f>
        <v>7.1428571428571425E-2</v>
      </c>
      <c r="V385" s="3">
        <f>(Таблица1[Число нарушений кредитных договоров]-$AA$23)/($AA$24-$AA$23)</f>
        <v>0</v>
      </c>
      <c r="W385" s="3">
        <f>Таблица1[[#This Row],[Годовой доход]]/12</f>
        <v>109968.83333333333</v>
      </c>
      <c r="X385" s="3">
        <f>Таблица1[[#This Row],[Ежемесячный платеж]]/Таблица1[[#This Row],[Ежем доход]]</f>
        <v>0.11900135341377027</v>
      </c>
      <c r="Y385" s="3"/>
      <c r="Z385" s="3"/>
      <c r="AA385" s="3"/>
      <c r="AB385" s="3"/>
    </row>
    <row r="386" spans="1:28" x14ac:dyDescent="0.2">
      <c r="A386">
        <v>981</v>
      </c>
      <c r="B386" s="4" t="s">
        <v>1021</v>
      </c>
      <c r="C386" t="s">
        <v>18</v>
      </c>
      <c r="D386" t="s">
        <v>29</v>
      </c>
      <c r="E386" t="s">
        <v>24</v>
      </c>
      <c r="F386" t="s">
        <v>21</v>
      </c>
      <c r="G386" t="s">
        <v>25</v>
      </c>
      <c r="H386" s="1">
        <v>309594.52439999999</v>
      </c>
      <c r="I386" s="3">
        <v>718</v>
      </c>
      <c r="J386" s="3">
        <v>3186889</v>
      </c>
      <c r="K386" s="3">
        <v>30540.98</v>
      </c>
      <c r="L386" s="2">
        <v>26.9</v>
      </c>
      <c r="M386" s="11">
        <v>2</v>
      </c>
      <c r="N386" s="3">
        <v>14</v>
      </c>
      <c r="O386" s="3">
        <v>598139</v>
      </c>
      <c r="P386" s="3">
        <v>872256</v>
      </c>
      <c r="Q386" s="10">
        <v>0</v>
      </c>
      <c r="R386" s="3">
        <f>(Таблица1[Размер кредита]-$AA$2)/$AA$3</f>
        <v>-1.2411115481956205E-10</v>
      </c>
      <c r="S386" s="3">
        <f>(Таблица1[Кредитный рейтинг]-$AA$7)/($AA$8-$AA$7)</f>
        <v>0.95605858854860182</v>
      </c>
      <c r="T386" s="3">
        <f>(Таблица1[Срок с последнего нарушения кредитного договора (мес,)]-$AA$12)/($AA$13-$AA$12)</f>
        <v>2.2727272727272728E-2</v>
      </c>
      <c r="U386" s="3">
        <f>(Таблица1[Количество кредитных карт]-$AA$18)/($AA$19-$AA$18)</f>
        <v>0.30952380952380953</v>
      </c>
      <c r="V386" s="3">
        <f>(Таблица1[Число нарушений кредитных договоров]-$AA$23)/($AA$24-$AA$23)</f>
        <v>0</v>
      </c>
      <c r="W386" s="3">
        <f>Таблица1[[#This Row],[Годовой доход]]/12</f>
        <v>265574.08333333331</v>
      </c>
      <c r="X386" s="3">
        <f>Таблица1[[#This Row],[Ежемесячный платеж]]/Таблица1[[#This Row],[Ежем доход]]</f>
        <v>0.11499985095182168</v>
      </c>
      <c r="Y386" s="3"/>
      <c r="Z386" s="3"/>
      <c r="AA386" s="3"/>
      <c r="AB386" s="3"/>
    </row>
    <row r="387" spans="1:28" x14ac:dyDescent="0.2">
      <c r="A387">
        <v>1178</v>
      </c>
      <c r="B387" t="s">
        <v>1217</v>
      </c>
      <c r="C387" t="s">
        <v>18</v>
      </c>
      <c r="D387" t="s">
        <v>19</v>
      </c>
      <c r="E387" t="s">
        <v>20</v>
      </c>
      <c r="F387" t="s">
        <v>33</v>
      </c>
      <c r="G387" t="s">
        <v>25</v>
      </c>
      <c r="H387" s="1">
        <v>296274</v>
      </c>
      <c r="I387" s="3">
        <v>725</v>
      </c>
      <c r="J387" s="3">
        <v>583737</v>
      </c>
      <c r="K387" s="3">
        <v>13815.09</v>
      </c>
      <c r="L387" s="2">
        <v>23.2</v>
      </c>
      <c r="M387" s="11">
        <v>35.265240640000002</v>
      </c>
      <c r="N387" s="3">
        <v>16</v>
      </c>
      <c r="O387" s="3">
        <v>436943</v>
      </c>
      <c r="P387" s="3">
        <v>869308</v>
      </c>
      <c r="Q387" s="10">
        <v>0</v>
      </c>
      <c r="R387" s="3">
        <f>(Таблица1[Размер кредита]-$AA$2)/$AA$3</f>
        <v>-7.5837487307477816E-2</v>
      </c>
      <c r="S387" s="3">
        <f>(Таблица1[Кредитный рейтинг]-$AA$7)/($AA$8-$AA$7)</f>
        <v>0.96537949400798939</v>
      </c>
      <c r="T387" s="3">
        <f>(Таблица1[Срок с последнего нарушения кредитного договора (мес,)]-$AA$12)/($AA$13-$AA$12)</f>
        <v>0.40074137090909095</v>
      </c>
      <c r="U387" s="3">
        <f>(Таблица1[Количество кредитных карт]-$AA$18)/($AA$19-$AA$18)</f>
        <v>0.35714285714285715</v>
      </c>
      <c r="V387" s="3">
        <f>(Таблица1[Число нарушений кредитных договоров]-$AA$23)/($AA$24-$AA$23)</f>
        <v>0</v>
      </c>
      <c r="W387" s="3">
        <f>Таблица1[[#This Row],[Годовой доход]]/12</f>
        <v>48644.75</v>
      </c>
      <c r="X387" s="3">
        <f>Таблица1[[#This Row],[Ежемесячный платеж]]/Таблица1[[#This Row],[Ежем доход]]</f>
        <v>0.28399960941314323</v>
      </c>
      <c r="Y387" s="3"/>
      <c r="Z387" s="3"/>
      <c r="AA387" s="3"/>
      <c r="AB387" s="3"/>
    </row>
    <row r="388" spans="1:28" x14ac:dyDescent="0.2">
      <c r="A388">
        <v>697</v>
      </c>
      <c r="B388" t="s">
        <v>738</v>
      </c>
      <c r="C388" t="s">
        <v>18</v>
      </c>
      <c r="D388" t="s">
        <v>19</v>
      </c>
      <c r="E388" t="s">
        <v>24</v>
      </c>
      <c r="F388" t="s">
        <v>27</v>
      </c>
      <c r="G388" t="s">
        <v>25</v>
      </c>
      <c r="H388" s="1">
        <v>265694</v>
      </c>
      <c r="I388" s="3">
        <v>739</v>
      </c>
      <c r="J388" s="3">
        <v>655633</v>
      </c>
      <c r="K388" s="3">
        <v>12620.75</v>
      </c>
      <c r="L388" s="2">
        <v>32.9</v>
      </c>
      <c r="M388" s="11">
        <v>35.265240640000002</v>
      </c>
      <c r="N388" s="3">
        <v>13</v>
      </c>
      <c r="O388" s="3">
        <v>427652</v>
      </c>
      <c r="P388" s="3">
        <v>868736</v>
      </c>
      <c r="Q388" s="10">
        <v>0</v>
      </c>
      <c r="R388" s="3">
        <f>(Таблица1[Размер кредита]-$AA$2)/$AA$3</f>
        <v>-0.24993801731869519</v>
      </c>
      <c r="S388" s="3">
        <f>(Таблица1[Кредитный рейтинг]-$AA$7)/($AA$8-$AA$7)</f>
        <v>0.98402130492676432</v>
      </c>
      <c r="T388" s="3">
        <f>(Таблица1[Срок с последнего нарушения кредитного договора (мес,)]-$AA$12)/($AA$13-$AA$12)</f>
        <v>0.40074137090909095</v>
      </c>
      <c r="U388" s="3">
        <f>(Таблица1[Количество кредитных карт]-$AA$18)/($AA$19-$AA$18)</f>
        <v>0.2857142857142857</v>
      </c>
      <c r="V388" s="3">
        <f>(Таблица1[Число нарушений кредитных договоров]-$AA$23)/($AA$24-$AA$23)</f>
        <v>0</v>
      </c>
      <c r="W388" s="3">
        <f>Таблица1[[#This Row],[Годовой доход]]/12</f>
        <v>54636.083333333336</v>
      </c>
      <c r="X388" s="3">
        <f>Таблица1[[#This Row],[Ежемесячный платеж]]/Таблица1[[#This Row],[Ежем доход]]</f>
        <v>0.23099660938360331</v>
      </c>
      <c r="Y388" s="3"/>
      <c r="Z388" s="3"/>
      <c r="AA388" s="3"/>
      <c r="AB388" s="3"/>
    </row>
    <row r="389" spans="1:28" x14ac:dyDescent="0.2">
      <c r="A389">
        <v>769</v>
      </c>
      <c r="B389" t="s">
        <v>810</v>
      </c>
      <c r="C389" t="s">
        <v>18</v>
      </c>
      <c r="D389" t="s">
        <v>19</v>
      </c>
      <c r="E389" t="s">
        <v>24</v>
      </c>
      <c r="F389" t="s">
        <v>27</v>
      </c>
      <c r="G389" t="s">
        <v>25</v>
      </c>
      <c r="H389" s="1">
        <v>403480</v>
      </c>
      <c r="I389" s="3">
        <v>713</v>
      </c>
      <c r="J389" s="3">
        <v>2710274</v>
      </c>
      <c r="K389" s="3">
        <v>49236.6</v>
      </c>
      <c r="L389" s="2">
        <v>16.5</v>
      </c>
      <c r="M389" s="11">
        <v>35.265240640000002</v>
      </c>
      <c r="N389" s="3">
        <v>14</v>
      </c>
      <c r="O389" s="3">
        <v>673873</v>
      </c>
      <c r="P389" s="3">
        <v>865040</v>
      </c>
      <c r="Q389" s="10">
        <v>0</v>
      </c>
      <c r="R389" s="3">
        <f>(Таблица1[Размер кредита]-$AA$2)/$AA$3</f>
        <v>0.53451638517069644</v>
      </c>
      <c r="S389" s="3">
        <f>(Таблица1[Кредитный рейтинг]-$AA$7)/($AA$8-$AA$7)</f>
        <v>0.94940079893475371</v>
      </c>
      <c r="T389" s="3">
        <f>(Таблица1[Срок с последнего нарушения кредитного договора (мес,)]-$AA$12)/($AA$13-$AA$12)</f>
        <v>0.40074137090909095</v>
      </c>
      <c r="U389" s="3">
        <f>(Таблица1[Количество кредитных карт]-$AA$18)/($AA$19-$AA$18)</f>
        <v>0.30952380952380953</v>
      </c>
      <c r="V389" s="3">
        <f>(Таблица1[Число нарушений кредитных договоров]-$AA$23)/($AA$24-$AA$23)</f>
        <v>0</v>
      </c>
      <c r="W389" s="3">
        <f>Таблица1[[#This Row],[Годовой доход]]/12</f>
        <v>225856.16666666666</v>
      </c>
      <c r="X389" s="3">
        <f>Таблица1[[#This Row],[Ежемесячный платеж]]/Таблица1[[#This Row],[Ежем доход]]</f>
        <v>0.2179998037098832</v>
      </c>
      <c r="Y389" s="3"/>
      <c r="Z389" s="3"/>
      <c r="AA389" s="3"/>
      <c r="AB389" s="3"/>
    </row>
    <row r="390" spans="1:28" x14ac:dyDescent="0.2">
      <c r="A390">
        <v>1233</v>
      </c>
      <c r="B390" t="s">
        <v>1272</v>
      </c>
      <c r="C390" t="s">
        <v>18</v>
      </c>
      <c r="D390" t="s">
        <v>19</v>
      </c>
      <c r="E390" t="s">
        <v>24</v>
      </c>
      <c r="F390" t="s">
        <v>21</v>
      </c>
      <c r="G390" t="s">
        <v>22</v>
      </c>
      <c r="H390" s="1">
        <v>66550</v>
      </c>
      <c r="I390" s="3">
        <v>745</v>
      </c>
      <c r="J390" s="3">
        <v>1245374</v>
      </c>
      <c r="K390" s="3">
        <v>31756.98</v>
      </c>
      <c r="L390" s="2">
        <v>14.8</v>
      </c>
      <c r="M390" s="11">
        <v>35.265240640000002</v>
      </c>
      <c r="N390" s="3">
        <v>14</v>
      </c>
      <c r="O390" s="3">
        <v>265164</v>
      </c>
      <c r="P390" s="3">
        <v>864886</v>
      </c>
      <c r="Q390" s="10">
        <v>0</v>
      </c>
      <c r="R390" s="3">
        <f>(Таблица1[Размер кредита]-$AA$2)/$AA$3</f>
        <v>-1.3837207494492993</v>
      </c>
      <c r="S390" s="3">
        <f>(Таблица1[Кредитный рейтинг]-$AA$7)/($AA$8-$AA$7)</f>
        <v>0.99201065246338216</v>
      </c>
      <c r="T390" s="3">
        <f>(Таблица1[Срок с последнего нарушения кредитного договора (мес,)]-$AA$12)/($AA$13-$AA$12)</f>
        <v>0.40074137090909095</v>
      </c>
      <c r="U390" s="3">
        <f>(Таблица1[Количество кредитных карт]-$AA$18)/($AA$19-$AA$18)</f>
        <v>0.30952380952380953</v>
      </c>
      <c r="V390" s="3">
        <f>(Таблица1[Число нарушений кредитных договоров]-$AA$23)/($AA$24-$AA$23)</f>
        <v>0</v>
      </c>
      <c r="W390" s="3">
        <f>Таблица1[[#This Row],[Годовой доход]]/12</f>
        <v>103781.16666666667</v>
      </c>
      <c r="X390" s="3">
        <f>Таблица1[[#This Row],[Ежемесячный платеж]]/Таблица1[[#This Row],[Ежем доход]]</f>
        <v>0.30599945076739998</v>
      </c>
      <c r="Y390" s="3"/>
      <c r="Z390" s="3"/>
      <c r="AA390" s="3"/>
      <c r="AB390" s="3"/>
    </row>
    <row r="391" spans="1:28" x14ac:dyDescent="0.2">
      <c r="A391">
        <v>1239</v>
      </c>
      <c r="B391" t="s">
        <v>1278</v>
      </c>
      <c r="C391" t="s">
        <v>18</v>
      </c>
      <c r="D391" t="s">
        <v>29</v>
      </c>
      <c r="E391" t="s">
        <v>50</v>
      </c>
      <c r="F391" t="s">
        <v>21</v>
      </c>
      <c r="G391" t="s">
        <v>25</v>
      </c>
      <c r="H391" s="1">
        <v>624250</v>
      </c>
      <c r="I391" s="3">
        <v>702</v>
      </c>
      <c r="J391" s="3">
        <v>2672540</v>
      </c>
      <c r="K391" s="3">
        <v>23384.63</v>
      </c>
      <c r="L391" s="2">
        <v>29</v>
      </c>
      <c r="M391" s="11">
        <v>35.265240640000002</v>
      </c>
      <c r="N391" s="3">
        <v>15</v>
      </c>
      <c r="O391" s="3">
        <v>495216</v>
      </c>
      <c r="P391" s="3">
        <v>864864</v>
      </c>
      <c r="Q391" s="10">
        <v>0</v>
      </c>
      <c r="R391" s="3">
        <f>(Таблица1[Размер кредита]-$AA$2)/$AA$3</f>
        <v>1.7914220101077947</v>
      </c>
      <c r="S391" s="3">
        <f>(Таблица1[Кредитный рейтинг]-$AA$7)/($AA$8-$AA$7)</f>
        <v>0.93475366178428765</v>
      </c>
      <c r="T391" s="3">
        <f>(Таблица1[Срок с последнего нарушения кредитного договора (мес,)]-$AA$12)/($AA$13-$AA$12)</f>
        <v>0.40074137090909095</v>
      </c>
      <c r="U391" s="3">
        <f>(Таблица1[Количество кредитных карт]-$AA$18)/($AA$19-$AA$18)</f>
        <v>0.33333333333333331</v>
      </c>
      <c r="V391" s="3">
        <f>(Таблица1[Число нарушений кредитных договоров]-$AA$23)/($AA$24-$AA$23)</f>
        <v>0</v>
      </c>
      <c r="W391" s="3">
        <f>Таблица1[[#This Row],[Годовой доход]]/12</f>
        <v>222711.66666666666</v>
      </c>
      <c r="X391" s="3">
        <f>Таблица1[[#This Row],[Ежемесячный платеж]]/Таблица1[[#This Row],[Ежем доход]]</f>
        <v>0.10499957343949951</v>
      </c>
      <c r="Y391" s="3"/>
      <c r="Z391" s="3"/>
      <c r="AA391" s="3"/>
      <c r="AB391" s="3"/>
    </row>
    <row r="392" spans="1:28" x14ac:dyDescent="0.2">
      <c r="A392">
        <v>295</v>
      </c>
      <c r="B392" t="s">
        <v>337</v>
      </c>
      <c r="C392" t="s">
        <v>18</v>
      </c>
      <c r="D392" t="s">
        <v>19</v>
      </c>
      <c r="E392" t="s">
        <v>24</v>
      </c>
      <c r="F392" t="s">
        <v>21</v>
      </c>
      <c r="G392" t="s">
        <v>25</v>
      </c>
      <c r="H392" s="1">
        <v>205524</v>
      </c>
      <c r="I392" s="3">
        <v>676</v>
      </c>
      <c r="J392" s="3">
        <v>1167132</v>
      </c>
      <c r="K392" s="3">
        <v>18479.59</v>
      </c>
      <c r="L392" s="2">
        <v>22.5</v>
      </c>
      <c r="M392" s="11">
        <v>41</v>
      </c>
      <c r="N392" s="3">
        <v>19</v>
      </c>
      <c r="O392" s="3">
        <v>592249</v>
      </c>
      <c r="P392" s="3">
        <v>864754</v>
      </c>
      <c r="Q392" s="10">
        <v>0</v>
      </c>
      <c r="R392" s="3">
        <f>(Таблица1[Размер кредита]-$AA$2)/$AA$3</f>
        <v>-0.59250272924724157</v>
      </c>
      <c r="S392" s="3">
        <f>(Таблица1[Кредитный рейтинг]-$AA$7)/($AA$8-$AA$7)</f>
        <v>0.90013315579227693</v>
      </c>
      <c r="T392" s="3">
        <f>(Таблица1[Срок с последнего нарушения кредитного договора (мес,)]-$AA$12)/($AA$13-$AA$12)</f>
        <v>0.46590909090909088</v>
      </c>
      <c r="U392" s="3">
        <f>(Таблица1[Количество кредитных карт]-$AA$18)/($AA$19-$AA$18)</f>
        <v>0.42857142857142855</v>
      </c>
      <c r="V392" s="3">
        <f>(Таблица1[Число нарушений кредитных договоров]-$AA$23)/($AA$24-$AA$23)</f>
        <v>0</v>
      </c>
      <c r="W392" s="3">
        <f>Таблица1[[#This Row],[Годовой доход]]/12</f>
        <v>97261</v>
      </c>
      <c r="X392" s="3">
        <f>Таблица1[[#This Row],[Ежемесячный платеж]]/Таблица1[[#This Row],[Ежем доход]]</f>
        <v>0.19</v>
      </c>
      <c r="Y392" s="3"/>
      <c r="Z392" s="3"/>
      <c r="AA392" s="3"/>
      <c r="AB392" s="3"/>
    </row>
    <row r="393" spans="1:28" x14ac:dyDescent="0.2">
      <c r="A393">
        <v>8</v>
      </c>
      <c r="B393" t="s">
        <v>38</v>
      </c>
      <c r="C393" t="s">
        <v>35</v>
      </c>
      <c r="D393" t="s">
        <v>29</v>
      </c>
      <c r="E393" t="s">
        <v>37</v>
      </c>
      <c r="F393" t="s">
        <v>21</v>
      </c>
      <c r="G393" t="s">
        <v>39</v>
      </c>
      <c r="H393" s="1">
        <v>648714</v>
      </c>
      <c r="I393" s="3">
        <v>0</v>
      </c>
      <c r="J393" s="3">
        <v>1168044</v>
      </c>
      <c r="K393" s="3">
        <v>14806.13</v>
      </c>
      <c r="L393" s="2">
        <v>8.1999999999999993</v>
      </c>
      <c r="M393" s="11">
        <v>8</v>
      </c>
      <c r="N393" s="3">
        <v>15</v>
      </c>
      <c r="O393" s="3">
        <v>193306</v>
      </c>
      <c r="P393" s="3">
        <v>864204</v>
      </c>
      <c r="Q393" s="10">
        <v>0</v>
      </c>
      <c r="R393" s="3">
        <f>(Таблица1[Размер кредита]-$AA$2)/$AA$3</f>
        <v>1.9307024341167685</v>
      </c>
      <c r="S393" s="3">
        <f>(Таблица1[Кредитный рейтинг]-$AA$7)/($AA$8-$AA$7)</f>
        <v>0</v>
      </c>
      <c r="T393" s="3">
        <f>(Таблица1[Срок с последнего нарушения кредитного договора (мес,)]-$AA$12)/($AA$13-$AA$12)</f>
        <v>9.0909090909090912E-2</v>
      </c>
      <c r="U393" s="3">
        <f>(Таблица1[Количество кредитных карт]-$AA$18)/($AA$19-$AA$18)</f>
        <v>0.33333333333333331</v>
      </c>
      <c r="V393" s="3">
        <f>(Таблица1[Число нарушений кредитных договоров]-$AA$23)/($AA$24-$AA$23)</f>
        <v>0</v>
      </c>
      <c r="W393" s="3">
        <f>Таблица1[[#This Row],[Годовой доход]]/12</f>
        <v>97337</v>
      </c>
      <c r="X393" s="3">
        <f>Таблица1[[#This Row],[Ежемесячный платеж]]/Таблица1[[#This Row],[Ежем доход]]</f>
        <v>0.15211204372438022</v>
      </c>
      <c r="Y393" s="3"/>
      <c r="Z393" s="3"/>
      <c r="AA393" s="3"/>
      <c r="AB393" s="3"/>
    </row>
    <row r="394" spans="1:28" x14ac:dyDescent="0.2">
      <c r="A394">
        <v>502</v>
      </c>
      <c r="B394" t="s">
        <v>543</v>
      </c>
      <c r="C394" t="s">
        <v>35</v>
      </c>
      <c r="D394" t="s">
        <v>29</v>
      </c>
      <c r="E394" t="s">
        <v>24</v>
      </c>
      <c r="F394" t="s">
        <v>21</v>
      </c>
      <c r="G394" t="s">
        <v>25</v>
      </c>
      <c r="H394" s="1">
        <v>752004</v>
      </c>
      <c r="I394" s="3">
        <v>0</v>
      </c>
      <c r="J394" s="3">
        <v>1168044</v>
      </c>
      <c r="K394" s="3">
        <v>21714.15</v>
      </c>
      <c r="L394" s="2">
        <v>20.100000000000001</v>
      </c>
      <c r="M394" s="11">
        <v>3</v>
      </c>
      <c r="N394" s="3">
        <v>11</v>
      </c>
      <c r="O394" s="3">
        <v>572356</v>
      </c>
      <c r="P394" s="3">
        <v>864028</v>
      </c>
      <c r="Q394" s="10">
        <v>0</v>
      </c>
      <c r="R394" s="3">
        <f>(Таблица1[Размер кредита]-$AA$2)/$AA$3</f>
        <v>2.5187614185791181</v>
      </c>
      <c r="S394" s="3">
        <f>(Таблица1[Кредитный рейтинг]-$AA$7)/($AA$8-$AA$7)</f>
        <v>0</v>
      </c>
      <c r="T394" s="3">
        <f>(Таблица1[Срок с последнего нарушения кредитного договора (мес,)]-$AA$12)/($AA$13-$AA$12)</f>
        <v>3.4090909090909088E-2</v>
      </c>
      <c r="U394" s="3">
        <f>(Таблица1[Количество кредитных карт]-$AA$18)/($AA$19-$AA$18)</f>
        <v>0.23809523809523808</v>
      </c>
      <c r="V394" s="3">
        <f>(Таблица1[Число нарушений кредитных договоров]-$AA$23)/($AA$24-$AA$23)</f>
        <v>0</v>
      </c>
      <c r="W394" s="3">
        <f>Таблица1[[#This Row],[Годовой доход]]/12</f>
        <v>97337</v>
      </c>
      <c r="X394" s="3">
        <f>Таблица1[[#This Row],[Ежемесячный платеж]]/Таблица1[[#This Row],[Ежем доход]]</f>
        <v>0.22308217841108727</v>
      </c>
      <c r="Y394" s="3"/>
      <c r="Z394" s="3"/>
      <c r="AA394" s="3"/>
      <c r="AB394" s="3"/>
    </row>
    <row r="395" spans="1:28" x14ac:dyDescent="0.2">
      <c r="A395">
        <v>314</v>
      </c>
      <c r="B395" t="s">
        <v>356</v>
      </c>
      <c r="C395" t="s">
        <v>18</v>
      </c>
      <c r="D395" t="s">
        <v>19</v>
      </c>
      <c r="E395" t="s">
        <v>24</v>
      </c>
      <c r="F395" t="s">
        <v>21</v>
      </c>
      <c r="G395" t="s">
        <v>25</v>
      </c>
      <c r="H395" s="1">
        <v>334686</v>
      </c>
      <c r="I395" s="3">
        <v>742</v>
      </c>
      <c r="J395" s="3">
        <v>963490</v>
      </c>
      <c r="K395" s="3">
        <v>12284.45</v>
      </c>
      <c r="L395" s="2">
        <v>20.5</v>
      </c>
      <c r="M395" s="11">
        <v>58</v>
      </c>
      <c r="N395" s="3">
        <v>15</v>
      </c>
      <c r="O395" s="3">
        <v>406220</v>
      </c>
      <c r="P395" s="3">
        <v>863060</v>
      </c>
      <c r="Q395" s="10">
        <v>0</v>
      </c>
      <c r="R395" s="3">
        <f>(Таблица1[Размер кредита]-$AA$2)/$AA$3</f>
        <v>0.14285281873538949</v>
      </c>
      <c r="S395" s="3">
        <f>(Таблица1[Кредитный рейтинг]-$AA$7)/($AA$8-$AA$7)</f>
        <v>0.98801597869507318</v>
      </c>
      <c r="T395" s="3">
        <f>(Таблица1[Срок с последнего нарушения кредитного договора (мес,)]-$AA$12)/($AA$13-$AA$12)</f>
        <v>0.65909090909090906</v>
      </c>
      <c r="U395" s="3">
        <f>(Таблица1[Количество кредитных карт]-$AA$18)/($AA$19-$AA$18)</f>
        <v>0.33333333333333331</v>
      </c>
      <c r="V395" s="3">
        <f>(Таблица1[Число нарушений кредитных договоров]-$AA$23)/($AA$24-$AA$23)</f>
        <v>0</v>
      </c>
      <c r="W395" s="3">
        <f>Таблица1[[#This Row],[Годовой доход]]/12</f>
        <v>80290.833333333328</v>
      </c>
      <c r="X395" s="3">
        <f>Таблица1[[#This Row],[Ежемесячный платеж]]/Таблица1[[#This Row],[Ежем доход]]</f>
        <v>0.15299940840070994</v>
      </c>
      <c r="Y395" s="3"/>
      <c r="Z395" s="3"/>
      <c r="AA395" s="3"/>
      <c r="AB395" s="3"/>
    </row>
    <row r="396" spans="1:28" x14ac:dyDescent="0.2">
      <c r="A396">
        <v>1183</v>
      </c>
      <c r="B396" t="s">
        <v>1222</v>
      </c>
      <c r="C396" t="s">
        <v>18</v>
      </c>
      <c r="D396" t="s">
        <v>29</v>
      </c>
      <c r="E396" t="s">
        <v>50</v>
      </c>
      <c r="F396" t="s">
        <v>21</v>
      </c>
      <c r="G396" t="s">
        <v>25</v>
      </c>
      <c r="H396" s="1">
        <v>725406</v>
      </c>
      <c r="I396" s="3">
        <v>724</v>
      </c>
      <c r="J396" s="3">
        <v>2432000</v>
      </c>
      <c r="K396" s="3">
        <v>36480</v>
      </c>
      <c r="L396" s="2">
        <v>14.4</v>
      </c>
      <c r="M396" s="11">
        <v>35.265240640000002</v>
      </c>
      <c r="N396" s="3">
        <v>9</v>
      </c>
      <c r="O396" s="3">
        <v>411331</v>
      </c>
      <c r="P396" s="3">
        <v>862840</v>
      </c>
      <c r="Q396" s="10">
        <v>0</v>
      </c>
      <c r="R396" s="3">
        <f>(Таблица1[Размер кредита]-$AA$2)/$AA$3</f>
        <v>2.367331533123318</v>
      </c>
      <c r="S396" s="3">
        <f>(Таблица1[Кредитный рейтинг]-$AA$7)/($AA$8-$AA$7)</f>
        <v>0.96404793608521966</v>
      </c>
      <c r="T396" s="3">
        <f>(Таблица1[Срок с последнего нарушения кредитного договора (мес,)]-$AA$12)/($AA$13-$AA$12)</f>
        <v>0.40074137090909095</v>
      </c>
      <c r="U396" s="3">
        <f>(Таблица1[Количество кредитных карт]-$AA$18)/($AA$19-$AA$18)</f>
        <v>0.19047619047619047</v>
      </c>
      <c r="V396" s="3">
        <f>(Таблица1[Число нарушений кредитных договоров]-$AA$23)/($AA$24-$AA$23)</f>
        <v>0</v>
      </c>
      <c r="W396" s="3">
        <f>Таблица1[[#This Row],[Годовой доход]]/12</f>
        <v>202666.66666666666</v>
      </c>
      <c r="X396" s="3">
        <f>Таблица1[[#This Row],[Ежемесячный платеж]]/Таблица1[[#This Row],[Ежем доход]]</f>
        <v>0.18000000000000002</v>
      </c>
      <c r="Y396" s="3"/>
      <c r="Z396" s="3"/>
      <c r="AA396" s="3"/>
      <c r="AB396" s="3"/>
    </row>
    <row r="397" spans="1:28" x14ac:dyDescent="0.2">
      <c r="A397">
        <v>791</v>
      </c>
      <c r="B397" t="s">
        <v>832</v>
      </c>
      <c r="C397" t="s">
        <v>18</v>
      </c>
      <c r="D397" t="s">
        <v>19</v>
      </c>
      <c r="E397" t="s">
        <v>47</v>
      </c>
      <c r="F397" t="s">
        <v>21</v>
      </c>
      <c r="G397" t="s">
        <v>25</v>
      </c>
      <c r="H397" s="1">
        <v>560516</v>
      </c>
      <c r="I397" s="3">
        <v>652</v>
      </c>
      <c r="J397" s="3">
        <v>1374897</v>
      </c>
      <c r="K397" s="3">
        <v>25160.75</v>
      </c>
      <c r="L397" s="2">
        <v>22.2</v>
      </c>
      <c r="M397" s="11">
        <v>35.265240640000002</v>
      </c>
      <c r="N397" s="3">
        <v>15</v>
      </c>
      <c r="O397" s="3">
        <v>354483</v>
      </c>
      <c r="P397" s="3">
        <v>862290</v>
      </c>
      <c r="Q397" s="10">
        <v>0</v>
      </c>
      <c r="R397" s="3">
        <f>(Таблица1[Размер кредита]-$AA$2)/$AA$3</f>
        <v>1.4285664450412503</v>
      </c>
      <c r="S397" s="3">
        <f>(Таблица1[Кредитный рейтинг]-$AA$7)/($AA$8-$AA$7)</f>
        <v>0.86817576564580556</v>
      </c>
      <c r="T397" s="3">
        <f>(Таблица1[Срок с последнего нарушения кредитного договора (мес,)]-$AA$12)/($AA$13-$AA$12)</f>
        <v>0.40074137090909095</v>
      </c>
      <c r="U397" s="3">
        <f>(Таблица1[Количество кредитных карт]-$AA$18)/($AA$19-$AA$18)</f>
        <v>0.33333333333333331</v>
      </c>
      <c r="V397" s="3">
        <f>(Таблица1[Число нарушений кредитных договоров]-$AA$23)/($AA$24-$AA$23)</f>
        <v>0</v>
      </c>
      <c r="W397" s="3">
        <f>Таблица1[[#This Row],[Годовой доход]]/12</f>
        <v>114574.75</v>
      </c>
      <c r="X397" s="3">
        <f>Таблица1[[#This Row],[Ежемесячный платеж]]/Таблица1[[#This Row],[Ежем доход]]</f>
        <v>0.21960117739728868</v>
      </c>
      <c r="Y397" s="3"/>
      <c r="Z397" s="3"/>
      <c r="AA397" s="3"/>
      <c r="AB397" s="3"/>
    </row>
    <row r="398" spans="1:28" x14ac:dyDescent="0.2">
      <c r="A398">
        <v>1594</v>
      </c>
      <c r="B398" t="s">
        <v>1633</v>
      </c>
      <c r="C398" t="s">
        <v>35</v>
      </c>
      <c r="D398" t="s">
        <v>19</v>
      </c>
      <c r="E398" t="s">
        <v>24</v>
      </c>
      <c r="F398" t="s">
        <v>21</v>
      </c>
      <c r="G398" t="s">
        <v>22</v>
      </c>
      <c r="H398" s="1">
        <v>131538</v>
      </c>
      <c r="I398" s="3">
        <v>737</v>
      </c>
      <c r="J398" s="3">
        <v>1098143</v>
      </c>
      <c r="K398" s="3">
        <v>26538.44</v>
      </c>
      <c r="L398" s="2">
        <v>21.8</v>
      </c>
      <c r="M398" s="11">
        <v>35.265240640000002</v>
      </c>
      <c r="N398" s="3">
        <v>8</v>
      </c>
      <c r="O398" s="3">
        <v>690042</v>
      </c>
      <c r="P398" s="3">
        <v>861916</v>
      </c>
      <c r="Q398" s="10">
        <v>0</v>
      </c>
      <c r="R398" s="3">
        <f>(Таблица1[Размер кредита]-$AA$2)/$AA$3</f>
        <v>-1.0137258101304962</v>
      </c>
      <c r="S398" s="3">
        <f>(Таблица1[Кредитный рейтинг]-$AA$7)/($AA$8-$AA$7)</f>
        <v>0.98135818908122507</v>
      </c>
      <c r="T398" s="3">
        <f>(Таблица1[Срок с последнего нарушения кредитного договора (мес,)]-$AA$12)/($AA$13-$AA$12)</f>
        <v>0.40074137090909095</v>
      </c>
      <c r="U398" s="3">
        <f>(Таблица1[Количество кредитных карт]-$AA$18)/($AA$19-$AA$18)</f>
        <v>0.16666666666666666</v>
      </c>
      <c r="V398" s="3">
        <f>(Таблица1[Число нарушений кредитных договоров]-$AA$23)/($AA$24-$AA$23)</f>
        <v>0</v>
      </c>
      <c r="W398" s="3">
        <f>Таблица1[[#This Row],[Годовой доход]]/12</f>
        <v>91511.916666666672</v>
      </c>
      <c r="X398" s="3">
        <f>Таблица1[[#This Row],[Ежемесячный платеж]]/Таблица1[[#This Row],[Ежем доход]]</f>
        <v>0.28999982698063909</v>
      </c>
      <c r="Y398" s="3"/>
      <c r="Z398" s="3"/>
      <c r="AA398" s="3"/>
      <c r="AB398" s="3"/>
    </row>
    <row r="399" spans="1:28" x14ac:dyDescent="0.2">
      <c r="A399">
        <v>1768</v>
      </c>
      <c r="B399" t="s">
        <v>1806</v>
      </c>
      <c r="C399" t="s">
        <v>18</v>
      </c>
      <c r="D399" t="s">
        <v>29</v>
      </c>
      <c r="E399" t="s">
        <v>41</v>
      </c>
      <c r="F399" t="s">
        <v>33</v>
      </c>
      <c r="G399" t="s">
        <v>25</v>
      </c>
      <c r="H399" s="1">
        <v>729344</v>
      </c>
      <c r="I399" s="3">
        <v>685</v>
      </c>
      <c r="J399" s="3">
        <v>4673088</v>
      </c>
      <c r="K399" s="3">
        <v>56076.98</v>
      </c>
      <c r="L399" s="2">
        <v>8.1</v>
      </c>
      <c r="M399" s="11">
        <v>35.265240640000002</v>
      </c>
      <c r="N399" s="3">
        <v>9</v>
      </c>
      <c r="O399" s="3">
        <v>620787</v>
      </c>
      <c r="P399" s="3">
        <v>858792</v>
      </c>
      <c r="Q399" s="10">
        <v>0</v>
      </c>
      <c r="R399" s="3">
        <f>(Таблица1[Размер кредита]-$AA$2)/$AA$3</f>
        <v>2.3897516733190072</v>
      </c>
      <c r="S399" s="3">
        <f>(Таблица1[Кредитный рейтинг]-$AA$7)/($AA$8-$AA$7)</f>
        <v>0.91211717709720375</v>
      </c>
      <c r="T399" s="3">
        <f>(Таблица1[Срок с последнего нарушения кредитного договора (мес,)]-$AA$12)/($AA$13-$AA$12)</f>
        <v>0.40074137090909095</v>
      </c>
      <c r="U399" s="3">
        <f>(Таблица1[Количество кредитных карт]-$AA$18)/($AA$19-$AA$18)</f>
        <v>0.19047619047619047</v>
      </c>
      <c r="V399" s="3">
        <f>(Таблица1[Число нарушений кредитных договоров]-$AA$23)/($AA$24-$AA$23)</f>
        <v>0</v>
      </c>
      <c r="W399" s="3">
        <f>Таблица1[[#This Row],[Годовой доход]]/12</f>
        <v>389424</v>
      </c>
      <c r="X399" s="3">
        <f>Таблица1[[#This Row],[Ежемесячный платеж]]/Таблица1[[#This Row],[Ежем доход]]</f>
        <v>0.14399980483996877</v>
      </c>
      <c r="Y399" s="3"/>
      <c r="Z399" s="3"/>
      <c r="AA399" s="3"/>
      <c r="AB399" s="3"/>
    </row>
    <row r="400" spans="1:28" x14ac:dyDescent="0.2">
      <c r="A400">
        <v>497</v>
      </c>
      <c r="B400" t="s">
        <v>538</v>
      </c>
      <c r="C400" t="s">
        <v>35</v>
      </c>
      <c r="D400" t="s">
        <v>19</v>
      </c>
      <c r="E400" t="s">
        <v>63</v>
      </c>
      <c r="F400" t="s">
        <v>21</v>
      </c>
      <c r="G400" t="s">
        <v>22</v>
      </c>
      <c r="H400" s="1">
        <v>129756</v>
      </c>
      <c r="I400" s="3">
        <v>745</v>
      </c>
      <c r="J400" s="3">
        <v>1270036</v>
      </c>
      <c r="K400" s="3">
        <v>25675.84</v>
      </c>
      <c r="L400" s="2">
        <v>26.5</v>
      </c>
      <c r="M400" s="11">
        <v>35.265240640000002</v>
      </c>
      <c r="N400" s="3">
        <v>9</v>
      </c>
      <c r="O400" s="3">
        <v>684893</v>
      </c>
      <c r="P400" s="3">
        <v>858242</v>
      </c>
      <c r="Q400" s="10">
        <v>0</v>
      </c>
      <c r="R400" s="3">
        <f>(Таблица1[Размер кредита]-$AA$2)/$AA$3</f>
        <v>-1.0238712366994953</v>
      </c>
      <c r="S400" s="3">
        <f>(Таблица1[Кредитный рейтинг]-$AA$7)/($AA$8-$AA$7)</f>
        <v>0.99201065246338216</v>
      </c>
      <c r="T400" s="3">
        <f>(Таблица1[Срок с последнего нарушения кредитного договора (мес,)]-$AA$12)/($AA$13-$AA$12)</f>
        <v>0.40074137090909095</v>
      </c>
      <c r="U400" s="3">
        <f>(Таблица1[Количество кредитных карт]-$AA$18)/($AA$19-$AA$18)</f>
        <v>0.19047619047619047</v>
      </c>
      <c r="V400" s="3">
        <f>(Таблица1[Число нарушений кредитных договоров]-$AA$23)/($AA$24-$AA$23)</f>
        <v>0</v>
      </c>
      <c r="W400" s="3">
        <f>Таблица1[[#This Row],[Годовой доход]]/12</f>
        <v>105836.33333333333</v>
      </c>
      <c r="X400" s="3">
        <f>Таблица1[[#This Row],[Ежемесячный платеж]]/Таблица1[[#This Row],[Ежем доход]]</f>
        <v>0.24259948536891868</v>
      </c>
      <c r="Y400" s="3"/>
      <c r="Z400" s="3"/>
      <c r="AA400" s="3"/>
      <c r="AB400" s="3"/>
    </row>
    <row r="401" spans="1:28" x14ac:dyDescent="0.2">
      <c r="A401">
        <v>1375</v>
      </c>
      <c r="B401" t="s">
        <v>1414</v>
      </c>
      <c r="C401" t="s">
        <v>18</v>
      </c>
      <c r="D401" t="s">
        <v>19</v>
      </c>
      <c r="E401" t="s">
        <v>41</v>
      </c>
      <c r="F401" t="s">
        <v>33</v>
      </c>
      <c r="G401" t="s">
        <v>25</v>
      </c>
      <c r="H401" s="1">
        <v>455532</v>
      </c>
      <c r="I401" s="3">
        <v>716</v>
      </c>
      <c r="J401" s="3">
        <v>1121285</v>
      </c>
      <c r="K401" s="3">
        <v>6419.34</v>
      </c>
      <c r="L401" s="2">
        <v>14.5</v>
      </c>
      <c r="M401" s="11">
        <v>35.265240640000002</v>
      </c>
      <c r="N401" s="3">
        <v>16</v>
      </c>
      <c r="O401" s="3">
        <v>361779</v>
      </c>
      <c r="P401" s="3">
        <v>856680</v>
      </c>
      <c r="Q401" s="10">
        <v>0</v>
      </c>
      <c r="R401" s="3">
        <f>(Таблица1[Размер кредита]-$AA$2)/$AA$3</f>
        <v>0.83086304272935863</v>
      </c>
      <c r="S401" s="3">
        <f>(Таблица1[Кредитный рейтинг]-$AA$7)/($AA$8-$AA$7)</f>
        <v>0.95339547270306257</v>
      </c>
      <c r="T401" s="3">
        <f>(Таблица1[Срок с последнего нарушения кредитного договора (мес,)]-$AA$12)/($AA$13-$AA$12)</f>
        <v>0.40074137090909095</v>
      </c>
      <c r="U401" s="3">
        <f>(Таблица1[Количество кредитных карт]-$AA$18)/($AA$19-$AA$18)</f>
        <v>0.35714285714285715</v>
      </c>
      <c r="V401" s="3">
        <f>(Таблица1[Число нарушений кредитных договоров]-$AA$23)/($AA$24-$AA$23)</f>
        <v>0</v>
      </c>
      <c r="W401" s="3">
        <f>Таблица1[[#This Row],[Годовой доход]]/12</f>
        <v>93440.416666666672</v>
      </c>
      <c r="X401" s="3">
        <f>Таблица1[[#This Row],[Ежемесячный платеж]]/Таблица1[[#This Row],[Ежем доход]]</f>
        <v>6.8699822079132417E-2</v>
      </c>
      <c r="Y401" s="3"/>
      <c r="Z401" s="3"/>
      <c r="AA401" s="3"/>
      <c r="AB401" s="3"/>
    </row>
    <row r="402" spans="1:28" x14ac:dyDescent="0.2">
      <c r="A402">
        <v>1811</v>
      </c>
      <c r="B402" t="s">
        <v>1849</v>
      </c>
      <c r="C402" t="s">
        <v>18</v>
      </c>
      <c r="D402" t="s">
        <v>19</v>
      </c>
      <c r="E402" t="s">
        <v>37</v>
      </c>
      <c r="F402" t="s">
        <v>33</v>
      </c>
      <c r="G402" t="s">
        <v>67</v>
      </c>
      <c r="H402" s="1">
        <v>259116</v>
      </c>
      <c r="I402" s="3">
        <v>735</v>
      </c>
      <c r="J402" s="3">
        <v>2237820</v>
      </c>
      <c r="K402" s="3">
        <v>19953.990000000002</v>
      </c>
      <c r="L402" s="2">
        <v>21.6</v>
      </c>
      <c r="M402" s="11">
        <v>14</v>
      </c>
      <c r="N402" s="3">
        <v>9</v>
      </c>
      <c r="O402" s="3">
        <v>485241</v>
      </c>
      <c r="P402" s="3">
        <v>855162</v>
      </c>
      <c r="Q402" s="10">
        <v>0</v>
      </c>
      <c r="R402" s="3">
        <f>(Таблица1[Размер кредита]-$AA$2)/$AA$3</f>
        <v>-0.28738841909808654</v>
      </c>
      <c r="S402" s="3">
        <f>(Таблица1[Кредитный рейтинг]-$AA$7)/($AA$8-$AA$7)</f>
        <v>0.97869507323568572</v>
      </c>
      <c r="T402" s="3">
        <f>(Таблица1[Срок с последнего нарушения кредитного договора (мес,)]-$AA$12)/($AA$13-$AA$12)</f>
        <v>0.15909090909090909</v>
      </c>
      <c r="U402" s="3">
        <f>(Таблица1[Количество кредитных карт]-$AA$18)/($AA$19-$AA$18)</f>
        <v>0.19047619047619047</v>
      </c>
      <c r="V402" s="3">
        <f>(Таблица1[Число нарушений кредитных договоров]-$AA$23)/($AA$24-$AA$23)</f>
        <v>0</v>
      </c>
      <c r="W402" s="3">
        <f>Таблица1[[#This Row],[Годовой доход]]/12</f>
        <v>186485</v>
      </c>
      <c r="X402" s="3">
        <f>Таблица1[[#This Row],[Ежемесячный платеж]]/Таблица1[[#This Row],[Ежем доход]]</f>
        <v>0.10700050942435049</v>
      </c>
      <c r="Y402" s="3"/>
      <c r="Z402" s="3"/>
      <c r="AA402" s="3"/>
      <c r="AB402" s="3"/>
    </row>
    <row r="403" spans="1:28" x14ac:dyDescent="0.2">
      <c r="A403">
        <v>415</v>
      </c>
      <c r="B403" t="s">
        <v>457</v>
      </c>
      <c r="C403" t="s">
        <v>18</v>
      </c>
      <c r="D403" t="s">
        <v>19</v>
      </c>
      <c r="E403" t="s">
        <v>24</v>
      </c>
      <c r="F403" t="s">
        <v>21</v>
      </c>
      <c r="G403" t="s">
        <v>25</v>
      </c>
      <c r="H403" s="1">
        <v>266882</v>
      </c>
      <c r="I403" s="3">
        <v>0</v>
      </c>
      <c r="J403" s="3">
        <v>1168044</v>
      </c>
      <c r="K403" s="3">
        <v>20287.439999999999</v>
      </c>
      <c r="L403" s="2">
        <v>23.4</v>
      </c>
      <c r="M403" s="11">
        <v>49</v>
      </c>
      <c r="N403" s="3">
        <v>12</v>
      </c>
      <c r="O403" s="3">
        <v>255018</v>
      </c>
      <c r="P403" s="3">
        <v>853402</v>
      </c>
      <c r="Q403" s="10">
        <v>0</v>
      </c>
      <c r="R403" s="3">
        <f>(Таблица1[Размер кредита]-$AA$2)/$AA$3</f>
        <v>-0.24317439960602918</v>
      </c>
      <c r="S403" s="3">
        <f>(Таблица1[Кредитный рейтинг]-$AA$7)/($AA$8-$AA$7)</f>
        <v>0</v>
      </c>
      <c r="T403" s="3">
        <f>(Таблица1[Срок с последнего нарушения кредитного договора (мес,)]-$AA$12)/($AA$13-$AA$12)</f>
        <v>0.55681818181818177</v>
      </c>
      <c r="U403" s="3">
        <f>(Таблица1[Количество кредитных карт]-$AA$18)/($AA$19-$AA$18)</f>
        <v>0.26190476190476192</v>
      </c>
      <c r="V403" s="3">
        <f>(Таблица1[Число нарушений кредитных договоров]-$AA$23)/($AA$24-$AA$23)</f>
        <v>0</v>
      </c>
      <c r="W403" s="3">
        <f>Таблица1[[#This Row],[Годовой доход]]/12</f>
        <v>97337</v>
      </c>
      <c r="X403" s="3">
        <f>Таблица1[[#This Row],[Ежемесячный платеж]]/Таблица1[[#This Row],[Ежем доход]]</f>
        <v>0.2084247511223892</v>
      </c>
      <c r="Y403" s="3"/>
      <c r="Z403" s="3"/>
      <c r="AA403" s="3"/>
      <c r="AB403" s="3"/>
    </row>
    <row r="404" spans="1:28" x14ac:dyDescent="0.2">
      <c r="A404">
        <v>1783</v>
      </c>
      <c r="B404" t="s">
        <v>1821</v>
      </c>
      <c r="C404" t="s">
        <v>18</v>
      </c>
      <c r="D404" t="s">
        <v>19</v>
      </c>
      <c r="E404" t="s">
        <v>32</v>
      </c>
      <c r="F404" t="s">
        <v>21</v>
      </c>
      <c r="G404" t="s">
        <v>25</v>
      </c>
      <c r="H404" s="1">
        <v>224994</v>
      </c>
      <c r="I404" s="3">
        <v>735</v>
      </c>
      <c r="J404" s="3">
        <v>1282462</v>
      </c>
      <c r="K404" s="3">
        <v>17740.87</v>
      </c>
      <c r="L404" s="2">
        <v>14.7</v>
      </c>
      <c r="M404" s="11">
        <v>14</v>
      </c>
      <c r="N404" s="3">
        <v>17</v>
      </c>
      <c r="O404" s="3">
        <v>274189</v>
      </c>
      <c r="P404" s="3">
        <v>851180</v>
      </c>
      <c r="Q404" s="10">
        <v>0</v>
      </c>
      <c r="R404" s="3">
        <f>(Таблица1[Размер кредита]-$AA$2)/$AA$3</f>
        <v>-0.48165455006743774</v>
      </c>
      <c r="S404" s="3">
        <f>(Таблица1[Кредитный рейтинг]-$AA$7)/($AA$8-$AA$7)</f>
        <v>0.97869507323568572</v>
      </c>
      <c r="T404" s="3">
        <f>(Таблица1[Срок с последнего нарушения кредитного договора (мес,)]-$AA$12)/($AA$13-$AA$12)</f>
        <v>0.15909090909090909</v>
      </c>
      <c r="U404" s="3">
        <f>(Таблица1[Количество кредитных карт]-$AA$18)/($AA$19-$AA$18)</f>
        <v>0.38095238095238093</v>
      </c>
      <c r="V404" s="3">
        <f>(Таблица1[Число нарушений кредитных договоров]-$AA$23)/($AA$24-$AA$23)</f>
        <v>0</v>
      </c>
      <c r="W404" s="3">
        <f>Таблица1[[#This Row],[Годовой доход]]/12</f>
        <v>106871.83333333333</v>
      </c>
      <c r="X404" s="3">
        <f>Таблица1[[#This Row],[Ежемесячный платеж]]/Таблица1[[#This Row],[Ежем доход]]</f>
        <v>0.16600136300334825</v>
      </c>
      <c r="Y404" s="3"/>
      <c r="Z404" s="3"/>
      <c r="AA404" s="3"/>
      <c r="AB404" s="3"/>
    </row>
    <row r="405" spans="1:28" x14ac:dyDescent="0.2">
      <c r="A405">
        <v>2</v>
      </c>
      <c r="B405" t="s">
        <v>23</v>
      </c>
      <c r="C405" t="s">
        <v>18</v>
      </c>
      <c r="D405" t="s">
        <v>19</v>
      </c>
      <c r="E405" t="s">
        <v>24</v>
      </c>
      <c r="F405" t="s">
        <v>21</v>
      </c>
      <c r="G405" t="s">
        <v>25</v>
      </c>
      <c r="H405" s="1">
        <v>262328</v>
      </c>
      <c r="I405" s="3">
        <v>0</v>
      </c>
      <c r="J405" s="3">
        <v>1168044</v>
      </c>
      <c r="K405" s="3">
        <v>33295.980000000003</v>
      </c>
      <c r="L405" s="2">
        <v>21.1</v>
      </c>
      <c r="M405" s="11">
        <v>8</v>
      </c>
      <c r="N405" s="3">
        <v>35</v>
      </c>
      <c r="O405" s="3">
        <v>229976</v>
      </c>
      <c r="P405" s="3">
        <v>850784</v>
      </c>
      <c r="Q405" s="10">
        <v>0</v>
      </c>
      <c r="R405" s="3">
        <f>(Таблица1[Размер кредита]-$AA$2)/$AA$3</f>
        <v>-0.26910160083791551</v>
      </c>
      <c r="S405" s="3">
        <f>(Таблица1[Кредитный рейтинг]-$AA$7)/($AA$8-$AA$7)</f>
        <v>0</v>
      </c>
      <c r="T405" s="3">
        <f>(Таблица1[Срок с последнего нарушения кредитного договора (мес,)]-$AA$12)/($AA$13-$AA$12)</f>
        <v>9.0909090909090912E-2</v>
      </c>
      <c r="U405" s="3">
        <f>(Таблица1[Количество кредитных карт]-$AA$18)/($AA$19-$AA$18)</f>
        <v>0.80952380952380953</v>
      </c>
      <c r="V405" s="3">
        <f>(Таблица1[Число нарушений кредитных договоров]-$AA$23)/($AA$24-$AA$23)</f>
        <v>0</v>
      </c>
      <c r="W405" s="3">
        <f>Таблица1[[#This Row],[Годовой доход]]/12</f>
        <v>97337</v>
      </c>
      <c r="X405" s="3">
        <f>Таблица1[[#This Row],[Ежемесячный платеж]]/Таблица1[[#This Row],[Ежем доход]]</f>
        <v>0.34206910013663872</v>
      </c>
      <c r="Y405" s="3"/>
      <c r="Z405" s="3"/>
      <c r="AA405" s="3"/>
      <c r="AB405" s="3"/>
    </row>
    <row r="406" spans="1:28" x14ac:dyDescent="0.2">
      <c r="A406">
        <v>306</v>
      </c>
      <c r="B406" t="s">
        <v>348</v>
      </c>
      <c r="C406" t="s">
        <v>35</v>
      </c>
      <c r="D406" t="s">
        <v>29</v>
      </c>
      <c r="E406" t="s">
        <v>47</v>
      </c>
      <c r="F406" t="s">
        <v>33</v>
      </c>
      <c r="G406" t="s">
        <v>25</v>
      </c>
      <c r="H406" s="1">
        <v>513524</v>
      </c>
      <c r="I406" s="3">
        <v>659</v>
      </c>
      <c r="J406" s="3">
        <v>1115718</v>
      </c>
      <c r="K406" s="3">
        <v>28543.7</v>
      </c>
      <c r="L406" s="2">
        <v>12.5</v>
      </c>
      <c r="M406" s="11">
        <v>35.265240640000002</v>
      </c>
      <c r="N406" s="3">
        <v>11</v>
      </c>
      <c r="O406" s="3">
        <v>469604</v>
      </c>
      <c r="P406" s="3">
        <v>849618</v>
      </c>
      <c r="Q406" s="10">
        <v>0</v>
      </c>
      <c r="R406" s="3">
        <f>(Таблица1[Размер кредита]-$AA$2)/$AA$3</f>
        <v>1.1610277888513507</v>
      </c>
      <c r="S406" s="3">
        <f>(Таблица1[Кредитный рейтинг]-$AA$7)/($AA$8-$AA$7)</f>
        <v>0.87749667110519303</v>
      </c>
      <c r="T406" s="3">
        <f>(Таблица1[Срок с последнего нарушения кредитного договора (мес,)]-$AA$12)/($AA$13-$AA$12)</f>
        <v>0.40074137090909095</v>
      </c>
      <c r="U406" s="3">
        <f>(Таблица1[Количество кредитных карт]-$AA$18)/($AA$19-$AA$18)</f>
        <v>0.23809523809523808</v>
      </c>
      <c r="V406" s="3">
        <f>(Таблица1[Число нарушений кредитных договоров]-$AA$23)/($AA$24-$AA$23)</f>
        <v>0</v>
      </c>
      <c r="W406" s="3">
        <f>Таблица1[[#This Row],[Годовой доход]]/12</f>
        <v>92976.5</v>
      </c>
      <c r="X406" s="3">
        <f>Таблица1[[#This Row],[Ежемесячный платеж]]/Таблица1[[#This Row],[Ежем доход]]</f>
        <v>0.3069990804127925</v>
      </c>
      <c r="Y406" s="3"/>
      <c r="Z406" s="3"/>
      <c r="AA406" s="3"/>
      <c r="AB406" s="3"/>
    </row>
    <row r="407" spans="1:28" x14ac:dyDescent="0.2">
      <c r="A407">
        <v>132</v>
      </c>
      <c r="B407" t="s">
        <v>174</v>
      </c>
      <c r="C407" t="s">
        <v>18</v>
      </c>
      <c r="D407" t="s">
        <v>19</v>
      </c>
      <c r="E407" t="s">
        <v>24</v>
      </c>
      <c r="F407" t="s">
        <v>21</v>
      </c>
      <c r="G407" t="s">
        <v>25</v>
      </c>
      <c r="H407" s="1">
        <v>105556</v>
      </c>
      <c r="I407" s="3">
        <v>0</v>
      </c>
      <c r="J407" s="3">
        <v>1168044</v>
      </c>
      <c r="K407" s="3">
        <v>18234.11</v>
      </c>
      <c r="L407" s="2">
        <v>20.7</v>
      </c>
      <c r="M407" s="11">
        <v>7</v>
      </c>
      <c r="N407" s="3">
        <v>13</v>
      </c>
      <c r="O407" s="3">
        <v>220894</v>
      </c>
      <c r="P407" s="3">
        <v>846890</v>
      </c>
      <c r="Q407" s="10">
        <v>0</v>
      </c>
      <c r="R407" s="3">
        <f>(Таблица1[Размер кредита]-$AA$2)/$AA$3</f>
        <v>-1.1616486345500989</v>
      </c>
      <c r="S407" s="3">
        <f>(Таблица1[Кредитный рейтинг]-$AA$7)/($AA$8-$AA$7)</f>
        <v>0</v>
      </c>
      <c r="T407" s="3">
        <f>(Таблица1[Срок с последнего нарушения кредитного договора (мес,)]-$AA$12)/($AA$13-$AA$12)</f>
        <v>7.9545454545454544E-2</v>
      </c>
      <c r="U407" s="3">
        <f>(Таблица1[Количество кредитных карт]-$AA$18)/($AA$19-$AA$18)</f>
        <v>0.2857142857142857</v>
      </c>
      <c r="V407" s="3">
        <f>(Таблица1[Число нарушений кредитных договоров]-$AA$23)/($AA$24-$AA$23)</f>
        <v>0</v>
      </c>
      <c r="W407" s="3">
        <f>Таблица1[[#This Row],[Годовой доход]]/12</f>
        <v>97337</v>
      </c>
      <c r="X407" s="3">
        <f>Таблица1[[#This Row],[Ежемесячный платеж]]/Таблица1[[#This Row],[Ежем доход]]</f>
        <v>0.18732968963497951</v>
      </c>
      <c r="Y407" s="3"/>
      <c r="Z407" s="3"/>
      <c r="AA407" s="3"/>
      <c r="AB407" s="3"/>
    </row>
    <row r="408" spans="1:28" x14ac:dyDescent="0.2">
      <c r="A408">
        <v>993</v>
      </c>
      <c r="B408" t="s">
        <v>1033</v>
      </c>
      <c r="C408" t="s">
        <v>35</v>
      </c>
      <c r="D408" t="s">
        <v>29</v>
      </c>
      <c r="E408" t="s">
        <v>24</v>
      </c>
      <c r="F408" t="s">
        <v>21</v>
      </c>
      <c r="G408" t="s">
        <v>25</v>
      </c>
      <c r="H408" s="1">
        <v>562826</v>
      </c>
      <c r="I408" s="3">
        <v>699</v>
      </c>
      <c r="J408" s="3">
        <v>1060884</v>
      </c>
      <c r="K408" s="3">
        <v>25107.74</v>
      </c>
      <c r="L408" s="2">
        <v>21.4</v>
      </c>
      <c r="M408" s="11">
        <v>14</v>
      </c>
      <c r="N408" s="3">
        <v>12</v>
      </c>
      <c r="O408" s="3">
        <v>442757</v>
      </c>
      <c r="P408" s="3">
        <v>845988</v>
      </c>
      <c r="Q408" s="10">
        <v>0</v>
      </c>
      <c r="R408" s="3">
        <f>(Таблица1[Размер кредита]-$AA$2)/$AA$3</f>
        <v>1.4417179239269897</v>
      </c>
      <c r="S408" s="3">
        <f>(Таблица1[Кредитный рейтинг]-$AA$7)/($AA$8-$AA$7)</f>
        <v>0.93075898801597867</v>
      </c>
      <c r="T408" s="3">
        <f>(Таблица1[Срок с последнего нарушения кредитного договора (мес,)]-$AA$12)/($AA$13-$AA$12)</f>
        <v>0.15909090909090909</v>
      </c>
      <c r="U408" s="3">
        <f>(Таблица1[Количество кредитных карт]-$AA$18)/($AA$19-$AA$18)</f>
        <v>0.26190476190476192</v>
      </c>
      <c r="V408" s="3">
        <f>(Таблица1[Число нарушений кредитных договоров]-$AA$23)/($AA$24-$AA$23)</f>
        <v>0</v>
      </c>
      <c r="W408" s="3">
        <f>Таблица1[[#This Row],[Годовой доход]]/12</f>
        <v>88407</v>
      </c>
      <c r="X408" s="3">
        <f>Таблица1[[#This Row],[Ежемесячный платеж]]/Таблица1[[#This Row],[Ежем доход]]</f>
        <v>0.28400171932086826</v>
      </c>
      <c r="Y408" s="3"/>
      <c r="Z408" s="3"/>
      <c r="AA408" s="3"/>
      <c r="AB408" s="3"/>
    </row>
    <row r="409" spans="1:28" x14ac:dyDescent="0.2">
      <c r="A409">
        <v>1010</v>
      </c>
      <c r="B409" t="s">
        <v>1049</v>
      </c>
      <c r="C409" t="s">
        <v>35</v>
      </c>
      <c r="D409" t="s">
        <v>29</v>
      </c>
      <c r="E409" t="s">
        <v>24</v>
      </c>
      <c r="F409" t="s">
        <v>21</v>
      </c>
      <c r="G409" t="s">
        <v>25</v>
      </c>
      <c r="H409" s="1">
        <v>552442</v>
      </c>
      <c r="I409" s="3">
        <v>0</v>
      </c>
      <c r="J409" s="3">
        <v>1168044</v>
      </c>
      <c r="K409" s="3">
        <v>17821.240000000002</v>
      </c>
      <c r="L409" s="2">
        <v>13.8</v>
      </c>
      <c r="M409" s="11">
        <v>35.265240640000002</v>
      </c>
      <c r="N409" s="3">
        <v>8</v>
      </c>
      <c r="O409" s="3">
        <v>596486</v>
      </c>
      <c r="P409" s="3">
        <v>845394</v>
      </c>
      <c r="Q409" s="10">
        <v>0</v>
      </c>
      <c r="R409" s="3">
        <f>(Таблица1[Размер кредита]-$AA$2)/$AA$3</f>
        <v>1.3825988950310943</v>
      </c>
      <c r="S409" s="3">
        <f>(Таблица1[Кредитный рейтинг]-$AA$7)/($AA$8-$AA$7)</f>
        <v>0</v>
      </c>
      <c r="T409" s="3">
        <f>(Таблица1[Срок с последнего нарушения кредитного договора (мес,)]-$AA$12)/($AA$13-$AA$12)</f>
        <v>0.40074137090909095</v>
      </c>
      <c r="U409" s="3">
        <f>(Таблица1[Количество кредитных карт]-$AA$18)/($AA$19-$AA$18)</f>
        <v>0.16666666666666666</v>
      </c>
      <c r="V409" s="3">
        <f>(Таблица1[Число нарушений кредитных договоров]-$AA$23)/($AA$24-$AA$23)</f>
        <v>0</v>
      </c>
      <c r="W409" s="3">
        <f>Таблица1[[#This Row],[Годовой доход]]/12</f>
        <v>97337</v>
      </c>
      <c r="X409" s="3">
        <f>Таблица1[[#This Row],[Ежемесячный платеж]]/Таблица1[[#This Row],[Ежем доход]]</f>
        <v>0.1830880343548702</v>
      </c>
      <c r="Y409" s="3"/>
      <c r="Z409" s="3"/>
      <c r="AA409" s="3"/>
      <c r="AB409" s="3"/>
    </row>
    <row r="410" spans="1:28" x14ac:dyDescent="0.2">
      <c r="A410">
        <v>41</v>
      </c>
      <c r="B410" t="s">
        <v>81</v>
      </c>
      <c r="C410" t="s">
        <v>35</v>
      </c>
      <c r="D410" t="s">
        <v>29</v>
      </c>
      <c r="E410" t="s">
        <v>37</v>
      </c>
      <c r="F410" t="s">
        <v>33</v>
      </c>
      <c r="G410" t="s">
        <v>25</v>
      </c>
      <c r="H410" s="1">
        <v>688468</v>
      </c>
      <c r="I410" s="3">
        <v>682</v>
      </c>
      <c r="J410" s="3">
        <v>1494616</v>
      </c>
      <c r="K410" s="3">
        <v>14697.07</v>
      </c>
      <c r="L410" s="2">
        <v>16.600000000000001</v>
      </c>
      <c r="M410" s="11">
        <v>50</v>
      </c>
      <c r="N410" s="3">
        <v>8</v>
      </c>
      <c r="O410" s="3">
        <v>343995</v>
      </c>
      <c r="P410" s="3">
        <v>843854</v>
      </c>
      <c r="Q410" s="10">
        <v>0</v>
      </c>
      <c r="R410" s="3">
        <f>(Таблица1[Размер кредита]-$AA$2)/$AA$3</f>
        <v>2.1570331231313511</v>
      </c>
      <c r="S410" s="3">
        <f>(Таблица1[Кредитный рейтинг]-$AA$7)/($AA$8-$AA$7)</f>
        <v>0.90812250332889477</v>
      </c>
      <c r="T410" s="3">
        <f>(Таблица1[Срок с последнего нарушения кредитного договора (мес,)]-$AA$12)/($AA$13-$AA$12)</f>
        <v>0.56818181818181823</v>
      </c>
      <c r="U410" s="3">
        <f>(Таблица1[Количество кредитных карт]-$AA$18)/($AA$19-$AA$18)</f>
        <v>0.16666666666666666</v>
      </c>
      <c r="V410" s="3">
        <f>(Таблица1[Число нарушений кредитных договоров]-$AA$23)/($AA$24-$AA$23)</f>
        <v>0</v>
      </c>
      <c r="W410" s="3">
        <f>Таблица1[[#This Row],[Годовой доход]]/12</f>
        <v>124551.33333333333</v>
      </c>
      <c r="X410" s="3">
        <f>Таблица1[[#This Row],[Ежемесячный платеж]]/Таблица1[[#This Row],[Ежем доход]]</f>
        <v>0.11800010169836266</v>
      </c>
      <c r="Y410" s="3"/>
      <c r="Z410" s="3"/>
      <c r="AA410" s="3"/>
      <c r="AB410" s="3"/>
    </row>
    <row r="411" spans="1:28" x14ac:dyDescent="0.2">
      <c r="A411">
        <v>441</v>
      </c>
      <c r="B411" t="s">
        <v>482</v>
      </c>
      <c r="C411" t="s">
        <v>18</v>
      </c>
      <c r="D411" t="s">
        <v>19</v>
      </c>
      <c r="E411" t="s">
        <v>24</v>
      </c>
      <c r="F411" t="s">
        <v>21</v>
      </c>
      <c r="G411" t="s">
        <v>25</v>
      </c>
      <c r="H411" s="1">
        <v>403964</v>
      </c>
      <c r="I411" s="3">
        <v>744</v>
      </c>
      <c r="J411" s="3">
        <v>1763561</v>
      </c>
      <c r="K411" s="3">
        <v>17929.349999999999</v>
      </c>
      <c r="L411" s="2">
        <v>18.399999999999999</v>
      </c>
      <c r="M411" s="11">
        <v>35.265240640000002</v>
      </c>
      <c r="N411" s="3">
        <v>11</v>
      </c>
      <c r="O411" s="3">
        <v>389101</v>
      </c>
      <c r="P411" s="3">
        <v>843678</v>
      </c>
      <c r="Q411" s="10">
        <v>0</v>
      </c>
      <c r="R411" s="3">
        <f>(Таблица1[Размер кредита]-$AA$2)/$AA$3</f>
        <v>0.5372719331277086</v>
      </c>
      <c r="S411" s="3">
        <f>(Таблица1[Кредитный рейтинг]-$AA$7)/($AA$8-$AA$7)</f>
        <v>0.99067909454061254</v>
      </c>
      <c r="T411" s="3">
        <f>(Таблица1[Срок с последнего нарушения кредитного договора (мес,)]-$AA$12)/($AA$13-$AA$12)</f>
        <v>0.40074137090909095</v>
      </c>
      <c r="U411" s="3">
        <f>(Таблица1[Количество кредитных карт]-$AA$18)/($AA$19-$AA$18)</f>
        <v>0.23809523809523808</v>
      </c>
      <c r="V411" s="3">
        <f>(Таблица1[Число нарушений кредитных договоров]-$AA$23)/($AA$24-$AA$23)</f>
        <v>0</v>
      </c>
      <c r="W411" s="3">
        <f>Таблица1[[#This Row],[Годовой доход]]/12</f>
        <v>146963.41666666666</v>
      </c>
      <c r="X411" s="3">
        <f>Таблица1[[#This Row],[Ежемесячный платеж]]/Таблица1[[#This Row],[Ежем доход]]</f>
        <v>0.12199872870856182</v>
      </c>
      <c r="Y411" s="3"/>
      <c r="Z411" s="3"/>
      <c r="AA411" s="3"/>
      <c r="AB411" s="3"/>
    </row>
    <row r="412" spans="1:28" x14ac:dyDescent="0.2">
      <c r="A412">
        <v>692</v>
      </c>
      <c r="B412" t="s">
        <v>733</v>
      </c>
      <c r="C412" t="s">
        <v>18</v>
      </c>
      <c r="D412" t="s">
        <v>19</v>
      </c>
      <c r="E412" t="s">
        <v>24</v>
      </c>
      <c r="F412" t="s">
        <v>21</v>
      </c>
      <c r="G412" t="s">
        <v>25</v>
      </c>
      <c r="H412" s="1">
        <v>309594.52439999999</v>
      </c>
      <c r="I412" s="3">
        <v>742</v>
      </c>
      <c r="J412" s="3">
        <v>5972460</v>
      </c>
      <c r="K412" s="3">
        <v>66194.67</v>
      </c>
      <c r="L412" s="2">
        <v>34.200000000000003</v>
      </c>
      <c r="M412" s="11">
        <v>24</v>
      </c>
      <c r="N412" s="3">
        <v>28</v>
      </c>
      <c r="O412" s="3">
        <v>368695</v>
      </c>
      <c r="P412" s="3">
        <v>843678</v>
      </c>
      <c r="Q412" s="10">
        <v>0</v>
      </c>
      <c r="R412" s="3">
        <f>(Таблица1[Размер кредита]-$AA$2)/$AA$3</f>
        <v>-1.2411115481956205E-10</v>
      </c>
      <c r="S412" s="3">
        <f>(Таблица1[Кредитный рейтинг]-$AA$7)/($AA$8-$AA$7)</f>
        <v>0.98801597869507318</v>
      </c>
      <c r="T412" s="3">
        <f>(Таблица1[Срок с последнего нарушения кредитного договора (мес,)]-$AA$12)/($AA$13-$AA$12)</f>
        <v>0.27272727272727271</v>
      </c>
      <c r="U412" s="3">
        <f>(Таблица1[Количество кредитных карт]-$AA$18)/($AA$19-$AA$18)</f>
        <v>0.6428571428571429</v>
      </c>
      <c r="V412" s="3">
        <f>(Таблица1[Число нарушений кредитных договоров]-$AA$23)/($AA$24-$AA$23)</f>
        <v>0</v>
      </c>
      <c r="W412" s="3">
        <f>Таблица1[[#This Row],[Годовой доход]]/12</f>
        <v>497705</v>
      </c>
      <c r="X412" s="3">
        <f>Таблица1[[#This Row],[Ежемесячный платеж]]/Таблица1[[#This Row],[Ежем доход]]</f>
        <v>0.1329998091238786</v>
      </c>
      <c r="Y412" s="3"/>
      <c r="Z412" s="3"/>
      <c r="AA412" s="3"/>
      <c r="AB412" s="3"/>
    </row>
    <row r="413" spans="1:28" x14ac:dyDescent="0.2">
      <c r="A413">
        <v>704</v>
      </c>
      <c r="B413" t="s">
        <v>745</v>
      </c>
      <c r="C413" t="s">
        <v>18</v>
      </c>
      <c r="D413" t="s">
        <v>19</v>
      </c>
      <c r="E413" t="s">
        <v>24</v>
      </c>
      <c r="F413" t="s">
        <v>21</v>
      </c>
      <c r="G413" t="s">
        <v>70</v>
      </c>
      <c r="H413" s="1">
        <v>222684</v>
      </c>
      <c r="I413" s="3">
        <v>707</v>
      </c>
      <c r="J413" s="3">
        <v>1634703</v>
      </c>
      <c r="K413" s="3">
        <v>28198.66</v>
      </c>
      <c r="L413" s="2">
        <v>29.2</v>
      </c>
      <c r="M413" s="11">
        <v>8</v>
      </c>
      <c r="N413" s="3">
        <v>22</v>
      </c>
      <c r="O413" s="3">
        <v>565782</v>
      </c>
      <c r="P413" s="3">
        <v>843128</v>
      </c>
      <c r="Q413" s="10">
        <v>0</v>
      </c>
      <c r="R413" s="3">
        <f>(Таблица1[Размер кредита]-$AA$2)/$AA$3</f>
        <v>-0.49480602895317721</v>
      </c>
      <c r="S413" s="3">
        <f>(Таблица1[Кредитный рейтинг]-$AA$7)/($AA$8-$AA$7)</f>
        <v>0.94141145139813587</v>
      </c>
      <c r="T413" s="3">
        <f>(Таблица1[Срок с последнего нарушения кредитного договора (мес,)]-$AA$12)/($AA$13-$AA$12)</f>
        <v>9.0909090909090912E-2</v>
      </c>
      <c r="U413" s="3">
        <f>(Таблица1[Количество кредитных карт]-$AA$18)/($AA$19-$AA$18)</f>
        <v>0.5</v>
      </c>
      <c r="V413" s="3">
        <f>(Таблица1[Число нарушений кредитных договоров]-$AA$23)/($AA$24-$AA$23)</f>
        <v>0</v>
      </c>
      <c r="W413" s="3">
        <f>Таблица1[[#This Row],[Годовой доход]]/12</f>
        <v>136225.25</v>
      </c>
      <c r="X413" s="3">
        <f>Таблица1[[#This Row],[Ежемесячный платеж]]/Таблица1[[#This Row],[Ежем доход]]</f>
        <v>0.2070002440810349</v>
      </c>
      <c r="Y413" s="3"/>
      <c r="Z413" s="3"/>
      <c r="AA413" s="3"/>
      <c r="AB413" s="3"/>
    </row>
    <row r="414" spans="1:28" x14ac:dyDescent="0.2">
      <c r="A414">
        <v>1307</v>
      </c>
      <c r="B414" t="s">
        <v>1346</v>
      </c>
      <c r="C414" t="s">
        <v>18</v>
      </c>
      <c r="D414" t="s">
        <v>19</v>
      </c>
      <c r="E414" t="s">
        <v>20</v>
      </c>
      <c r="F414" t="s">
        <v>33</v>
      </c>
      <c r="G414" t="s">
        <v>25</v>
      </c>
      <c r="H414" s="1">
        <v>65692</v>
      </c>
      <c r="I414" s="3">
        <v>684</v>
      </c>
      <c r="J414" s="3">
        <v>1040193</v>
      </c>
      <c r="K414" s="3">
        <v>17509.830000000002</v>
      </c>
      <c r="L414" s="2">
        <v>16</v>
      </c>
      <c r="M414" s="11">
        <v>5</v>
      </c>
      <c r="N414" s="3">
        <v>25</v>
      </c>
      <c r="O414" s="3">
        <v>185231</v>
      </c>
      <c r="P414" s="3">
        <v>841082</v>
      </c>
      <c r="Q414" s="10">
        <v>0</v>
      </c>
      <c r="R414" s="3">
        <f>(Таблица1[Размер кредита]-$AA$2)/$AA$3</f>
        <v>-1.3886055844640026</v>
      </c>
      <c r="S414" s="3">
        <f>(Таблица1[Кредитный рейтинг]-$AA$7)/($AA$8-$AA$7)</f>
        <v>0.91078561917443412</v>
      </c>
      <c r="T414" s="3">
        <f>(Таблица1[Срок с последнего нарушения кредитного договора (мес,)]-$AA$12)/($AA$13-$AA$12)</f>
        <v>5.6818181818181816E-2</v>
      </c>
      <c r="U414" s="3">
        <f>(Таблица1[Количество кредитных карт]-$AA$18)/($AA$19-$AA$18)</f>
        <v>0.5714285714285714</v>
      </c>
      <c r="V414" s="3">
        <f>(Таблица1[Число нарушений кредитных договоров]-$AA$23)/($AA$24-$AA$23)</f>
        <v>0</v>
      </c>
      <c r="W414" s="3">
        <f>Таблица1[[#This Row],[Годовой доход]]/12</f>
        <v>86682.75</v>
      </c>
      <c r="X414" s="3">
        <f>Таблица1[[#This Row],[Ежемесячный платеж]]/Таблица1[[#This Row],[Ежем доход]]</f>
        <v>0.20199901364458328</v>
      </c>
      <c r="Y414" s="3"/>
      <c r="Z414" s="3"/>
      <c r="AA414" s="3"/>
      <c r="AB414" s="3"/>
    </row>
    <row r="415" spans="1:28" x14ac:dyDescent="0.2">
      <c r="A415">
        <v>916</v>
      </c>
      <c r="B415" t="s">
        <v>957</v>
      </c>
      <c r="C415" t="s">
        <v>18</v>
      </c>
      <c r="D415" t="s">
        <v>19</v>
      </c>
      <c r="E415" t="s">
        <v>50</v>
      </c>
      <c r="F415" t="s">
        <v>21</v>
      </c>
      <c r="G415" t="s">
        <v>25</v>
      </c>
      <c r="H415" s="1">
        <v>565840</v>
      </c>
      <c r="I415" s="3">
        <v>734</v>
      </c>
      <c r="J415" s="3">
        <v>1582377</v>
      </c>
      <c r="K415" s="3">
        <v>39032.080000000002</v>
      </c>
      <c r="L415" s="2">
        <v>15.4</v>
      </c>
      <c r="M415" s="11">
        <v>35.265240640000002</v>
      </c>
      <c r="N415" s="3">
        <v>12</v>
      </c>
      <c r="O415" s="3">
        <v>434872</v>
      </c>
      <c r="P415" s="3">
        <v>840620</v>
      </c>
      <c r="Q415" s="10">
        <v>0</v>
      </c>
      <c r="R415" s="3">
        <f>(Таблица1[Размер кредита]-$AA$2)/$AA$3</f>
        <v>1.4588774725683831</v>
      </c>
      <c r="S415" s="3">
        <f>(Таблица1[Кредитный рейтинг]-$AA$7)/($AA$8-$AA$7)</f>
        <v>0.9773635153129161</v>
      </c>
      <c r="T415" s="3">
        <f>(Таблица1[Срок с последнего нарушения кредитного договора (мес,)]-$AA$12)/($AA$13-$AA$12)</f>
        <v>0.40074137090909095</v>
      </c>
      <c r="U415" s="3">
        <f>(Таблица1[Количество кредитных карт]-$AA$18)/($AA$19-$AA$18)</f>
        <v>0.26190476190476192</v>
      </c>
      <c r="V415" s="3">
        <f>(Таблица1[Число нарушений кредитных договоров]-$AA$23)/($AA$24-$AA$23)</f>
        <v>0</v>
      </c>
      <c r="W415" s="3">
        <f>Таблица1[[#This Row],[Годовой доход]]/12</f>
        <v>131864.75</v>
      </c>
      <c r="X415" s="3">
        <f>Таблица1[[#This Row],[Ежемесячный платеж]]/Таблица1[[#This Row],[Ежем доход]]</f>
        <v>0.29600086452217139</v>
      </c>
      <c r="Y415" s="3"/>
      <c r="Z415" s="3"/>
      <c r="AA415" s="3"/>
      <c r="AB415" s="3"/>
    </row>
    <row r="416" spans="1:28" x14ac:dyDescent="0.2">
      <c r="A416">
        <v>1588</v>
      </c>
      <c r="B416" t="s">
        <v>1627</v>
      </c>
      <c r="C416" t="s">
        <v>35</v>
      </c>
      <c r="D416" t="s">
        <v>29</v>
      </c>
      <c r="E416" t="s">
        <v>24</v>
      </c>
      <c r="F416" t="s">
        <v>21</v>
      </c>
      <c r="G416" t="s">
        <v>25</v>
      </c>
      <c r="H416" s="1">
        <v>440836</v>
      </c>
      <c r="I416" s="3">
        <v>0</v>
      </c>
      <c r="J416" s="3">
        <v>1168044</v>
      </c>
      <c r="K416" s="3">
        <v>28338.880000000001</v>
      </c>
      <c r="L416" s="2">
        <v>18.8</v>
      </c>
      <c r="M416" s="11">
        <v>18</v>
      </c>
      <c r="N416" s="3">
        <v>12</v>
      </c>
      <c r="O416" s="3">
        <v>596258</v>
      </c>
      <c r="P416" s="3">
        <v>838882</v>
      </c>
      <c r="Q416" s="10">
        <v>0</v>
      </c>
      <c r="R416" s="3">
        <f>(Таблица1[Размер кредита]-$AA$2)/$AA$3</f>
        <v>0.74719458658008286</v>
      </c>
      <c r="S416" s="3">
        <f>(Таблица1[Кредитный рейтинг]-$AA$7)/($AA$8-$AA$7)</f>
        <v>0</v>
      </c>
      <c r="T416" s="3">
        <f>(Таблица1[Срок с последнего нарушения кредитного договора (мес,)]-$AA$12)/($AA$13-$AA$12)</f>
        <v>0.20454545454545456</v>
      </c>
      <c r="U416" s="3">
        <f>(Таблица1[Количество кредитных карт]-$AA$18)/($AA$19-$AA$18)</f>
        <v>0.26190476190476192</v>
      </c>
      <c r="V416" s="3">
        <f>(Таблица1[Число нарушений кредитных договоров]-$AA$23)/($AA$24-$AA$23)</f>
        <v>0</v>
      </c>
      <c r="W416" s="3">
        <f>Таблица1[[#This Row],[Годовой доход]]/12</f>
        <v>97337</v>
      </c>
      <c r="X416" s="3">
        <f>Таблица1[[#This Row],[Ежемесячный платеж]]/Таблица1[[#This Row],[Ежем доход]]</f>
        <v>0.29114190903767323</v>
      </c>
      <c r="Y416" s="3"/>
      <c r="Z416" s="3"/>
      <c r="AA416" s="3"/>
      <c r="AB416" s="3"/>
    </row>
    <row r="417" spans="1:28" x14ac:dyDescent="0.2">
      <c r="A417">
        <v>1959</v>
      </c>
      <c r="B417" t="s">
        <v>1995</v>
      </c>
      <c r="C417" t="s">
        <v>35</v>
      </c>
      <c r="D417" t="s">
        <v>19</v>
      </c>
      <c r="E417" t="s">
        <v>24</v>
      </c>
      <c r="F417" t="s">
        <v>33</v>
      </c>
      <c r="G417" t="s">
        <v>25</v>
      </c>
      <c r="H417" s="1">
        <v>234278</v>
      </c>
      <c r="I417" s="3">
        <v>734</v>
      </c>
      <c r="J417" s="3">
        <v>2081583</v>
      </c>
      <c r="K417" s="3">
        <v>30529.96</v>
      </c>
      <c r="L417" s="2">
        <v>16.3</v>
      </c>
      <c r="M417" s="11">
        <v>74</v>
      </c>
      <c r="N417" s="3">
        <v>25</v>
      </c>
      <c r="O417" s="3">
        <v>154888</v>
      </c>
      <c r="P417" s="3">
        <v>838090</v>
      </c>
      <c r="Q417" s="10">
        <v>0</v>
      </c>
      <c r="R417" s="3">
        <f>(Таблица1[Размер кредита]-$AA$2)/$AA$3</f>
        <v>-0.4287981301647516</v>
      </c>
      <c r="S417" s="3">
        <f>(Таблица1[Кредитный рейтинг]-$AA$7)/($AA$8-$AA$7)</f>
        <v>0.9773635153129161</v>
      </c>
      <c r="T417" s="3">
        <f>(Таблица1[Срок с последнего нарушения кредитного договора (мес,)]-$AA$12)/($AA$13-$AA$12)</f>
        <v>0.84090909090909094</v>
      </c>
      <c r="U417" s="3">
        <f>(Таблица1[Количество кредитных карт]-$AA$18)/($AA$19-$AA$18)</f>
        <v>0.5714285714285714</v>
      </c>
      <c r="V417" s="3">
        <f>(Таблица1[Число нарушений кредитных договоров]-$AA$23)/($AA$24-$AA$23)</f>
        <v>0</v>
      </c>
      <c r="W417" s="3">
        <f>Таблица1[[#This Row],[Годовой доход]]/12</f>
        <v>173465.25</v>
      </c>
      <c r="X417" s="3">
        <f>Таблица1[[#This Row],[Ежемесячный платеж]]/Таблица1[[#This Row],[Ежем доход]]</f>
        <v>0.17600043812809771</v>
      </c>
      <c r="Y417" s="3"/>
      <c r="Z417" s="3"/>
      <c r="AA417" s="3"/>
      <c r="AB417" s="3"/>
    </row>
    <row r="418" spans="1:28" x14ac:dyDescent="0.2">
      <c r="A418">
        <v>864</v>
      </c>
      <c r="B418" t="s">
        <v>905</v>
      </c>
      <c r="C418" t="s">
        <v>18</v>
      </c>
      <c r="D418" t="s">
        <v>19</v>
      </c>
      <c r="E418" t="s">
        <v>47</v>
      </c>
      <c r="F418" t="s">
        <v>21</v>
      </c>
      <c r="G418" t="s">
        <v>25</v>
      </c>
      <c r="H418" s="1">
        <v>195206</v>
      </c>
      <c r="I418" s="3">
        <v>750</v>
      </c>
      <c r="J418" s="3">
        <v>1015588</v>
      </c>
      <c r="K418" s="3">
        <v>12830.13</v>
      </c>
      <c r="L418" s="2">
        <v>15.4</v>
      </c>
      <c r="M418" s="11">
        <v>35.265240640000002</v>
      </c>
      <c r="N418" s="3">
        <v>9</v>
      </c>
      <c r="O418" s="3">
        <v>236170</v>
      </c>
      <c r="P418" s="3">
        <v>836286</v>
      </c>
      <c r="Q418" s="10">
        <v>0</v>
      </c>
      <c r="R418" s="3">
        <f>(Таблица1[Размер кредита]-$AA$2)/$AA$3</f>
        <v>-0.65124600160354451</v>
      </c>
      <c r="S418" s="3">
        <f>(Таблица1[Кредитный рейтинг]-$AA$7)/($AA$8-$AA$7)</f>
        <v>0.99866844207723038</v>
      </c>
      <c r="T418" s="3">
        <f>(Таблица1[Срок с последнего нарушения кредитного договора (мес,)]-$AA$12)/($AA$13-$AA$12)</f>
        <v>0.40074137090909095</v>
      </c>
      <c r="U418" s="3">
        <f>(Таблица1[Количество кредитных карт]-$AA$18)/($AA$19-$AA$18)</f>
        <v>0.19047619047619047</v>
      </c>
      <c r="V418" s="3">
        <f>(Таблица1[Число нарушений кредитных договоров]-$AA$23)/($AA$24-$AA$23)</f>
        <v>0</v>
      </c>
      <c r="W418" s="3">
        <f>Таблица1[[#This Row],[Годовой доход]]/12</f>
        <v>84632.333333333328</v>
      </c>
      <c r="X418" s="3">
        <f>Таблица1[[#This Row],[Ежемесячный платеж]]/Таблица1[[#This Row],[Ежем доход]]</f>
        <v>0.15159844346329418</v>
      </c>
      <c r="Y418" s="3"/>
      <c r="Z418" s="3"/>
      <c r="AA418" s="3"/>
      <c r="AB418" s="3"/>
    </row>
    <row r="419" spans="1:28" x14ac:dyDescent="0.2">
      <c r="A419">
        <v>410</v>
      </c>
      <c r="B419" t="s">
        <v>452</v>
      </c>
      <c r="C419" t="s">
        <v>35</v>
      </c>
      <c r="D419" t="s">
        <v>19</v>
      </c>
      <c r="E419" t="s">
        <v>32</v>
      </c>
      <c r="F419" t="s">
        <v>21</v>
      </c>
      <c r="G419" t="s">
        <v>25</v>
      </c>
      <c r="H419" s="1">
        <v>242264</v>
      </c>
      <c r="I419" s="3">
        <v>744</v>
      </c>
      <c r="J419" s="3">
        <v>584345</v>
      </c>
      <c r="K419" s="3">
        <v>12417.45</v>
      </c>
      <c r="L419" s="2">
        <v>21.7</v>
      </c>
      <c r="M419" s="11">
        <v>35.265240640000002</v>
      </c>
      <c r="N419" s="3">
        <v>10</v>
      </c>
      <c r="O419" s="3">
        <v>212306</v>
      </c>
      <c r="P419" s="3">
        <v>836154</v>
      </c>
      <c r="Q419" s="10">
        <v>0</v>
      </c>
      <c r="R419" s="3">
        <f>(Таблица1[Размер кредита]-$AA$2)/$AA$3</f>
        <v>-0.38333158887405239</v>
      </c>
      <c r="S419" s="3">
        <f>(Таблица1[Кредитный рейтинг]-$AA$7)/($AA$8-$AA$7)</f>
        <v>0.99067909454061254</v>
      </c>
      <c r="T419" s="3">
        <f>(Таблица1[Срок с последнего нарушения кредитного договора (мес,)]-$AA$12)/($AA$13-$AA$12)</f>
        <v>0.40074137090909095</v>
      </c>
      <c r="U419" s="3">
        <f>(Таблица1[Количество кредитных карт]-$AA$18)/($AA$19-$AA$18)</f>
        <v>0.21428571428571427</v>
      </c>
      <c r="V419" s="3">
        <f>(Таблица1[Число нарушений кредитных договоров]-$AA$23)/($AA$24-$AA$23)</f>
        <v>0</v>
      </c>
      <c r="W419" s="3">
        <f>Таблица1[[#This Row],[Годовой доход]]/12</f>
        <v>48695.416666666664</v>
      </c>
      <c r="X419" s="3">
        <f>Таблица1[[#This Row],[Ежемесячный платеж]]/Таблица1[[#This Row],[Ежем доход]]</f>
        <v>0.25500243862786542</v>
      </c>
      <c r="Y419" s="3"/>
      <c r="Z419" s="3"/>
      <c r="AA419" s="3"/>
      <c r="AB419" s="3"/>
    </row>
    <row r="420" spans="1:28" x14ac:dyDescent="0.2">
      <c r="A420">
        <v>989</v>
      </c>
      <c r="B420" t="s">
        <v>1029</v>
      </c>
      <c r="C420" t="s">
        <v>35</v>
      </c>
      <c r="D420" t="s">
        <v>29</v>
      </c>
      <c r="E420" t="s">
        <v>32</v>
      </c>
      <c r="F420" t="s">
        <v>33</v>
      </c>
      <c r="G420" t="s">
        <v>67</v>
      </c>
      <c r="H420" s="1">
        <v>760298</v>
      </c>
      <c r="I420" s="3">
        <v>654</v>
      </c>
      <c r="J420" s="3">
        <v>2251272</v>
      </c>
      <c r="K420" s="3">
        <v>20261.41</v>
      </c>
      <c r="L420" s="2">
        <v>14.7</v>
      </c>
      <c r="M420" s="11">
        <v>35.265240640000002</v>
      </c>
      <c r="N420" s="3">
        <v>10</v>
      </c>
      <c r="O420" s="3">
        <v>651358</v>
      </c>
      <c r="P420" s="3">
        <v>836132</v>
      </c>
      <c r="Q420" s="10">
        <v>0</v>
      </c>
      <c r="R420" s="3">
        <f>(Таблица1[Размер кредита]-$AA$2)/$AA$3</f>
        <v>2.5659814903879155</v>
      </c>
      <c r="S420" s="3">
        <f>(Таблица1[Кредитный рейтинг]-$AA$7)/($AA$8-$AA$7)</f>
        <v>0.87083888149134492</v>
      </c>
      <c r="T420" s="3">
        <f>(Таблица1[Срок с последнего нарушения кредитного договора (мес,)]-$AA$12)/($AA$13-$AA$12)</f>
        <v>0.40074137090909095</v>
      </c>
      <c r="U420" s="3">
        <f>(Таблица1[Количество кредитных карт]-$AA$18)/($AA$19-$AA$18)</f>
        <v>0.21428571428571427</v>
      </c>
      <c r="V420" s="3">
        <f>(Таблица1[Число нарушений кредитных договоров]-$AA$23)/($AA$24-$AA$23)</f>
        <v>0</v>
      </c>
      <c r="W420" s="3">
        <f>Таблица1[[#This Row],[Годовой доход]]/12</f>
        <v>187606</v>
      </c>
      <c r="X420" s="3">
        <f>Таблица1[[#This Row],[Ежемесячный платеж]]/Таблица1[[#This Row],[Ежем доход]]</f>
        <v>0.10799979744784281</v>
      </c>
      <c r="Y420" s="3"/>
      <c r="Z420" s="3"/>
      <c r="AA420" s="3"/>
      <c r="AB420" s="3"/>
    </row>
    <row r="421" spans="1:28" x14ac:dyDescent="0.2">
      <c r="A421">
        <v>1099</v>
      </c>
      <c r="B421" t="s">
        <v>1138</v>
      </c>
      <c r="C421" t="s">
        <v>18</v>
      </c>
      <c r="D421" t="s">
        <v>29</v>
      </c>
      <c r="E421" t="s">
        <v>30</v>
      </c>
      <c r="F421" t="s">
        <v>21</v>
      </c>
      <c r="G421" t="s">
        <v>25</v>
      </c>
      <c r="H421" s="1">
        <v>309594.52439999999</v>
      </c>
      <c r="I421" s="3">
        <v>710</v>
      </c>
      <c r="J421" s="3">
        <v>2200219</v>
      </c>
      <c r="K421" s="3">
        <v>20902.09</v>
      </c>
      <c r="L421" s="2">
        <v>7.8</v>
      </c>
      <c r="M421" s="11">
        <v>35.265240640000002</v>
      </c>
      <c r="N421" s="3">
        <v>11</v>
      </c>
      <c r="O421" s="3">
        <v>433827</v>
      </c>
      <c r="P421" s="3">
        <v>835824</v>
      </c>
      <c r="Q421" s="10">
        <v>0</v>
      </c>
      <c r="R421" s="3">
        <f>(Таблица1[Размер кредита]-$AA$2)/$AA$3</f>
        <v>-1.2411115481956205E-10</v>
      </c>
      <c r="S421" s="3">
        <f>(Таблица1[Кредитный рейтинг]-$AA$7)/($AA$8-$AA$7)</f>
        <v>0.94540612516644473</v>
      </c>
      <c r="T421" s="3">
        <f>(Таблица1[Срок с последнего нарушения кредитного договора (мес,)]-$AA$12)/($AA$13-$AA$12)</f>
        <v>0.40074137090909095</v>
      </c>
      <c r="U421" s="3">
        <f>(Таблица1[Количество кредитных карт]-$AA$18)/($AA$19-$AA$18)</f>
        <v>0.23809523809523808</v>
      </c>
      <c r="V421" s="3">
        <f>(Таблица1[Число нарушений кредитных договоров]-$AA$23)/($AA$24-$AA$23)</f>
        <v>0</v>
      </c>
      <c r="W421" s="3">
        <f>Таблица1[[#This Row],[Годовой доход]]/12</f>
        <v>183351.58333333334</v>
      </c>
      <c r="X421" s="3">
        <f>Таблица1[[#This Row],[Ежемесячный платеж]]/Таблица1[[#This Row],[Ежем доход]]</f>
        <v>0.11400005181302406</v>
      </c>
      <c r="Y421" s="3"/>
      <c r="Z421" s="3"/>
      <c r="AA421" s="3"/>
      <c r="AB421" s="3"/>
    </row>
    <row r="422" spans="1:28" x14ac:dyDescent="0.2">
      <c r="A422">
        <v>219</v>
      </c>
      <c r="B422" t="s">
        <v>261</v>
      </c>
      <c r="C422" t="s">
        <v>18</v>
      </c>
      <c r="D422" t="s">
        <v>29</v>
      </c>
      <c r="E422" t="s">
        <v>24</v>
      </c>
      <c r="F422" t="s">
        <v>27</v>
      </c>
      <c r="G422" t="s">
        <v>25</v>
      </c>
      <c r="H422" s="1">
        <v>396792</v>
      </c>
      <c r="I422" s="3">
        <v>731</v>
      </c>
      <c r="J422" s="3">
        <v>745997</v>
      </c>
      <c r="K422" s="3">
        <v>7522.29</v>
      </c>
      <c r="L422" s="2">
        <v>18.7</v>
      </c>
      <c r="M422" s="11">
        <v>35.265240640000002</v>
      </c>
      <c r="N422" s="3">
        <v>11</v>
      </c>
      <c r="O422" s="3">
        <v>295944</v>
      </c>
      <c r="P422" s="3">
        <v>835802</v>
      </c>
      <c r="Q422" s="10">
        <v>0</v>
      </c>
      <c r="R422" s="3">
        <f>(Таблица1[Размер кредита]-$AA$2)/$AA$3</f>
        <v>0.4964397224919842</v>
      </c>
      <c r="S422" s="3">
        <f>(Таблица1[Кредитный рейтинг]-$AA$7)/($AA$8-$AA$7)</f>
        <v>0.97336884154460723</v>
      </c>
      <c r="T422" s="3">
        <f>(Таблица1[Срок с последнего нарушения кредитного договора (мес,)]-$AA$12)/($AA$13-$AA$12)</f>
        <v>0.40074137090909095</v>
      </c>
      <c r="U422" s="3">
        <f>(Таблица1[Количество кредитных карт]-$AA$18)/($AA$19-$AA$18)</f>
        <v>0.23809523809523808</v>
      </c>
      <c r="V422" s="3">
        <f>(Таблица1[Число нарушений кредитных договоров]-$AA$23)/($AA$24-$AA$23)</f>
        <v>0</v>
      </c>
      <c r="W422" s="3">
        <f>Таблица1[[#This Row],[Годовой доход]]/12</f>
        <v>62166.416666666664</v>
      </c>
      <c r="X422" s="3">
        <f>Таблица1[[#This Row],[Ежемесячный платеж]]/Таблица1[[#This Row],[Ежем доход]]</f>
        <v>0.12100247051931845</v>
      </c>
      <c r="Y422" s="3"/>
      <c r="Z422" s="3"/>
      <c r="AA422" s="3"/>
      <c r="AB422" s="3"/>
    </row>
    <row r="423" spans="1:28" x14ac:dyDescent="0.2">
      <c r="A423">
        <v>1560</v>
      </c>
      <c r="B423" t="s">
        <v>1599</v>
      </c>
      <c r="C423" t="s">
        <v>18</v>
      </c>
      <c r="D423" t="s">
        <v>29</v>
      </c>
      <c r="E423" t="s">
        <v>50</v>
      </c>
      <c r="F423" t="s">
        <v>33</v>
      </c>
      <c r="G423" t="s">
        <v>25</v>
      </c>
      <c r="H423" s="1">
        <v>380050</v>
      </c>
      <c r="I423" s="3">
        <v>698</v>
      </c>
      <c r="J423" s="3">
        <v>1520817</v>
      </c>
      <c r="K423" s="3">
        <v>18249.689999999999</v>
      </c>
      <c r="L423" s="2">
        <v>19.8</v>
      </c>
      <c r="M423" s="11">
        <v>15</v>
      </c>
      <c r="N423" s="3">
        <v>8</v>
      </c>
      <c r="O423" s="3">
        <v>367802</v>
      </c>
      <c r="P423" s="3">
        <v>835076</v>
      </c>
      <c r="Q423" s="10">
        <v>0</v>
      </c>
      <c r="R423" s="3">
        <f>(Таблица1[Размер кредита]-$AA$2)/$AA$3</f>
        <v>0.4011228136153393</v>
      </c>
      <c r="S423" s="3">
        <f>(Таблица1[Кредитный рейтинг]-$AA$7)/($AA$8-$AA$7)</f>
        <v>0.92942743009320905</v>
      </c>
      <c r="T423" s="3">
        <f>(Таблица1[Срок с последнего нарушения кредитного договора (мес,)]-$AA$12)/($AA$13-$AA$12)</f>
        <v>0.17045454545454544</v>
      </c>
      <c r="U423" s="3">
        <f>(Таблица1[Количество кредитных карт]-$AA$18)/($AA$19-$AA$18)</f>
        <v>0.16666666666666666</v>
      </c>
      <c r="V423" s="3">
        <f>(Таблица1[Число нарушений кредитных договоров]-$AA$23)/($AA$24-$AA$23)</f>
        <v>0</v>
      </c>
      <c r="W423" s="3">
        <f>Таблица1[[#This Row],[Годовой доход]]/12</f>
        <v>126734.75</v>
      </c>
      <c r="X423" s="3">
        <f>Таблица1[[#This Row],[Ежемесячный платеж]]/Таблица1[[#This Row],[Ежем доход]]</f>
        <v>0.1439991004834901</v>
      </c>
      <c r="Y423" s="3"/>
      <c r="Z423" s="3"/>
      <c r="AA423" s="3"/>
      <c r="AB423" s="3"/>
    </row>
    <row r="424" spans="1:28" x14ac:dyDescent="0.2">
      <c r="A424">
        <v>853</v>
      </c>
      <c r="B424" t="s">
        <v>894</v>
      </c>
      <c r="C424" t="s">
        <v>18</v>
      </c>
      <c r="D424" t="s">
        <v>19</v>
      </c>
      <c r="E424" t="s">
        <v>32</v>
      </c>
      <c r="F424" t="s">
        <v>21</v>
      </c>
      <c r="G424" t="s">
        <v>25</v>
      </c>
      <c r="H424" s="1">
        <v>145552</v>
      </c>
      <c r="I424" s="3">
        <v>0</v>
      </c>
      <c r="J424" s="3">
        <v>1168044</v>
      </c>
      <c r="K424" s="3">
        <v>10970.22</v>
      </c>
      <c r="L424" s="2">
        <v>23</v>
      </c>
      <c r="M424" s="11">
        <v>35.265240640000002</v>
      </c>
      <c r="N424" s="3">
        <v>17</v>
      </c>
      <c r="O424" s="3">
        <v>194959</v>
      </c>
      <c r="P424" s="3">
        <v>832964</v>
      </c>
      <c r="Q424" s="10">
        <v>0</v>
      </c>
      <c r="R424" s="3">
        <f>(Таблица1[Размер кредита]-$AA$2)/$AA$3</f>
        <v>-0.93394017155701037</v>
      </c>
      <c r="S424" s="3">
        <f>(Таблица1[Кредитный рейтинг]-$AA$7)/($AA$8-$AA$7)</f>
        <v>0</v>
      </c>
      <c r="T424" s="3">
        <f>(Таблица1[Срок с последнего нарушения кредитного договора (мес,)]-$AA$12)/($AA$13-$AA$12)</f>
        <v>0.40074137090909095</v>
      </c>
      <c r="U424" s="3">
        <f>(Таблица1[Количество кредитных карт]-$AA$18)/($AA$19-$AA$18)</f>
        <v>0.38095238095238093</v>
      </c>
      <c r="V424" s="3">
        <f>(Таблица1[Число нарушений кредитных договоров]-$AA$23)/($AA$24-$AA$23)</f>
        <v>0</v>
      </c>
      <c r="W424" s="3">
        <f>Таблица1[[#This Row],[Годовой доход]]/12</f>
        <v>97337</v>
      </c>
      <c r="X424" s="3">
        <f>Таблица1[[#This Row],[Ежемесячный платеж]]/Таблица1[[#This Row],[Ежем доход]]</f>
        <v>0.11270349404645714</v>
      </c>
      <c r="Y424" s="3"/>
      <c r="Z424" s="3"/>
      <c r="AA424" s="3"/>
      <c r="AB424" s="3"/>
    </row>
    <row r="425" spans="1:28" x14ac:dyDescent="0.2">
      <c r="A425">
        <v>1960</v>
      </c>
      <c r="B425" t="s">
        <v>1996</v>
      </c>
      <c r="C425" t="s">
        <v>18</v>
      </c>
      <c r="D425" t="s">
        <v>19</v>
      </c>
      <c r="E425" t="s">
        <v>24</v>
      </c>
      <c r="F425" t="s">
        <v>21</v>
      </c>
      <c r="G425" t="s">
        <v>25</v>
      </c>
      <c r="H425" s="1">
        <v>445104</v>
      </c>
      <c r="I425" s="3">
        <v>672</v>
      </c>
      <c r="J425" s="3">
        <v>2104630</v>
      </c>
      <c r="K425" s="3">
        <v>27851.34</v>
      </c>
      <c r="L425" s="2">
        <v>22.4</v>
      </c>
      <c r="M425" s="11">
        <v>35.265240640000002</v>
      </c>
      <c r="N425" s="3">
        <v>17</v>
      </c>
      <c r="O425" s="3">
        <v>541158</v>
      </c>
      <c r="P425" s="3">
        <v>832128</v>
      </c>
      <c r="Q425" s="10">
        <v>0</v>
      </c>
      <c r="R425" s="3">
        <f>(Таблица1[Размер кредита]-$AA$2)/$AA$3</f>
        <v>0.77149350947373485</v>
      </c>
      <c r="S425" s="3">
        <f>(Таблица1[Кредитный рейтинг]-$AA$7)/($AA$8-$AA$7)</f>
        <v>0.89480692410119844</v>
      </c>
      <c r="T425" s="3">
        <f>(Таблица1[Срок с последнего нарушения кредитного договора (мес,)]-$AA$12)/($AA$13-$AA$12)</f>
        <v>0.40074137090909095</v>
      </c>
      <c r="U425" s="3">
        <f>(Таблица1[Количество кредитных карт]-$AA$18)/($AA$19-$AA$18)</f>
        <v>0.38095238095238093</v>
      </c>
      <c r="V425" s="3">
        <f>(Таблица1[Число нарушений кредитных договоров]-$AA$23)/($AA$24-$AA$23)</f>
        <v>0</v>
      </c>
      <c r="W425" s="3">
        <f>Таблица1[[#This Row],[Годовой доход]]/12</f>
        <v>175385.83333333334</v>
      </c>
      <c r="X425" s="3">
        <f>Таблица1[[#This Row],[Ежемесячный платеж]]/Таблица1[[#This Row],[Ежем доход]]</f>
        <v>0.15880039721946373</v>
      </c>
      <c r="Y425" s="3"/>
      <c r="Z425" s="3"/>
      <c r="AA425" s="3"/>
      <c r="AB425" s="3"/>
    </row>
    <row r="426" spans="1:28" x14ac:dyDescent="0.2">
      <c r="A426">
        <v>1444</v>
      </c>
      <c r="B426" t="s">
        <v>1483</v>
      </c>
      <c r="C426" t="s">
        <v>18</v>
      </c>
      <c r="D426" t="s">
        <v>19</v>
      </c>
      <c r="E426" t="s">
        <v>63</v>
      </c>
      <c r="F426" t="s">
        <v>33</v>
      </c>
      <c r="G426" t="s">
        <v>25</v>
      </c>
      <c r="H426" s="1">
        <v>287034</v>
      </c>
      <c r="I426" s="3">
        <v>0</v>
      </c>
      <c r="J426" s="3">
        <v>1168044</v>
      </c>
      <c r="K426" s="3">
        <v>16331.83</v>
      </c>
      <c r="L426" s="2">
        <v>6.9</v>
      </c>
      <c r="M426" s="11">
        <v>35.265240640000002</v>
      </c>
      <c r="N426" s="3">
        <v>5</v>
      </c>
      <c r="O426" s="3">
        <v>272403</v>
      </c>
      <c r="P426" s="3">
        <v>830060</v>
      </c>
      <c r="Q426" s="10">
        <v>0</v>
      </c>
      <c r="R426" s="3">
        <f>(Таблица1[Размер кредита]-$AA$2)/$AA$3</f>
        <v>-0.1284434028504356</v>
      </c>
      <c r="S426" s="3">
        <f>(Таблица1[Кредитный рейтинг]-$AA$7)/($AA$8-$AA$7)</f>
        <v>0</v>
      </c>
      <c r="T426" s="3">
        <f>(Таблица1[Срок с последнего нарушения кредитного договора (мес,)]-$AA$12)/($AA$13-$AA$12)</f>
        <v>0.40074137090909095</v>
      </c>
      <c r="U426" s="3">
        <f>(Таблица1[Количество кредитных карт]-$AA$18)/($AA$19-$AA$18)</f>
        <v>9.5238095238095233E-2</v>
      </c>
      <c r="V426" s="3">
        <f>(Таблица1[Число нарушений кредитных договоров]-$AA$23)/($AA$24-$AA$23)</f>
        <v>0</v>
      </c>
      <c r="W426" s="3">
        <f>Таблица1[[#This Row],[Годовой доход]]/12</f>
        <v>97337</v>
      </c>
      <c r="X426" s="3">
        <f>Таблица1[[#This Row],[Ежемесячный платеж]]/Таблица1[[#This Row],[Ежем доход]]</f>
        <v>0.16778645325004879</v>
      </c>
      <c r="Y426" s="3"/>
      <c r="Z426" s="3"/>
      <c r="AA426" s="3"/>
      <c r="AB426" s="3"/>
    </row>
    <row r="427" spans="1:28" x14ac:dyDescent="0.2">
      <c r="A427">
        <v>348</v>
      </c>
      <c r="B427" t="s">
        <v>390</v>
      </c>
      <c r="C427" t="s">
        <v>18</v>
      </c>
      <c r="D427" t="s">
        <v>19</v>
      </c>
      <c r="E427" t="s">
        <v>24</v>
      </c>
      <c r="F427" t="s">
        <v>33</v>
      </c>
      <c r="G427" t="s">
        <v>25</v>
      </c>
      <c r="H427" s="1">
        <v>146982</v>
      </c>
      <c r="I427" s="3">
        <v>670</v>
      </c>
      <c r="J427" s="3">
        <v>981578</v>
      </c>
      <c r="K427" s="3">
        <v>25030.22</v>
      </c>
      <c r="L427" s="2">
        <v>22.5</v>
      </c>
      <c r="M427" s="11">
        <v>76</v>
      </c>
      <c r="N427" s="3">
        <v>19</v>
      </c>
      <c r="O427" s="3">
        <v>532589</v>
      </c>
      <c r="P427" s="3">
        <v>828872</v>
      </c>
      <c r="Q427" s="10">
        <v>0</v>
      </c>
      <c r="R427" s="3">
        <f>(Таблица1[Размер кредита]-$AA$2)/$AA$3</f>
        <v>-0.92579877986583836</v>
      </c>
      <c r="S427" s="3">
        <f>(Таблица1[Кредитный рейтинг]-$AA$7)/($AA$8-$AA$7)</f>
        <v>0.89214380825565909</v>
      </c>
      <c r="T427" s="3">
        <f>(Таблица1[Срок с последнего нарушения кредитного договора (мес,)]-$AA$12)/($AA$13-$AA$12)</f>
        <v>0.86363636363636365</v>
      </c>
      <c r="U427" s="3">
        <f>(Таблица1[Количество кредитных карт]-$AA$18)/($AA$19-$AA$18)</f>
        <v>0.42857142857142855</v>
      </c>
      <c r="V427" s="3">
        <f>(Таблица1[Число нарушений кредитных договоров]-$AA$23)/($AA$24-$AA$23)</f>
        <v>0</v>
      </c>
      <c r="W427" s="3">
        <f>Таблица1[[#This Row],[Годовой доход]]/12</f>
        <v>81798.166666666672</v>
      </c>
      <c r="X427" s="3">
        <f>Таблица1[[#This Row],[Ежемесячный платеж]]/Таблица1[[#This Row],[Ежем доход]]</f>
        <v>0.30599976772095544</v>
      </c>
      <c r="Y427" s="3"/>
      <c r="Z427" s="3"/>
      <c r="AA427" s="3"/>
      <c r="AB427" s="3"/>
    </row>
    <row r="428" spans="1:28" x14ac:dyDescent="0.2">
      <c r="A428">
        <v>1309</v>
      </c>
      <c r="B428" t="s">
        <v>1348</v>
      </c>
      <c r="C428" t="s">
        <v>18</v>
      </c>
      <c r="D428" t="s">
        <v>29</v>
      </c>
      <c r="E428" t="s">
        <v>24</v>
      </c>
      <c r="F428" t="s">
        <v>21</v>
      </c>
      <c r="G428" t="s">
        <v>25</v>
      </c>
      <c r="H428" s="1">
        <v>256454</v>
      </c>
      <c r="I428" s="3">
        <v>707</v>
      </c>
      <c r="J428" s="3">
        <v>1045627</v>
      </c>
      <c r="K428" s="3">
        <v>29800.36</v>
      </c>
      <c r="L428" s="2">
        <v>19.5</v>
      </c>
      <c r="M428" s="11">
        <v>35</v>
      </c>
      <c r="N428" s="3">
        <v>18</v>
      </c>
      <c r="O428" s="3">
        <v>347225</v>
      </c>
      <c r="P428" s="3">
        <v>825572</v>
      </c>
      <c r="Q428" s="10">
        <v>0</v>
      </c>
      <c r="R428" s="3">
        <f>(Таблица1[Размер кредита]-$AA$2)/$AA$3</f>
        <v>-0.30254393286165299</v>
      </c>
      <c r="S428" s="3">
        <f>(Таблица1[Кредитный рейтинг]-$AA$7)/($AA$8-$AA$7)</f>
        <v>0.94141145139813587</v>
      </c>
      <c r="T428" s="3">
        <f>(Таблица1[Срок с последнего нарушения кредитного договора (мес,)]-$AA$12)/($AA$13-$AA$12)</f>
        <v>0.39772727272727271</v>
      </c>
      <c r="U428" s="3">
        <f>(Таблица1[Количество кредитных карт]-$AA$18)/($AA$19-$AA$18)</f>
        <v>0.40476190476190477</v>
      </c>
      <c r="V428" s="3">
        <f>(Таблица1[Число нарушений кредитных договоров]-$AA$23)/($AA$24-$AA$23)</f>
        <v>0</v>
      </c>
      <c r="W428" s="3">
        <f>Таблица1[[#This Row],[Годовой доход]]/12</f>
        <v>87135.583333333328</v>
      </c>
      <c r="X428" s="3">
        <f>Таблица1[[#This Row],[Ежемесячный платеж]]/Таблица1[[#This Row],[Ежем доход]]</f>
        <v>0.34199989097450623</v>
      </c>
      <c r="Y428" s="3"/>
      <c r="Z428" s="3"/>
      <c r="AA428" s="3"/>
      <c r="AB428" s="3"/>
    </row>
    <row r="429" spans="1:28" x14ac:dyDescent="0.2">
      <c r="A429">
        <v>1504</v>
      </c>
      <c r="B429" t="s">
        <v>1543</v>
      </c>
      <c r="C429" t="s">
        <v>18</v>
      </c>
      <c r="D429" t="s">
        <v>19</v>
      </c>
      <c r="E429" t="s">
        <v>24</v>
      </c>
      <c r="F429" t="s">
        <v>27</v>
      </c>
      <c r="G429" t="s">
        <v>102</v>
      </c>
      <c r="H429" s="1">
        <v>132374</v>
      </c>
      <c r="I429" s="3">
        <v>0</v>
      </c>
      <c r="J429" s="3">
        <v>1168044</v>
      </c>
      <c r="K429" s="3">
        <v>38903.07</v>
      </c>
      <c r="L429" s="2">
        <v>25.9</v>
      </c>
      <c r="M429" s="11">
        <v>65</v>
      </c>
      <c r="N429" s="3">
        <v>13</v>
      </c>
      <c r="O429" s="3">
        <v>591432</v>
      </c>
      <c r="P429" s="3">
        <v>825088</v>
      </c>
      <c r="Q429" s="10">
        <v>0</v>
      </c>
      <c r="R429" s="3">
        <f>(Таблица1[Размер кредита]-$AA$2)/$AA$3</f>
        <v>-1.0089662272956572</v>
      </c>
      <c r="S429" s="3">
        <f>(Таблица1[Кредитный рейтинг]-$AA$7)/($AA$8-$AA$7)</f>
        <v>0</v>
      </c>
      <c r="T429" s="3">
        <f>(Таблица1[Срок с последнего нарушения кредитного договора (мес,)]-$AA$12)/($AA$13-$AA$12)</f>
        <v>0.73863636363636365</v>
      </c>
      <c r="U429" s="3">
        <f>(Таблица1[Количество кредитных карт]-$AA$18)/($AA$19-$AA$18)</f>
        <v>0.2857142857142857</v>
      </c>
      <c r="V429" s="3">
        <f>(Таблица1[Число нарушений кредитных договоров]-$AA$23)/($AA$24-$AA$23)</f>
        <v>0</v>
      </c>
      <c r="W429" s="3">
        <f>Таблица1[[#This Row],[Годовой доход]]/12</f>
        <v>97337</v>
      </c>
      <c r="X429" s="3">
        <f>Таблица1[[#This Row],[Ежемесячный платеж]]/Таблица1[[#This Row],[Ежем доход]]</f>
        <v>0.39967401912941636</v>
      </c>
      <c r="Y429" s="3"/>
      <c r="Z429" s="3"/>
      <c r="AA429" s="3"/>
      <c r="AB429" s="3"/>
    </row>
    <row r="430" spans="1:28" x14ac:dyDescent="0.2">
      <c r="A430">
        <v>1891</v>
      </c>
      <c r="B430" t="s">
        <v>1927</v>
      </c>
      <c r="C430" t="s">
        <v>18</v>
      </c>
      <c r="D430" t="s">
        <v>19</v>
      </c>
      <c r="E430" t="s">
        <v>20</v>
      </c>
      <c r="F430" t="s">
        <v>33</v>
      </c>
      <c r="G430" t="s">
        <v>25</v>
      </c>
      <c r="H430" s="1">
        <v>620620</v>
      </c>
      <c r="I430" s="3">
        <v>712</v>
      </c>
      <c r="J430" s="3">
        <v>1835058</v>
      </c>
      <c r="K430" s="3">
        <v>27372.92</v>
      </c>
      <c r="L430" s="2">
        <v>16.8</v>
      </c>
      <c r="M430" s="11">
        <v>35.265240640000002</v>
      </c>
      <c r="N430" s="3">
        <v>10</v>
      </c>
      <c r="O430" s="3">
        <v>592800</v>
      </c>
      <c r="P430" s="3">
        <v>825000</v>
      </c>
      <c r="Q430" s="10">
        <v>0</v>
      </c>
      <c r="R430" s="3">
        <f>(Таблица1[Размер кредита]-$AA$2)/$AA$3</f>
        <v>1.770755400430204</v>
      </c>
      <c r="S430" s="3">
        <f>(Таблица1[Кредитный рейтинг]-$AA$7)/($AA$8-$AA$7)</f>
        <v>0.94806924101198398</v>
      </c>
      <c r="T430" s="3">
        <f>(Таблица1[Срок с последнего нарушения кредитного договора (мес,)]-$AA$12)/($AA$13-$AA$12)</f>
        <v>0.40074137090909095</v>
      </c>
      <c r="U430" s="3">
        <f>(Таблица1[Количество кредитных карт]-$AA$18)/($AA$19-$AA$18)</f>
        <v>0.21428571428571427</v>
      </c>
      <c r="V430" s="3">
        <f>(Таблица1[Число нарушений кредитных договоров]-$AA$23)/($AA$24-$AA$23)</f>
        <v>0</v>
      </c>
      <c r="W430" s="3">
        <f>Таблица1[[#This Row],[Годовой доход]]/12</f>
        <v>152921.5</v>
      </c>
      <c r="X430" s="3">
        <f>Таблица1[[#This Row],[Ежемесячный платеж]]/Таблица1[[#This Row],[Ежем доход]]</f>
        <v>0.17899981362986891</v>
      </c>
      <c r="Y430" s="3"/>
      <c r="Z430" s="3"/>
      <c r="AA430" s="3"/>
      <c r="AB430" s="3"/>
    </row>
    <row r="431" spans="1:28" x14ac:dyDescent="0.2">
      <c r="A431">
        <v>718</v>
      </c>
      <c r="B431" t="s">
        <v>759</v>
      </c>
      <c r="C431" t="s">
        <v>18</v>
      </c>
      <c r="D431" t="s">
        <v>29</v>
      </c>
      <c r="E431" t="s">
        <v>20</v>
      </c>
      <c r="F431" t="s">
        <v>21</v>
      </c>
      <c r="G431" t="s">
        <v>25</v>
      </c>
      <c r="H431" s="1">
        <v>698742</v>
      </c>
      <c r="I431" s="3">
        <v>0</v>
      </c>
      <c r="J431" s="3">
        <v>1168044</v>
      </c>
      <c r="K431" s="3">
        <v>22817.29</v>
      </c>
      <c r="L431" s="2">
        <v>14.7</v>
      </c>
      <c r="M431" s="11">
        <v>35.265240640000002</v>
      </c>
      <c r="N431" s="3">
        <v>10</v>
      </c>
      <c r="O431" s="3">
        <v>447317</v>
      </c>
      <c r="P431" s="3">
        <v>824736</v>
      </c>
      <c r="Q431" s="10">
        <v>0</v>
      </c>
      <c r="R431" s="3">
        <f>(Таблица1[Размер кредита]-$AA$2)/$AA$3</f>
        <v>2.2155258911279256</v>
      </c>
      <c r="S431" s="3">
        <f>(Таблица1[Кредитный рейтинг]-$AA$7)/($AA$8-$AA$7)</f>
        <v>0</v>
      </c>
      <c r="T431" s="3">
        <f>(Таблица1[Срок с последнего нарушения кредитного договора (мес,)]-$AA$12)/($AA$13-$AA$12)</f>
        <v>0.40074137090909095</v>
      </c>
      <c r="U431" s="3">
        <f>(Таблица1[Количество кредитных карт]-$AA$18)/($AA$19-$AA$18)</f>
        <v>0.21428571428571427</v>
      </c>
      <c r="V431" s="3">
        <f>(Таблица1[Число нарушений кредитных договоров]-$AA$23)/($AA$24-$AA$23)</f>
        <v>0</v>
      </c>
      <c r="W431" s="3">
        <f>Таблица1[[#This Row],[Годовой доход]]/12</f>
        <v>97337</v>
      </c>
      <c r="X431" s="3">
        <f>Таблица1[[#This Row],[Ежемесячный платеж]]/Таблица1[[#This Row],[Ежем доход]]</f>
        <v>0.23441538161233652</v>
      </c>
      <c r="Y431" s="3"/>
      <c r="Z431" s="3"/>
      <c r="AA431" s="3"/>
      <c r="AB431" s="3"/>
    </row>
    <row r="432" spans="1:28" x14ac:dyDescent="0.2">
      <c r="A432">
        <v>211</v>
      </c>
      <c r="B432" t="s">
        <v>253</v>
      </c>
      <c r="C432" t="s">
        <v>18</v>
      </c>
      <c r="D432" t="s">
        <v>29</v>
      </c>
      <c r="E432" t="s">
        <v>30</v>
      </c>
      <c r="F432" t="s">
        <v>21</v>
      </c>
      <c r="G432" t="s">
        <v>25</v>
      </c>
      <c r="H432" s="1">
        <v>486288</v>
      </c>
      <c r="I432" s="3">
        <v>707</v>
      </c>
      <c r="J432" s="3">
        <v>1654577</v>
      </c>
      <c r="K432" s="3">
        <v>22612.47</v>
      </c>
      <c r="L432" s="2">
        <v>14.9</v>
      </c>
      <c r="M432" s="11">
        <v>14</v>
      </c>
      <c r="N432" s="3">
        <v>18</v>
      </c>
      <c r="O432" s="3">
        <v>407835</v>
      </c>
      <c r="P432" s="3">
        <v>821282</v>
      </c>
      <c r="Q432" s="10">
        <v>0</v>
      </c>
      <c r="R432" s="3">
        <f>(Таблица1[Размер кредита]-$AA$2)/$AA$3</f>
        <v>1.0059655901794895</v>
      </c>
      <c r="S432" s="3">
        <f>(Таблица1[Кредитный рейтинг]-$AA$7)/($AA$8-$AA$7)</f>
        <v>0.94141145139813587</v>
      </c>
      <c r="T432" s="3">
        <f>(Таблица1[Срок с последнего нарушения кредитного договора (мес,)]-$AA$12)/($AA$13-$AA$12)</f>
        <v>0.15909090909090909</v>
      </c>
      <c r="U432" s="3">
        <f>(Таблица1[Количество кредитных карт]-$AA$18)/($AA$19-$AA$18)</f>
        <v>0.40476190476190477</v>
      </c>
      <c r="V432" s="3">
        <f>(Таблица1[Число нарушений кредитных договоров]-$AA$23)/($AA$24-$AA$23)</f>
        <v>0</v>
      </c>
      <c r="W432" s="3">
        <f>Таблица1[[#This Row],[Годовой доход]]/12</f>
        <v>137881.41666666666</v>
      </c>
      <c r="X432" s="3">
        <f>Таблица1[[#This Row],[Ежемесячный платеж]]/Таблица1[[#This Row],[Ежем доход]]</f>
        <v>0.16399940286852774</v>
      </c>
      <c r="Y432" s="3"/>
      <c r="Z432" s="3"/>
      <c r="AA432" s="3"/>
      <c r="AB432" s="3"/>
    </row>
    <row r="433" spans="1:28" x14ac:dyDescent="0.2">
      <c r="A433">
        <v>727</v>
      </c>
      <c r="B433" t="s">
        <v>768</v>
      </c>
      <c r="C433" t="s">
        <v>35</v>
      </c>
      <c r="D433" t="s">
        <v>19</v>
      </c>
      <c r="E433" t="s">
        <v>63</v>
      </c>
      <c r="F433" t="s">
        <v>33</v>
      </c>
      <c r="G433" t="s">
        <v>25</v>
      </c>
      <c r="H433" s="1">
        <v>423214</v>
      </c>
      <c r="I433" s="3">
        <v>718</v>
      </c>
      <c r="J433" s="3">
        <v>1186949</v>
      </c>
      <c r="K433" s="3">
        <v>25222.5</v>
      </c>
      <c r="L433" s="2">
        <v>10.6</v>
      </c>
      <c r="M433" s="11">
        <v>57</v>
      </c>
      <c r="N433" s="3">
        <v>14</v>
      </c>
      <c r="O433" s="3">
        <v>327484</v>
      </c>
      <c r="P433" s="3">
        <v>820754</v>
      </c>
      <c r="Q433" s="10">
        <v>0</v>
      </c>
      <c r="R433" s="3">
        <f>(Таблица1[Размер кредита]-$AA$2)/$AA$3</f>
        <v>0.64686759050887055</v>
      </c>
      <c r="S433" s="3">
        <f>(Таблица1[Кредитный рейтинг]-$AA$7)/($AA$8-$AA$7)</f>
        <v>0.95605858854860182</v>
      </c>
      <c r="T433" s="3">
        <f>(Таблица1[Срок с последнего нарушения кредитного договора (мес,)]-$AA$12)/($AA$13-$AA$12)</f>
        <v>0.64772727272727271</v>
      </c>
      <c r="U433" s="3">
        <f>(Таблица1[Количество кредитных карт]-$AA$18)/($AA$19-$AA$18)</f>
        <v>0.30952380952380953</v>
      </c>
      <c r="V433" s="3">
        <f>(Таблица1[Число нарушений кредитных договоров]-$AA$23)/($AA$24-$AA$23)</f>
        <v>0</v>
      </c>
      <c r="W433" s="3">
        <f>Таблица1[[#This Row],[Годовой доход]]/12</f>
        <v>98912.416666666672</v>
      </c>
      <c r="X433" s="3">
        <f>Таблица1[[#This Row],[Ежемесячный платеж]]/Таблица1[[#This Row],[Ежем доход]]</f>
        <v>0.25499831922011812</v>
      </c>
      <c r="Y433" s="3"/>
      <c r="Z433" s="3"/>
      <c r="AA433" s="3"/>
      <c r="AB433" s="3"/>
    </row>
    <row r="434" spans="1:28" x14ac:dyDescent="0.2">
      <c r="A434">
        <v>1071</v>
      </c>
      <c r="B434" t="s">
        <v>1110</v>
      </c>
      <c r="C434" t="s">
        <v>18</v>
      </c>
      <c r="D434" t="s">
        <v>19</v>
      </c>
      <c r="E434" t="s">
        <v>52</v>
      </c>
      <c r="F434" t="s">
        <v>21</v>
      </c>
      <c r="G434" t="s">
        <v>67</v>
      </c>
      <c r="H434" s="1">
        <v>111496</v>
      </c>
      <c r="I434" s="3">
        <v>741</v>
      </c>
      <c r="J434" s="3">
        <v>1328822</v>
      </c>
      <c r="K434" s="3">
        <v>20264.64</v>
      </c>
      <c r="L434" s="2">
        <v>13.9</v>
      </c>
      <c r="M434" s="11">
        <v>35.265240640000002</v>
      </c>
      <c r="N434" s="3">
        <v>20</v>
      </c>
      <c r="O434" s="3">
        <v>578778</v>
      </c>
      <c r="P434" s="3">
        <v>820270</v>
      </c>
      <c r="Q434" s="10">
        <v>0</v>
      </c>
      <c r="R434" s="3">
        <f>(Таблица1[Размер кредита]-$AA$2)/$AA$3</f>
        <v>-1.127830545986769</v>
      </c>
      <c r="S434" s="3">
        <f>(Таблица1[Кредитный рейтинг]-$AA$7)/($AA$8-$AA$7)</f>
        <v>0.98668442077230356</v>
      </c>
      <c r="T434" s="3">
        <f>(Таблица1[Срок с последнего нарушения кредитного договора (мес,)]-$AA$12)/($AA$13-$AA$12)</f>
        <v>0.40074137090909095</v>
      </c>
      <c r="U434" s="3">
        <f>(Таблица1[Количество кредитных карт]-$AA$18)/($AA$19-$AA$18)</f>
        <v>0.45238095238095238</v>
      </c>
      <c r="V434" s="3">
        <f>(Таблица1[Число нарушений кредитных договоров]-$AA$23)/($AA$24-$AA$23)</f>
        <v>0</v>
      </c>
      <c r="W434" s="3">
        <f>Таблица1[[#This Row],[Годовой доход]]/12</f>
        <v>110735.16666666667</v>
      </c>
      <c r="X434" s="3">
        <f>Таблица1[[#This Row],[Ежемесячный платеж]]/Таблица1[[#This Row],[Ежем доход]]</f>
        <v>0.1830009436929852</v>
      </c>
      <c r="Y434" s="3"/>
      <c r="Z434" s="3"/>
      <c r="AA434" s="3"/>
      <c r="AB434" s="3"/>
    </row>
    <row r="435" spans="1:28" x14ac:dyDescent="0.2">
      <c r="A435">
        <v>311</v>
      </c>
      <c r="B435" t="s">
        <v>353</v>
      </c>
      <c r="C435" t="s">
        <v>18</v>
      </c>
      <c r="D435" t="s">
        <v>29</v>
      </c>
      <c r="E435" t="s">
        <v>37</v>
      </c>
      <c r="F435" t="s">
        <v>33</v>
      </c>
      <c r="G435" t="s">
        <v>25</v>
      </c>
      <c r="H435" s="1">
        <v>268664</v>
      </c>
      <c r="I435" s="3">
        <v>718</v>
      </c>
      <c r="J435" s="3">
        <v>1160178</v>
      </c>
      <c r="K435" s="3">
        <v>16049.11</v>
      </c>
      <c r="L435" s="2">
        <v>13.3</v>
      </c>
      <c r="M435" s="11">
        <v>35.265240640000002</v>
      </c>
      <c r="N435" s="3">
        <v>9</v>
      </c>
      <c r="O435" s="3">
        <v>318839</v>
      </c>
      <c r="P435" s="3">
        <v>818576</v>
      </c>
      <c r="Q435" s="10">
        <v>0</v>
      </c>
      <c r="R435" s="3">
        <f>(Таблица1[Размер кредита]-$AA$2)/$AA$3</f>
        <v>-0.23302897303703018</v>
      </c>
      <c r="S435" s="3">
        <f>(Таблица1[Кредитный рейтинг]-$AA$7)/($AA$8-$AA$7)</f>
        <v>0.95605858854860182</v>
      </c>
      <c r="T435" s="3">
        <f>(Таблица1[Срок с последнего нарушения кредитного договора (мес,)]-$AA$12)/($AA$13-$AA$12)</f>
        <v>0.40074137090909095</v>
      </c>
      <c r="U435" s="3">
        <f>(Таблица1[Количество кредитных карт]-$AA$18)/($AA$19-$AA$18)</f>
        <v>0.19047619047619047</v>
      </c>
      <c r="V435" s="3">
        <f>(Таблица1[Число нарушений кредитных договоров]-$AA$23)/($AA$24-$AA$23)</f>
        <v>0</v>
      </c>
      <c r="W435" s="3">
        <f>Таблица1[[#This Row],[Годовой доход]]/12</f>
        <v>96681.5</v>
      </c>
      <c r="X435" s="3">
        <f>Таблица1[[#This Row],[Ежемесячный платеж]]/Таблица1[[#This Row],[Ежем доход]]</f>
        <v>0.16599980347843177</v>
      </c>
      <c r="Y435" s="3"/>
      <c r="Z435" s="3"/>
      <c r="AA435" s="3"/>
      <c r="AB435" s="3"/>
    </row>
    <row r="436" spans="1:28" x14ac:dyDescent="0.2">
      <c r="A436">
        <v>382</v>
      </c>
      <c r="B436" t="s">
        <v>424</v>
      </c>
      <c r="C436" t="s">
        <v>18</v>
      </c>
      <c r="D436" t="s">
        <v>19</v>
      </c>
      <c r="E436" t="s">
        <v>32</v>
      </c>
      <c r="F436" t="s">
        <v>27</v>
      </c>
      <c r="G436" t="s">
        <v>25</v>
      </c>
      <c r="H436" s="1">
        <v>460350</v>
      </c>
      <c r="I436" s="3">
        <v>736</v>
      </c>
      <c r="J436" s="3">
        <v>888041</v>
      </c>
      <c r="K436" s="3">
        <v>18796.89</v>
      </c>
      <c r="L436" s="2">
        <v>27.2</v>
      </c>
      <c r="M436" s="11">
        <v>35.265240640000002</v>
      </c>
      <c r="N436" s="3">
        <v>9</v>
      </c>
      <c r="O436" s="3">
        <v>547504</v>
      </c>
      <c r="P436" s="3">
        <v>816948</v>
      </c>
      <c r="Q436" s="10">
        <v>0</v>
      </c>
      <c r="R436" s="3">
        <f>(Таблица1[Размер кредита]-$AA$2)/$AA$3</f>
        <v>0.85829327011961509</v>
      </c>
      <c r="S436" s="3">
        <f>(Таблица1[Кредитный рейтинг]-$AA$7)/($AA$8-$AA$7)</f>
        <v>0.98002663115845534</v>
      </c>
      <c r="T436" s="3">
        <f>(Таблица1[Срок с последнего нарушения кредитного договора (мес,)]-$AA$12)/($AA$13-$AA$12)</f>
        <v>0.40074137090909095</v>
      </c>
      <c r="U436" s="3">
        <f>(Таблица1[Количество кредитных карт]-$AA$18)/($AA$19-$AA$18)</f>
        <v>0.19047619047619047</v>
      </c>
      <c r="V436" s="3">
        <f>(Таблица1[Число нарушений кредитных договоров]-$AA$23)/($AA$24-$AA$23)</f>
        <v>0</v>
      </c>
      <c r="W436" s="3">
        <f>Таблица1[[#This Row],[Годовой доход]]/12</f>
        <v>74003.416666666672</v>
      </c>
      <c r="X436" s="3">
        <f>Таблица1[[#This Row],[Ежемесячный платеж]]/Таблица1[[#This Row],[Ежем доход]]</f>
        <v>0.25400029953571962</v>
      </c>
      <c r="Y436" s="3"/>
      <c r="Z436" s="3"/>
      <c r="AA436" s="3"/>
      <c r="AB436" s="3"/>
    </row>
    <row r="437" spans="1:28" x14ac:dyDescent="0.2">
      <c r="A437">
        <v>448</v>
      </c>
      <c r="B437" t="s">
        <v>489</v>
      </c>
      <c r="C437" t="s">
        <v>18</v>
      </c>
      <c r="D437" t="s">
        <v>19</v>
      </c>
      <c r="E437" t="s">
        <v>24</v>
      </c>
      <c r="F437" t="s">
        <v>21</v>
      </c>
      <c r="G437" t="s">
        <v>25</v>
      </c>
      <c r="H437" s="1">
        <v>309594.52439999999</v>
      </c>
      <c r="I437" s="3">
        <v>722</v>
      </c>
      <c r="J437" s="3">
        <v>1450441</v>
      </c>
      <c r="K437" s="3">
        <v>15229.64</v>
      </c>
      <c r="L437" s="2">
        <v>14</v>
      </c>
      <c r="M437" s="11">
        <v>37</v>
      </c>
      <c r="N437" s="3">
        <v>10</v>
      </c>
      <c r="O437" s="3">
        <v>439812</v>
      </c>
      <c r="P437" s="3">
        <v>816134</v>
      </c>
      <c r="Q437" s="10">
        <v>0</v>
      </c>
      <c r="R437" s="3">
        <f>(Таблица1[Размер кредита]-$AA$2)/$AA$3</f>
        <v>-1.2411115481956205E-10</v>
      </c>
      <c r="S437" s="3">
        <f>(Таблица1[Кредитный рейтинг]-$AA$7)/($AA$8-$AA$7)</f>
        <v>0.96138482023968042</v>
      </c>
      <c r="T437" s="3">
        <f>(Таблица1[Срок с последнего нарушения кредитного договора (мес,)]-$AA$12)/($AA$13-$AA$12)</f>
        <v>0.42045454545454547</v>
      </c>
      <c r="U437" s="3">
        <f>(Таблица1[Количество кредитных карт]-$AA$18)/($AA$19-$AA$18)</f>
        <v>0.21428571428571427</v>
      </c>
      <c r="V437" s="3">
        <f>(Таблица1[Число нарушений кредитных договоров]-$AA$23)/($AA$24-$AA$23)</f>
        <v>0</v>
      </c>
      <c r="W437" s="3">
        <f>Таблица1[[#This Row],[Годовой доход]]/12</f>
        <v>120870.08333333333</v>
      </c>
      <c r="X437" s="3">
        <f>Таблица1[[#This Row],[Ежемесячный платеж]]/Таблица1[[#This Row],[Ежем доход]]</f>
        <v>0.12600007859678539</v>
      </c>
      <c r="Y437" s="3"/>
      <c r="Z437" s="3"/>
      <c r="AA437" s="3"/>
      <c r="AB437" s="3"/>
    </row>
    <row r="438" spans="1:28" x14ac:dyDescent="0.2">
      <c r="A438">
        <v>506</v>
      </c>
      <c r="B438" t="s">
        <v>547</v>
      </c>
      <c r="C438" t="s">
        <v>18</v>
      </c>
      <c r="D438" t="s">
        <v>19</v>
      </c>
      <c r="E438" t="s">
        <v>24</v>
      </c>
      <c r="F438" t="s">
        <v>21</v>
      </c>
      <c r="G438" t="s">
        <v>25</v>
      </c>
      <c r="H438" s="1">
        <v>132616</v>
      </c>
      <c r="I438" s="3">
        <v>743</v>
      </c>
      <c r="J438" s="3">
        <v>1527144</v>
      </c>
      <c r="K438" s="3">
        <v>40342.32</v>
      </c>
      <c r="L438" s="2">
        <v>22.4</v>
      </c>
      <c r="M438" s="11">
        <v>25</v>
      </c>
      <c r="N438" s="3">
        <v>16</v>
      </c>
      <c r="O438" s="3">
        <v>159030</v>
      </c>
      <c r="P438" s="3">
        <v>814770</v>
      </c>
      <c r="Q438" s="10">
        <v>0</v>
      </c>
      <c r="R438" s="3">
        <f>(Таблица1[Размер кредита]-$AA$2)/$AA$3</f>
        <v>-1.0075884533171513</v>
      </c>
      <c r="S438" s="3">
        <f>(Таблица1[Кредитный рейтинг]-$AA$7)/($AA$8-$AA$7)</f>
        <v>0.98934753661784292</v>
      </c>
      <c r="T438" s="3">
        <f>(Таблица1[Срок с последнего нарушения кредитного договора (мес,)]-$AA$12)/($AA$13-$AA$12)</f>
        <v>0.28409090909090912</v>
      </c>
      <c r="U438" s="3">
        <f>(Таблица1[Количество кредитных карт]-$AA$18)/($AA$19-$AA$18)</f>
        <v>0.35714285714285715</v>
      </c>
      <c r="V438" s="3">
        <f>(Таблица1[Число нарушений кредитных договоров]-$AA$23)/($AA$24-$AA$23)</f>
        <v>0</v>
      </c>
      <c r="W438" s="3">
        <f>Таблица1[[#This Row],[Годовой доход]]/12</f>
        <v>127262</v>
      </c>
      <c r="X438" s="3">
        <f>Таблица1[[#This Row],[Ежемесячный платеж]]/Таблица1[[#This Row],[Ежем доход]]</f>
        <v>0.31700209017617198</v>
      </c>
      <c r="Y438" s="3"/>
      <c r="Z438" s="3"/>
      <c r="AA438" s="3"/>
      <c r="AB438" s="3"/>
    </row>
    <row r="439" spans="1:28" x14ac:dyDescent="0.2">
      <c r="A439">
        <v>835</v>
      </c>
      <c r="B439" t="s">
        <v>876</v>
      </c>
      <c r="C439" t="s">
        <v>18</v>
      </c>
      <c r="D439" t="s">
        <v>19</v>
      </c>
      <c r="E439" t="s">
        <v>32</v>
      </c>
      <c r="F439" t="s">
        <v>21</v>
      </c>
      <c r="G439" t="s">
        <v>22</v>
      </c>
      <c r="H439" s="1">
        <v>222420</v>
      </c>
      <c r="I439" s="3">
        <v>712</v>
      </c>
      <c r="J439" s="3">
        <v>2723840</v>
      </c>
      <c r="K439" s="3">
        <v>42446.57</v>
      </c>
      <c r="L439" s="2">
        <v>18.3</v>
      </c>
      <c r="M439" s="11">
        <v>68</v>
      </c>
      <c r="N439" s="3">
        <v>17</v>
      </c>
      <c r="O439" s="3">
        <v>563920</v>
      </c>
      <c r="P439" s="3">
        <v>814176</v>
      </c>
      <c r="Q439" s="10">
        <v>0</v>
      </c>
      <c r="R439" s="3">
        <f>(Таблица1[Размер кредита]-$AA$2)/$AA$3</f>
        <v>-0.49630905511154744</v>
      </c>
      <c r="S439" s="3">
        <f>(Таблица1[Кредитный рейтинг]-$AA$7)/($AA$8-$AA$7)</f>
        <v>0.94806924101198398</v>
      </c>
      <c r="T439" s="3">
        <f>(Таблица1[Срок с последнего нарушения кредитного договора (мес,)]-$AA$12)/($AA$13-$AA$12)</f>
        <v>0.77272727272727271</v>
      </c>
      <c r="U439" s="3">
        <f>(Таблица1[Количество кредитных карт]-$AA$18)/($AA$19-$AA$18)</f>
        <v>0.38095238095238093</v>
      </c>
      <c r="V439" s="3">
        <f>(Таблица1[Число нарушений кредитных договоров]-$AA$23)/($AA$24-$AA$23)</f>
        <v>0</v>
      </c>
      <c r="W439" s="3">
        <f>Таблица1[[#This Row],[Годовой доход]]/12</f>
        <v>226986.66666666666</v>
      </c>
      <c r="X439" s="3">
        <f>Таблица1[[#This Row],[Ежемесячный платеж]]/Таблица1[[#This Row],[Ежем доход]]</f>
        <v>0.18700027901785715</v>
      </c>
      <c r="Y439" s="3"/>
      <c r="Z439" s="3"/>
      <c r="AA439" s="3"/>
      <c r="AB439" s="3"/>
    </row>
    <row r="440" spans="1:28" x14ac:dyDescent="0.2">
      <c r="A440">
        <v>360</v>
      </c>
      <c r="B440" t="s">
        <v>402</v>
      </c>
      <c r="C440" t="s">
        <v>18</v>
      </c>
      <c r="D440" t="s">
        <v>19</v>
      </c>
      <c r="E440" t="s">
        <v>47</v>
      </c>
      <c r="F440" t="s">
        <v>33</v>
      </c>
      <c r="G440" t="s">
        <v>25</v>
      </c>
      <c r="H440" s="1">
        <v>657294</v>
      </c>
      <c r="I440" s="3">
        <v>691</v>
      </c>
      <c r="J440" s="3">
        <v>2270652</v>
      </c>
      <c r="K440" s="3">
        <v>24031.01</v>
      </c>
      <c r="L440" s="2">
        <v>11.3</v>
      </c>
      <c r="M440" s="11">
        <v>40</v>
      </c>
      <c r="N440" s="3">
        <v>12</v>
      </c>
      <c r="O440" s="3">
        <v>405327</v>
      </c>
      <c r="P440" s="3">
        <v>811998</v>
      </c>
      <c r="Q440" s="10">
        <v>0</v>
      </c>
      <c r="R440" s="3">
        <f>(Таблица1[Размер кредита]-$AA$2)/$AA$3</f>
        <v>1.9795507842638007</v>
      </c>
      <c r="S440" s="3">
        <f>(Таблица1[Кредитный рейтинг]-$AA$7)/($AA$8-$AA$7)</f>
        <v>0.92010652463382159</v>
      </c>
      <c r="T440" s="3">
        <f>(Таблица1[Срок с последнего нарушения кредитного договора (мес,)]-$AA$12)/($AA$13-$AA$12)</f>
        <v>0.45454545454545453</v>
      </c>
      <c r="U440" s="3">
        <f>(Таблица1[Количество кредитных карт]-$AA$18)/($AA$19-$AA$18)</f>
        <v>0.26190476190476192</v>
      </c>
      <c r="V440" s="3">
        <f>(Таблица1[Число нарушений кредитных договоров]-$AA$23)/($AA$24-$AA$23)</f>
        <v>0</v>
      </c>
      <c r="W440" s="3">
        <f>Таблица1[[#This Row],[Годовой доход]]/12</f>
        <v>189221</v>
      </c>
      <c r="X440" s="3">
        <f>Таблица1[[#This Row],[Ежемесячный платеж]]/Таблица1[[#This Row],[Ежем доход]]</f>
        <v>0.12699969876493622</v>
      </c>
      <c r="Y440" s="3"/>
      <c r="Z440" s="3"/>
      <c r="AA440" s="3"/>
      <c r="AB440" s="3"/>
    </row>
    <row r="441" spans="1:28" x14ac:dyDescent="0.2">
      <c r="A441">
        <v>1423</v>
      </c>
      <c r="B441" t="s">
        <v>1462</v>
      </c>
      <c r="C441" t="s">
        <v>35</v>
      </c>
      <c r="D441" t="s">
        <v>19</v>
      </c>
      <c r="E441" t="s">
        <v>24</v>
      </c>
      <c r="F441" t="s">
        <v>21</v>
      </c>
      <c r="G441" t="s">
        <v>25</v>
      </c>
      <c r="H441" s="1">
        <v>292490</v>
      </c>
      <c r="I441" s="3">
        <v>739</v>
      </c>
      <c r="J441" s="3">
        <v>1029857</v>
      </c>
      <c r="K441" s="3">
        <v>21713.01</v>
      </c>
      <c r="L441" s="2">
        <v>22.1</v>
      </c>
      <c r="M441" s="11">
        <v>31</v>
      </c>
      <c r="N441" s="3">
        <v>15</v>
      </c>
      <c r="O441" s="3">
        <v>387714</v>
      </c>
      <c r="P441" s="3">
        <v>811800</v>
      </c>
      <c r="Q441" s="10">
        <v>0</v>
      </c>
      <c r="R441" s="3">
        <f>(Таблица1[Размер кредита]-$AA$2)/$AA$3</f>
        <v>-9.7380862244117669E-2</v>
      </c>
      <c r="S441" s="3">
        <f>(Таблица1[Кредитный рейтинг]-$AA$7)/($AA$8-$AA$7)</f>
        <v>0.98402130492676432</v>
      </c>
      <c r="T441" s="3">
        <f>(Таблица1[Срок с последнего нарушения кредитного договора (мес,)]-$AA$12)/($AA$13-$AA$12)</f>
        <v>0.35227272727272729</v>
      </c>
      <c r="U441" s="3">
        <f>(Таблица1[Количество кредитных карт]-$AA$18)/($AA$19-$AA$18)</f>
        <v>0.33333333333333331</v>
      </c>
      <c r="V441" s="3">
        <f>(Таблица1[Число нарушений кредитных договоров]-$AA$23)/($AA$24-$AA$23)</f>
        <v>0</v>
      </c>
      <c r="W441" s="3">
        <f>Таблица1[[#This Row],[Годовой доход]]/12</f>
        <v>85821.416666666672</v>
      </c>
      <c r="X441" s="3">
        <f>Таблица1[[#This Row],[Ежемесячный платеж]]/Таблица1[[#This Row],[Ежем доход]]</f>
        <v>0.25300223234876296</v>
      </c>
      <c r="Y441" s="3"/>
      <c r="Z441" s="3"/>
      <c r="AA441" s="3"/>
      <c r="AB441" s="3"/>
    </row>
    <row r="442" spans="1:28" x14ac:dyDescent="0.2">
      <c r="A442">
        <v>921</v>
      </c>
      <c r="B442" t="s">
        <v>962</v>
      </c>
      <c r="C442" t="s">
        <v>35</v>
      </c>
      <c r="D442" t="s">
        <v>29</v>
      </c>
      <c r="E442" t="s">
        <v>20</v>
      </c>
      <c r="F442" t="s">
        <v>21</v>
      </c>
      <c r="G442" t="s">
        <v>25</v>
      </c>
      <c r="H442" s="1">
        <v>519244</v>
      </c>
      <c r="I442" s="3">
        <v>0</v>
      </c>
      <c r="J442" s="3">
        <v>1168044</v>
      </c>
      <c r="K442" s="3">
        <v>20140.57</v>
      </c>
      <c r="L442" s="2">
        <v>20</v>
      </c>
      <c r="M442" s="11">
        <v>48</v>
      </c>
      <c r="N442" s="3">
        <v>8</v>
      </c>
      <c r="O442" s="3">
        <v>414238</v>
      </c>
      <c r="P442" s="3">
        <v>811580</v>
      </c>
      <c r="Q442" s="10">
        <v>1</v>
      </c>
      <c r="R442" s="3">
        <f>(Таблица1[Размер кредита]-$AA$2)/$AA$3</f>
        <v>1.1935933556160387</v>
      </c>
      <c r="S442" s="3">
        <f>(Таблица1[Кредитный рейтинг]-$AA$7)/($AA$8-$AA$7)</f>
        <v>0</v>
      </c>
      <c r="T442" s="3">
        <f>(Таблица1[Срок с последнего нарушения кредитного договора (мес,)]-$AA$12)/($AA$13-$AA$12)</f>
        <v>0.54545454545454541</v>
      </c>
      <c r="U442" s="3">
        <f>(Таблица1[Количество кредитных карт]-$AA$18)/($AA$19-$AA$18)</f>
        <v>0.16666666666666666</v>
      </c>
      <c r="V442" s="3">
        <f>(Таблица1[Число нарушений кредитных договоров]-$AA$23)/($AA$24-$AA$23)</f>
        <v>0.14285714285714285</v>
      </c>
      <c r="W442" s="3">
        <f>Таблица1[[#This Row],[Годовой доход]]/12</f>
        <v>97337</v>
      </c>
      <c r="X442" s="3">
        <f>Таблица1[[#This Row],[Ежемесячный платеж]]/Таблица1[[#This Row],[Ежем доход]]</f>
        <v>0.20691586960765176</v>
      </c>
      <c r="Y442" s="3"/>
      <c r="Z442" s="3"/>
      <c r="AA442" s="3"/>
      <c r="AB442" s="3"/>
    </row>
    <row r="443" spans="1:28" x14ac:dyDescent="0.2">
      <c r="A443">
        <v>1837</v>
      </c>
      <c r="B443" t="s">
        <v>1874</v>
      </c>
      <c r="C443" t="s">
        <v>18</v>
      </c>
      <c r="D443" t="s">
        <v>29</v>
      </c>
      <c r="E443" t="s">
        <v>24</v>
      </c>
      <c r="F443" t="s">
        <v>21</v>
      </c>
      <c r="G443" t="s">
        <v>25</v>
      </c>
      <c r="H443" s="1">
        <v>420244</v>
      </c>
      <c r="I443" s="3">
        <v>703</v>
      </c>
      <c r="J443" s="3">
        <v>728707</v>
      </c>
      <c r="K443" s="3">
        <v>15424.2</v>
      </c>
      <c r="L443" s="2">
        <v>37.1</v>
      </c>
      <c r="M443" s="11">
        <v>3</v>
      </c>
      <c r="N443" s="3">
        <v>13</v>
      </c>
      <c r="O443" s="3">
        <v>341335</v>
      </c>
      <c r="P443" s="3">
        <v>811558</v>
      </c>
      <c r="Q443" s="10">
        <v>0</v>
      </c>
      <c r="R443" s="3">
        <f>(Таблица1[Размер кредита]-$AA$2)/$AA$3</f>
        <v>0.6299585462272056</v>
      </c>
      <c r="S443" s="3">
        <f>(Таблица1[Кредитный рейтинг]-$AA$7)/($AA$8-$AA$7)</f>
        <v>0.93608521970705727</v>
      </c>
      <c r="T443" s="3">
        <f>(Таблица1[Срок с последнего нарушения кредитного договора (мес,)]-$AA$12)/($AA$13-$AA$12)</f>
        <v>3.4090909090909088E-2</v>
      </c>
      <c r="U443" s="3">
        <f>(Таблица1[Количество кредитных карт]-$AA$18)/($AA$19-$AA$18)</f>
        <v>0.2857142857142857</v>
      </c>
      <c r="V443" s="3">
        <f>(Таблица1[Число нарушений кредитных договоров]-$AA$23)/($AA$24-$AA$23)</f>
        <v>0</v>
      </c>
      <c r="W443" s="3">
        <f>Таблица1[[#This Row],[Годовой доход]]/12</f>
        <v>60725.583333333336</v>
      </c>
      <c r="X443" s="3">
        <f>Таблица1[[#This Row],[Ежемесячный платеж]]/Таблица1[[#This Row],[Ежем доход]]</f>
        <v>0.25399838343806219</v>
      </c>
      <c r="Y443" s="3"/>
      <c r="Z443" s="3"/>
      <c r="AA443" s="3"/>
      <c r="AB443" s="3"/>
    </row>
    <row r="444" spans="1:28" x14ac:dyDescent="0.2">
      <c r="A444">
        <v>1882</v>
      </c>
      <c r="B444" t="s">
        <v>1918</v>
      </c>
      <c r="C444" t="s">
        <v>18</v>
      </c>
      <c r="D444" t="s">
        <v>19</v>
      </c>
      <c r="E444" t="s">
        <v>32</v>
      </c>
      <c r="F444" t="s">
        <v>33</v>
      </c>
      <c r="G444" t="s">
        <v>25</v>
      </c>
      <c r="H444" s="1">
        <v>199914</v>
      </c>
      <c r="I444" s="3">
        <v>0</v>
      </c>
      <c r="J444" s="3">
        <v>1168044</v>
      </c>
      <c r="K444" s="3">
        <v>10356.33</v>
      </c>
      <c r="L444" s="2">
        <v>12.4</v>
      </c>
      <c r="M444" s="11">
        <v>35.265240640000002</v>
      </c>
      <c r="N444" s="3">
        <v>7</v>
      </c>
      <c r="O444" s="3">
        <v>274512</v>
      </c>
      <c r="P444" s="3">
        <v>810854</v>
      </c>
      <c r="Q444" s="10">
        <v>0</v>
      </c>
      <c r="R444" s="3">
        <f>(Таблица1[Размер кредита]-$AA$2)/$AA$3</f>
        <v>-0.62444203511260887</v>
      </c>
      <c r="S444" s="3">
        <f>(Таблица1[Кредитный рейтинг]-$AA$7)/($AA$8-$AA$7)</f>
        <v>0</v>
      </c>
      <c r="T444" s="3">
        <f>(Таблица1[Срок с последнего нарушения кредитного договора (мес,)]-$AA$12)/($AA$13-$AA$12)</f>
        <v>0.40074137090909095</v>
      </c>
      <c r="U444" s="3">
        <f>(Таблица1[Количество кредитных карт]-$AA$18)/($AA$19-$AA$18)</f>
        <v>0.14285714285714285</v>
      </c>
      <c r="V444" s="3">
        <f>(Таблица1[Число нарушений кредитных договоров]-$AA$23)/($AA$24-$AA$23)</f>
        <v>0</v>
      </c>
      <c r="W444" s="3">
        <f>Таблица1[[#This Row],[Годовой доход]]/12</f>
        <v>97337</v>
      </c>
      <c r="X444" s="3">
        <f>Таблица1[[#This Row],[Ежемесячный платеж]]/Таблица1[[#This Row],[Ежем доход]]</f>
        <v>0.10639664259223111</v>
      </c>
      <c r="Y444" s="3"/>
      <c r="Z444" s="3"/>
      <c r="AA444" s="3"/>
      <c r="AB444" s="3"/>
    </row>
    <row r="445" spans="1:28" x14ac:dyDescent="0.2">
      <c r="A445">
        <v>708</v>
      </c>
      <c r="B445" t="s">
        <v>749</v>
      </c>
      <c r="C445" t="s">
        <v>18</v>
      </c>
      <c r="D445" t="s">
        <v>19</v>
      </c>
      <c r="E445" t="s">
        <v>24</v>
      </c>
      <c r="F445" t="s">
        <v>21</v>
      </c>
      <c r="G445" t="s">
        <v>25</v>
      </c>
      <c r="H445" s="1">
        <v>394548</v>
      </c>
      <c r="I445" s="3">
        <v>0</v>
      </c>
      <c r="J445" s="3">
        <v>1168044</v>
      </c>
      <c r="K445" s="3">
        <v>30443.13</v>
      </c>
      <c r="L445" s="2">
        <v>20.100000000000001</v>
      </c>
      <c r="M445" s="11">
        <v>23</v>
      </c>
      <c r="N445" s="3">
        <v>12</v>
      </c>
      <c r="O445" s="3">
        <v>357523</v>
      </c>
      <c r="P445" s="3">
        <v>810128</v>
      </c>
      <c r="Q445" s="10">
        <v>0</v>
      </c>
      <c r="R445" s="3">
        <f>(Таблица1[Размер кредита]-$AA$2)/$AA$3</f>
        <v>0.48366400014583733</v>
      </c>
      <c r="S445" s="3">
        <f>(Таблица1[Кредитный рейтинг]-$AA$7)/($AA$8-$AA$7)</f>
        <v>0</v>
      </c>
      <c r="T445" s="3">
        <f>(Таблица1[Срок с последнего нарушения кредитного договора (мес,)]-$AA$12)/($AA$13-$AA$12)</f>
        <v>0.26136363636363635</v>
      </c>
      <c r="U445" s="3">
        <f>(Таблица1[Количество кредитных карт]-$AA$18)/($AA$19-$AA$18)</f>
        <v>0.26190476190476192</v>
      </c>
      <c r="V445" s="3">
        <f>(Таблица1[Число нарушений кредитных договоров]-$AA$23)/($AA$24-$AA$23)</f>
        <v>0</v>
      </c>
      <c r="W445" s="3">
        <f>Таблица1[[#This Row],[Годовой доход]]/12</f>
        <v>97337</v>
      </c>
      <c r="X445" s="3">
        <f>Таблица1[[#This Row],[Ежемесячный платеж]]/Таблица1[[#This Row],[Ежем доход]]</f>
        <v>0.31276010150302558</v>
      </c>
      <c r="Y445" s="3"/>
      <c r="Z445" s="3"/>
      <c r="AA445" s="3"/>
      <c r="AB445" s="3"/>
    </row>
    <row r="446" spans="1:28" x14ac:dyDescent="0.2">
      <c r="A446">
        <v>1209</v>
      </c>
      <c r="B446" t="s">
        <v>1248</v>
      </c>
      <c r="C446" t="s">
        <v>18</v>
      </c>
      <c r="D446" t="s">
        <v>19</v>
      </c>
      <c r="E446" t="s">
        <v>47</v>
      </c>
      <c r="F446" t="s">
        <v>21</v>
      </c>
      <c r="G446" t="s">
        <v>25</v>
      </c>
      <c r="H446" s="1">
        <v>175010</v>
      </c>
      <c r="I446" s="3">
        <v>0</v>
      </c>
      <c r="J446" s="3">
        <v>1168044</v>
      </c>
      <c r="K446" s="3">
        <v>23390.33</v>
      </c>
      <c r="L446" s="2">
        <v>24</v>
      </c>
      <c r="M446" s="11">
        <v>59</v>
      </c>
      <c r="N446" s="3">
        <v>10</v>
      </c>
      <c r="O446" s="3">
        <v>677521</v>
      </c>
      <c r="P446" s="3">
        <v>809600</v>
      </c>
      <c r="Q446" s="10">
        <v>0</v>
      </c>
      <c r="R446" s="3">
        <f>(Таблица1[Размер кредита]-$AA$2)/$AA$3</f>
        <v>-0.76622750271886642</v>
      </c>
      <c r="S446" s="3">
        <f>(Таблица1[Кредитный рейтинг]-$AA$7)/($AA$8-$AA$7)</f>
        <v>0</v>
      </c>
      <c r="T446" s="3">
        <f>(Таблица1[Срок с последнего нарушения кредитного договора (мес,)]-$AA$12)/($AA$13-$AA$12)</f>
        <v>0.67045454545454541</v>
      </c>
      <c r="U446" s="3">
        <f>(Таблица1[Количество кредитных карт]-$AA$18)/($AA$19-$AA$18)</f>
        <v>0.21428571428571427</v>
      </c>
      <c r="V446" s="3">
        <f>(Таблица1[Число нарушений кредитных договоров]-$AA$23)/($AA$24-$AA$23)</f>
        <v>0</v>
      </c>
      <c r="W446" s="3">
        <f>Таблица1[[#This Row],[Годовой доход]]/12</f>
        <v>97337</v>
      </c>
      <c r="X446" s="3">
        <f>Таблица1[[#This Row],[Ежемесячный платеж]]/Таблица1[[#This Row],[Ежем доход]]</f>
        <v>0.2403025570954519</v>
      </c>
      <c r="Y446" s="3"/>
      <c r="Z446" s="3"/>
      <c r="AA446" s="3"/>
      <c r="AB446" s="3"/>
    </row>
    <row r="447" spans="1:28" x14ac:dyDescent="0.2">
      <c r="A447">
        <v>1034</v>
      </c>
      <c r="B447" t="s">
        <v>1073</v>
      </c>
      <c r="C447" t="s">
        <v>18</v>
      </c>
      <c r="D447" t="s">
        <v>19</v>
      </c>
      <c r="E447" t="s">
        <v>24</v>
      </c>
      <c r="F447" t="s">
        <v>33</v>
      </c>
      <c r="G447" t="s">
        <v>25</v>
      </c>
      <c r="H447" s="1">
        <v>309594.52439999999</v>
      </c>
      <c r="I447" s="3">
        <v>740</v>
      </c>
      <c r="J447" s="3">
        <v>2128152</v>
      </c>
      <c r="K447" s="3">
        <v>43449.77</v>
      </c>
      <c r="L447" s="2">
        <v>28.6</v>
      </c>
      <c r="M447" s="11">
        <v>35.265240640000002</v>
      </c>
      <c r="N447" s="3">
        <v>8</v>
      </c>
      <c r="O447" s="3">
        <v>521759</v>
      </c>
      <c r="P447" s="3">
        <v>808764</v>
      </c>
      <c r="Q447" s="10">
        <v>0</v>
      </c>
      <c r="R447" s="3">
        <f>(Таблица1[Размер кредита]-$AA$2)/$AA$3</f>
        <v>-1.2411115481956205E-10</v>
      </c>
      <c r="S447" s="3">
        <f>(Таблица1[Кредитный рейтинг]-$AA$7)/($AA$8-$AA$7)</f>
        <v>0.98535286284953394</v>
      </c>
      <c r="T447" s="3">
        <f>(Таблица1[Срок с последнего нарушения кредитного договора (мес,)]-$AA$12)/($AA$13-$AA$12)</f>
        <v>0.40074137090909095</v>
      </c>
      <c r="U447" s="3">
        <f>(Таблица1[Количество кредитных карт]-$AA$18)/($AA$19-$AA$18)</f>
        <v>0.16666666666666666</v>
      </c>
      <c r="V447" s="3">
        <f>(Таблица1[Число нарушений кредитных договоров]-$AA$23)/($AA$24-$AA$23)</f>
        <v>0</v>
      </c>
      <c r="W447" s="3">
        <f>Таблица1[[#This Row],[Годовой доход]]/12</f>
        <v>177346</v>
      </c>
      <c r="X447" s="3">
        <f>Таблица1[[#This Row],[Ежемесячный платеж]]/Таблица1[[#This Row],[Ежем доход]]</f>
        <v>0.245</v>
      </c>
      <c r="Y447" s="3"/>
      <c r="Z447" s="3"/>
      <c r="AA447" s="3"/>
      <c r="AB447" s="3"/>
    </row>
    <row r="448" spans="1:28" x14ac:dyDescent="0.2">
      <c r="A448">
        <v>1563</v>
      </c>
      <c r="B448" t="s">
        <v>1602</v>
      </c>
      <c r="C448" t="s">
        <v>18</v>
      </c>
      <c r="D448" t="s">
        <v>29</v>
      </c>
      <c r="E448" t="s">
        <v>30</v>
      </c>
      <c r="F448" t="s">
        <v>33</v>
      </c>
      <c r="G448" t="s">
        <v>25</v>
      </c>
      <c r="H448" s="1">
        <v>309594.52439999999</v>
      </c>
      <c r="I448" s="3">
        <v>684</v>
      </c>
      <c r="J448" s="3">
        <v>1239446</v>
      </c>
      <c r="K448" s="3">
        <v>30159.84</v>
      </c>
      <c r="L448" s="2">
        <v>8</v>
      </c>
      <c r="M448" s="11">
        <v>35.265240640000002</v>
      </c>
      <c r="N448" s="3">
        <v>13</v>
      </c>
      <c r="O448" s="3">
        <v>287736</v>
      </c>
      <c r="P448" s="3">
        <v>808676</v>
      </c>
      <c r="Q448" s="10">
        <v>0</v>
      </c>
      <c r="R448" s="3">
        <f>(Таблица1[Размер кредита]-$AA$2)/$AA$3</f>
        <v>-1.2411115481956205E-10</v>
      </c>
      <c r="S448" s="3">
        <f>(Таблица1[Кредитный рейтинг]-$AA$7)/($AA$8-$AA$7)</f>
        <v>0.91078561917443412</v>
      </c>
      <c r="T448" s="3">
        <f>(Таблица1[Срок с последнего нарушения кредитного договора (мес,)]-$AA$12)/($AA$13-$AA$12)</f>
        <v>0.40074137090909095</v>
      </c>
      <c r="U448" s="3">
        <f>(Таблица1[Количество кредитных карт]-$AA$18)/($AA$19-$AA$18)</f>
        <v>0.2857142857142857</v>
      </c>
      <c r="V448" s="3">
        <f>(Таблица1[Число нарушений кредитных договоров]-$AA$23)/($AA$24-$AA$23)</f>
        <v>0</v>
      </c>
      <c r="W448" s="3">
        <f>Таблица1[[#This Row],[Годовой доход]]/12</f>
        <v>103287.16666666667</v>
      </c>
      <c r="X448" s="3">
        <f>Таблица1[[#This Row],[Ежемесячный платеж]]/Таблица1[[#This Row],[Ежем доход]]</f>
        <v>0.29199987736456445</v>
      </c>
      <c r="Y448" s="3"/>
      <c r="Z448" s="3"/>
      <c r="AA448" s="3"/>
      <c r="AB448" s="3"/>
    </row>
    <row r="449" spans="1:28" x14ac:dyDescent="0.2">
      <c r="A449">
        <v>1632</v>
      </c>
      <c r="B449" t="s">
        <v>1670</v>
      </c>
      <c r="C449" t="s">
        <v>18</v>
      </c>
      <c r="D449" t="s">
        <v>19</v>
      </c>
      <c r="E449" t="s">
        <v>41</v>
      </c>
      <c r="F449" t="s">
        <v>21</v>
      </c>
      <c r="G449" t="s">
        <v>67</v>
      </c>
      <c r="H449" s="1">
        <v>314688</v>
      </c>
      <c r="I449" s="3">
        <v>0</v>
      </c>
      <c r="J449" s="3">
        <v>1168044</v>
      </c>
      <c r="K449" s="3">
        <v>8736.01</v>
      </c>
      <c r="L449" s="2">
        <v>18.600000000000001</v>
      </c>
      <c r="M449" s="11">
        <v>35.265240640000002</v>
      </c>
      <c r="N449" s="3">
        <v>13</v>
      </c>
      <c r="O449" s="3">
        <v>188480</v>
      </c>
      <c r="P449" s="3">
        <v>808258</v>
      </c>
      <c r="Q449" s="10">
        <v>0</v>
      </c>
      <c r="R449" s="3">
        <f>(Таблица1[Размер кредита]-$AA$2)/$AA$3</f>
        <v>2.8998587238845169E-2</v>
      </c>
      <c r="S449" s="3">
        <f>(Таблица1[Кредитный рейтинг]-$AA$7)/($AA$8-$AA$7)</f>
        <v>0</v>
      </c>
      <c r="T449" s="3">
        <f>(Таблица1[Срок с последнего нарушения кредитного договора (мес,)]-$AA$12)/($AA$13-$AA$12)</f>
        <v>0.40074137090909095</v>
      </c>
      <c r="U449" s="3">
        <f>(Таблица1[Количество кредитных карт]-$AA$18)/($AA$19-$AA$18)</f>
        <v>0.2857142857142857</v>
      </c>
      <c r="V449" s="3">
        <f>(Таблица1[Число нарушений кредитных договоров]-$AA$23)/($AA$24-$AA$23)</f>
        <v>0</v>
      </c>
      <c r="W449" s="3">
        <f>Таблица1[[#This Row],[Годовой доход]]/12</f>
        <v>97337</v>
      </c>
      <c r="X449" s="3">
        <f>Таблица1[[#This Row],[Ежемесячный платеж]]/Таблица1[[#This Row],[Ежем доход]]</f>
        <v>8.9750146398594577E-2</v>
      </c>
      <c r="Y449" s="3"/>
      <c r="Z449" s="3"/>
      <c r="AA449" s="3"/>
      <c r="AB449" s="3"/>
    </row>
    <row r="450" spans="1:28" x14ac:dyDescent="0.2">
      <c r="A450">
        <v>819</v>
      </c>
      <c r="B450" t="s">
        <v>860</v>
      </c>
      <c r="C450" t="s">
        <v>18</v>
      </c>
      <c r="D450" t="s">
        <v>29</v>
      </c>
      <c r="E450" t="s">
        <v>37</v>
      </c>
      <c r="F450" t="s">
        <v>33</v>
      </c>
      <c r="G450" t="s">
        <v>25</v>
      </c>
      <c r="H450" s="1">
        <v>768856</v>
      </c>
      <c r="I450" s="3">
        <v>0</v>
      </c>
      <c r="J450" s="3">
        <v>1168044</v>
      </c>
      <c r="K450" s="3">
        <v>59285.89</v>
      </c>
      <c r="L450" s="2">
        <v>11.4</v>
      </c>
      <c r="M450" s="11">
        <v>35.265240640000002</v>
      </c>
      <c r="N450" s="3">
        <v>20</v>
      </c>
      <c r="O450" s="3">
        <v>408082</v>
      </c>
      <c r="P450" s="3">
        <v>806322</v>
      </c>
      <c r="Q450" s="10">
        <v>0</v>
      </c>
      <c r="R450" s="3">
        <f>(Таблица1[Размер кредита]-$AA$2)/$AA$3</f>
        <v>2.6147045883550839</v>
      </c>
      <c r="S450" s="3">
        <f>(Таблица1[Кредитный рейтинг]-$AA$7)/($AA$8-$AA$7)</f>
        <v>0</v>
      </c>
      <c r="T450" s="3">
        <f>(Таблица1[Срок с последнего нарушения кредитного договора (мес,)]-$AA$12)/($AA$13-$AA$12)</f>
        <v>0.40074137090909095</v>
      </c>
      <c r="U450" s="3">
        <f>(Таблица1[Количество кредитных карт]-$AA$18)/($AA$19-$AA$18)</f>
        <v>0.45238095238095238</v>
      </c>
      <c r="V450" s="3">
        <f>(Таблица1[Число нарушений кредитных договоров]-$AA$23)/($AA$24-$AA$23)</f>
        <v>0</v>
      </c>
      <c r="W450" s="3">
        <f>Таблица1[[#This Row],[Годовой доход]]/12</f>
        <v>97337</v>
      </c>
      <c r="X450" s="3">
        <f>Таблица1[[#This Row],[Ежемесячный платеж]]/Таблица1[[#This Row],[Ежем доход]]</f>
        <v>0.60907866484481743</v>
      </c>
      <c r="Y450" s="3"/>
      <c r="Z450" s="3"/>
      <c r="AA450" s="3"/>
      <c r="AB450" s="3"/>
    </row>
    <row r="451" spans="1:28" x14ac:dyDescent="0.2">
      <c r="A451">
        <v>659</v>
      </c>
      <c r="B451" t="s">
        <v>700</v>
      </c>
      <c r="C451" t="s">
        <v>18</v>
      </c>
      <c r="D451" t="s">
        <v>19</v>
      </c>
      <c r="E451" t="s">
        <v>20</v>
      </c>
      <c r="F451" t="s">
        <v>33</v>
      </c>
      <c r="G451" t="s">
        <v>25</v>
      </c>
      <c r="H451" s="1">
        <v>309594.52439999999</v>
      </c>
      <c r="I451" s="3">
        <v>736</v>
      </c>
      <c r="J451" s="3">
        <v>494247</v>
      </c>
      <c r="K451" s="3">
        <v>11738.39</v>
      </c>
      <c r="L451" s="2">
        <v>17.100000000000001</v>
      </c>
      <c r="M451" s="11">
        <v>35.265240640000002</v>
      </c>
      <c r="N451" s="3">
        <v>19</v>
      </c>
      <c r="O451" s="3">
        <v>229216</v>
      </c>
      <c r="P451" s="3">
        <v>804254</v>
      </c>
      <c r="Q451" s="10">
        <v>0</v>
      </c>
      <c r="R451" s="3">
        <f>(Таблица1[Размер кредита]-$AA$2)/$AA$3</f>
        <v>-1.2411115481956205E-10</v>
      </c>
      <c r="S451" s="3">
        <f>(Таблица1[Кредитный рейтинг]-$AA$7)/($AA$8-$AA$7)</f>
        <v>0.98002663115845534</v>
      </c>
      <c r="T451" s="3">
        <f>(Таблица1[Срок с последнего нарушения кредитного договора (мес,)]-$AA$12)/($AA$13-$AA$12)</f>
        <v>0.40074137090909095</v>
      </c>
      <c r="U451" s="3">
        <f>(Таблица1[Количество кредитных карт]-$AA$18)/($AA$19-$AA$18)</f>
        <v>0.42857142857142855</v>
      </c>
      <c r="V451" s="3">
        <f>(Таблица1[Число нарушений кредитных договоров]-$AA$23)/($AA$24-$AA$23)</f>
        <v>0</v>
      </c>
      <c r="W451" s="3">
        <f>Таблица1[[#This Row],[Годовой доход]]/12</f>
        <v>41187.25</v>
      </c>
      <c r="X451" s="3">
        <f>Таблица1[[#This Row],[Ежемесячный платеж]]/Таблица1[[#This Row],[Ежем доход]]</f>
        <v>0.28500057663475953</v>
      </c>
      <c r="Y451" s="3"/>
      <c r="Z451" s="3"/>
      <c r="AA451" s="3"/>
      <c r="AB451" s="3"/>
    </row>
    <row r="452" spans="1:28" x14ac:dyDescent="0.2">
      <c r="A452">
        <v>1740</v>
      </c>
      <c r="B452" t="s">
        <v>1778</v>
      </c>
      <c r="C452" t="s">
        <v>35</v>
      </c>
      <c r="D452" t="s">
        <v>29</v>
      </c>
      <c r="E452" t="s">
        <v>63</v>
      </c>
      <c r="F452" t="s">
        <v>27</v>
      </c>
      <c r="G452" t="s">
        <v>25</v>
      </c>
      <c r="H452" s="1">
        <v>622974</v>
      </c>
      <c r="I452" s="3">
        <v>0</v>
      </c>
      <c r="J452" s="3">
        <v>1168044</v>
      </c>
      <c r="K452" s="3">
        <v>40069.480000000003</v>
      </c>
      <c r="L452" s="2">
        <v>21.8</v>
      </c>
      <c r="M452" s="11">
        <v>48</v>
      </c>
      <c r="N452" s="3">
        <v>19</v>
      </c>
      <c r="O452" s="3">
        <v>594548</v>
      </c>
      <c r="P452" s="3">
        <v>804232</v>
      </c>
      <c r="Q452" s="10">
        <v>0</v>
      </c>
      <c r="R452" s="3">
        <f>(Таблица1[Размер кредита]-$AA$2)/$AA$3</f>
        <v>1.7841573836756719</v>
      </c>
      <c r="S452" s="3">
        <f>(Таблица1[Кредитный рейтинг]-$AA$7)/($AA$8-$AA$7)</f>
        <v>0</v>
      </c>
      <c r="T452" s="3">
        <f>(Таблица1[Срок с последнего нарушения кредитного договора (мес,)]-$AA$12)/($AA$13-$AA$12)</f>
        <v>0.54545454545454541</v>
      </c>
      <c r="U452" s="3">
        <f>(Таблица1[Количество кредитных карт]-$AA$18)/($AA$19-$AA$18)</f>
        <v>0.42857142857142855</v>
      </c>
      <c r="V452" s="3">
        <f>(Таблица1[Число нарушений кредитных договоров]-$AA$23)/($AA$24-$AA$23)</f>
        <v>0</v>
      </c>
      <c r="W452" s="3">
        <f>Таблица1[[#This Row],[Годовой доход]]/12</f>
        <v>97337</v>
      </c>
      <c r="X452" s="3">
        <f>Таблица1[[#This Row],[Ежемесячный платеж]]/Таблица1[[#This Row],[Ежем доход]]</f>
        <v>0.41165723209057198</v>
      </c>
      <c r="Y452" s="3"/>
      <c r="Z452" s="3"/>
      <c r="AA452" s="3"/>
      <c r="AB452" s="3"/>
    </row>
    <row r="453" spans="1:28" x14ac:dyDescent="0.2">
      <c r="A453">
        <v>20</v>
      </c>
      <c r="B453" t="s">
        <v>55</v>
      </c>
      <c r="C453" t="s">
        <v>18</v>
      </c>
      <c r="D453" t="s">
        <v>19</v>
      </c>
      <c r="E453" t="s">
        <v>20</v>
      </c>
      <c r="F453" t="s">
        <v>21</v>
      </c>
      <c r="G453" t="s">
        <v>22</v>
      </c>
      <c r="H453" s="1">
        <v>390390</v>
      </c>
      <c r="I453" s="3">
        <v>747</v>
      </c>
      <c r="J453" s="3">
        <v>1791738</v>
      </c>
      <c r="K453" s="3">
        <v>2478.5500000000002</v>
      </c>
      <c r="L453" s="2">
        <v>22.7</v>
      </c>
      <c r="M453" s="11">
        <v>35.265240640000002</v>
      </c>
      <c r="N453" s="3">
        <v>6</v>
      </c>
      <c r="O453" s="3">
        <v>121182</v>
      </c>
      <c r="P453" s="3">
        <v>801812</v>
      </c>
      <c r="Q453" s="10">
        <v>0</v>
      </c>
      <c r="R453" s="3">
        <f>(Таблица1[Размер кредита]-$AA$2)/$AA$3</f>
        <v>0.45999133815150633</v>
      </c>
      <c r="S453" s="3">
        <f>(Таблица1[Кредитный рейтинг]-$AA$7)/($AA$8-$AA$7)</f>
        <v>0.9946737683089214</v>
      </c>
      <c r="T453" s="3">
        <f>(Таблица1[Срок с последнего нарушения кредитного договора (мес,)]-$AA$12)/($AA$13-$AA$12)</f>
        <v>0.40074137090909095</v>
      </c>
      <c r="U453" s="3">
        <f>(Таблица1[Количество кредитных карт]-$AA$18)/($AA$19-$AA$18)</f>
        <v>0.11904761904761904</v>
      </c>
      <c r="V453" s="3">
        <f>(Таблица1[Число нарушений кредитных договоров]-$AA$23)/($AA$24-$AA$23)</f>
        <v>0</v>
      </c>
      <c r="W453" s="3">
        <f>Таблица1[[#This Row],[Годовой доход]]/12</f>
        <v>149311.5</v>
      </c>
      <c r="X453" s="3">
        <f>Таблица1[[#This Row],[Ежемесячный платеж]]/Таблица1[[#This Row],[Ежем доход]]</f>
        <v>1.6599860024177644E-2</v>
      </c>
      <c r="Y453" s="3"/>
      <c r="Z453" s="3"/>
      <c r="AA453" s="3"/>
      <c r="AB453" s="3"/>
    </row>
    <row r="454" spans="1:28" x14ac:dyDescent="0.2">
      <c r="A454">
        <v>1113</v>
      </c>
      <c r="B454" t="s">
        <v>1152</v>
      </c>
      <c r="C454" t="s">
        <v>18</v>
      </c>
      <c r="D454" t="s">
        <v>19</v>
      </c>
      <c r="E454" t="s">
        <v>24</v>
      </c>
      <c r="F454" t="s">
        <v>27</v>
      </c>
      <c r="G454" t="s">
        <v>25</v>
      </c>
      <c r="H454" s="1">
        <v>252648</v>
      </c>
      <c r="I454" s="3">
        <v>743</v>
      </c>
      <c r="J454" s="3">
        <v>1626951</v>
      </c>
      <c r="K454" s="3">
        <v>32810.15</v>
      </c>
      <c r="L454" s="2">
        <v>17.8</v>
      </c>
      <c r="M454" s="11">
        <v>35.265240640000002</v>
      </c>
      <c r="N454" s="3">
        <v>19</v>
      </c>
      <c r="O454" s="3">
        <v>182457</v>
      </c>
      <c r="P454" s="3">
        <v>800206</v>
      </c>
      <c r="Q454" s="10">
        <v>1</v>
      </c>
      <c r="R454" s="3">
        <f>(Таблица1[Размер кредита]-$AA$2)/$AA$3</f>
        <v>-0.32421255997815701</v>
      </c>
      <c r="S454" s="3">
        <f>(Таблица1[Кредитный рейтинг]-$AA$7)/($AA$8-$AA$7)</f>
        <v>0.98934753661784292</v>
      </c>
      <c r="T454" s="3">
        <f>(Таблица1[Срок с последнего нарушения кредитного договора (мес,)]-$AA$12)/($AA$13-$AA$12)</f>
        <v>0.40074137090909095</v>
      </c>
      <c r="U454" s="3">
        <f>(Таблица1[Количество кредитных карт]-$AA$18)/($AA$19-$AA$18)</f>
        <v>0.42857142857142855</v>
      </c>
      <c r="V454" s="3">
        <f>(Таблица1[Число нарушений кредитных договоров]-$AA$23)/($AA$24-$AA$23)</f>
        <v>0.14285714285714285</v>
      </c>
      <c r="W454" s="3">
        <f>Таблица1[[#This Row],[Годовой доход]]/12</f>
        <v>135579.25</v>
      </c>
      <c r="X454" s="3">
        <f>Таблица1[[#This Row],[Ежемесячный платеж]]/Таблица1[[#This Row],[Ежем доход]]</f>
        <v>0.24199978979084188</v>
      </c>
      <c r="Y454" s="3"/>
      <c r="Z454" s="3"/>
      <c r="AA454" s="3"/>
      <c r="AB454" s="3"/>
    </row>
    <row r="455" spans="1:28" x14ac:dyDescent="0.2">
      <c r="A455">
        <v>304</v>
      </c>
      <c r="B455" t="s">
        <v>346</v>
      </c>
      <c r="C455" t="s">
        <v>35</v>
      </c>
      <c r="D455" t="s">
        <v>19</v>
      </c>
      <c r="E455" t="s">
        <v>24</v>
      </c>
      <c r="F455" t="s">
        <v>33</v>
      </c>
      <c r="G455" t="s">
        <v>25</v>
      </c>
      <c r="H455" s="1">
        <v>432168</v>
      </c>
      <c r="I455" s="3">
        <v>736</v>
      </c>
      <c r="J455" s="3">
        <v>1343642</v>
      </c>
      <c r="K455" s="3">
        <v>21386.400000000001</v>
      </c>
      <c r="L455" s="2">
        <v>35</v>
      </c>
      <c r="M455" s="11">
        <v>35.265240640000002</v>
      </c>
      <c r="N455" s="3">
        <v>16</v>
      </c>
      <c r="O455" s="3">
        <v>351329</v>
      </c>
      <c r="P455" s="3">
        <v>799216</v>
      </c>
      <c r="Q455" s="10">
        <v>0</v>
      </c>
      <c r="R455" s="3">
        <f>(Таблица1[Размер кредита]-$AA$2)/$AA$3</f>
        <v>0.69784522771359392</v>
      </c>
      <c r="S455" s="3">
        <f>(Таблица1[Кредитный рейтинг]-$AA$7)/($AA$8-$AA$7)</f>
        <v>0.98002663115845534</v>
      </c>
      <c r="T455" s="3">
        <f>(Таблица1[Срок с последнего нарушения кредитного договора (мес,)]-$AA$12)/($AA$13-$AA$12)</f>
        <v>0.40074137090909095</v>
      </c>
      <c r="U455" s="3">
        <f>(Таблица1[Количество кредитных карт]-$AA$18)/($AA$19-$AA$18)</f>
        <v>0.35714285714285715</v>
      </c>
      <c r="V455" s="3">
        <f>(Таблица1[Число нарушений кредитных договоров]-$AA$23)/($AA$24-$AA$23)</f>
        <v>0</v>
      </c>
      <c r="W455" s="3">
        <f>Таблица1[[#This Row],[Годовой доход]]/12</f>
        <v>111970.16666666667</v>
      </c>
      <c r="X455" s="3">
        <f>Таблица1[[#This Row],[Ежемесячный платеж]]/Таблица1[[#This Row],[Ежем доход]]</f>
        <v>0.19100087672162674</v>
      </c>
      <c r="Y455" s="3"/>
      <c r="Z455" s="3"/>
      <c r="AA455" s="3"/>
      <c r="AB455" s="3"/>
    </row>
    <row r="456" spans="1:28" x14ac:dyDescent="0.2">
      <c r="A456">
        <v>852</v>
      </c>
      <c r="B456" t="s">
        <v>893</v>
      </c>
      <c r="C456" t="s">
        <v>18</v>
      </c>
      <c r="D456" t="s">
        <v>19</v>
      </c>
      <c r="E456" t="s">
        <v>47</v>
      </c>
      <c r="F456" t="s">
        <v>21</v>
      </c>
      <c r="G456" t="s">
        <v>25</v>
      </c>
      <c r="H456" s="1">
        <v>180290</v>
      </c>
      <c r="I456" s="3">
        <v>741</v>
      </c>
      <c r="J456" s="3">
        <v>1297548</v>
      </c>
      <c r="K456" s="3">
        <v>16976.12</v>
      </c>
      <c r="L456" s="2">
        <v>14</v>
      </c>
      <c r="M456" s="11">
        <v>35.265240640000002</v>
      </c>
      <c r="N456" s="3">
        <v>13</v>
      </c>
      <c r="O456" s="3">
        <v>191159</v>
      </c>
      <c r="P456" s="3">
        <v>799106</v>
      </c>
      <c r="Q456" s="10">
        <v>1</v>
      </c>
      <c r="R456" s="3">
        <f>(Таблица1[Размер кредита]-$AA$2)/$AA$3</f>
        <v>-0.73616697955146204</v>
      </c>
      <c r="S456" s="3">
        <f>(Таблица1[Кредитный рейтинг]-$AA$7)/($AA$8-$AA$7)</f>
        <v>0.98668442077230356</v>
      </c>
      <c r="T456" s="3">
        <f>(Таблица1[Срок с последнего нарушения кредитного договора (мес,)]-$AA$12)/($AA$13-$AA$12)</f>
        <v>0.40074137090909095</v>
      </c>
      <c r="U456" s="3">
        <f>(Таблица1[Количество кредитных карт]-$AA$18)/($AA$19-$AA$18)</f>
        <v>0.2857142857142857</v>
      </c>
      <c r="V456" s="3">
        <f>(Таблица1[Число нарушений кредитных договоров]-$AA$23)/($AA$24-$AA$23)</f>
        <v>0.14285714285714285</v>
      </c>
      <c r="W456" s="3">
        <f>Таблица1[[#This Row],[Годовой доход]]/12</f>
        <v>108129</v>
      </c>
      <c r="X456" s="3">
        <f>Таблица1[[#This Row],[Ежемесячный платеж]]/Таблица1[[#This Row],[Ежем доход]]</f>
        <v>0.15699876998769988</v>
      </c>
      <c r="Y456" s="3"/>
      <c r="Z456" s="3"/>
      <c r="AA456" s="3"/>
      <c r="AB456" s="3"/>
    </row>
    <row r="457" spans="1:28" x14ac:dyDescent="0.2">
      <c r="A457">
        <v>1267</v>
      </c>
      <c r="B457" t="s">
        <v>1306</v>
      </c>
      <c r="C457" t="s">
        <v>35</v>
      </c>
      <c r="D457" t="s">
        <v>29</v>
      </c>
      <c r="E457" t="s">
        <v>69</v>
      </c>
      <c r="F457" t="s">
        <v>33</v>
      </c>
      <c r="G457" t="s">
        <v>25</v>
      </c>
      <c r="H457" s="1">
        <v>386408</v>
      </c>
      <c r="I457" s="3">
        <v>709</v>
      </c>
      <c r="J457" s="3">
        <v>1019711</v>
      </c>
      <c r="K457" s="3">
        <v>19289.560000000001</v>
      </c>
      <c r="L457" s="2">
        <v>23.5</v>
      </c>
      <c r="M457" s="11">
        <v>72</v>
      </c>
      <c r="N457" s="3">
        <v>8</v>
      </c>
      <c r="O457" s="3">
        <v>429419</v>
      </c>
      <c r="P457" s="3">
        <v>798116</v>
      </c>
      <c r="Q457" s="10">
        <v>2</v>
      </c>
      <c r="R457" s="3">
        <f>(Таблица1[Размер кредита]-$AA$2)/$AA$3</f>
        <v>0.43732069359608883</v>
      </c>
      <c r="S457" s="3">
        <f>(Таблица1[Кредитный рейтинг]-$AA$7)/($AA$8-$AA$7)</f>
        <v>0.94407456724367511</v>
      </c>
      <c r="T457" s="3">
        <f>(Таблица1[Срок с последнего нарушения кредитного договора (мес,)]-$AA$12)/($AA$13-$AA$12)</f>
        <v>0.81818181818181823</v>
      </c>
      <c r="U457" s="3">
        <f>(Таблица1[Количество кредитных карт]-$AA$18)/($AA$19-$AA$18)</f>
        <v>0.16666666666666666</v>
      </c>
      <c r="V457" s="3">
        <f>(Таблица1[Число нарушений кредитных договоров]-$AA$23)/($AA$24-$AA$23)</f>
        <v>0.2857142857142857</v>
      </c>
      <c r="W457" s="3">
        <f>Таблица1[[#This Row],[Годовой доход]]/12</f>
        <v>84975.916666666672</v>
      </c>
      <c r="X457" s="3">
        <f>Таблица1[[#This Row],[Ежемесячный платеж]]/Таблица1[[#This Row],[Ежем доход]]</f>
        <v>0.22700031675641433</v>
      </c>
      <c r="Y457" s="3"/>
      <c r="Z457" s="3"/>
      <c r="AA457" s="3"/>
      <c r="AB457" s="3"/>
    </row>
    <row r="458" spans="1:28" x14ac:dyDescent="0.2">
      <c r="A458">
        <v>1266</v>
      </c>
      <c r="B458" t="s">
        <v>1305</v>
      </c>
      <c r="C458" t="s">
        <v>35</v>
      </c>
      <c r="D458" t="s">
        <v>19</v>
      </c>
      <c r="E458" t="s">
        <v>24</v>
      </c>
      <c r="F458" t="s">
        <v>21</v>
      </c>
      <c r="G458" t="s">
        <v>67</v>
      </c>
      <c r="H458" s="1">
        <v>317152</v>
      </c>
      <c r="I458" s="3">
        <v>713</v>
      </c>
      <c r="J458" s="3">
        <v>972990</v>
      </c>
      <c r="K458" s="3">
        <v>18567.939999999999</v>
      </c>
      <c r="L458" s="2">
        <v>12.4</v>
      </c>
      <c r="M458" s="11">
        <v>35.265240640000002</v>
      </c>
      <c r="N458" s="3">
        <v>7</v>
      </c>
      <c r="O458" s="3">
        <v>484234</v>
      </c>
      <c r="P458" s="3">
        <v>797588</v>
      </c>
      <c r="Q458" s="10">
        <v>0</v>
      </c>
      <c r="R458" s="3">
        <f>(Таблица1[Размер кредита]-$AA$2)/$AA$3</f>
        <v>4.3026831383633904E-2</v>
      </c>
      <c r="S458" s="3">
        <f>(Таблица1[Кредитный рейтинг]-$AA$7)/($AA$8-$AA$7)</f>
        <v>0.94940079893475371</v>
      </c>
      <c r="T458" s="3">
        <f>(Таблица1[Срок с последнего нарушения кредитного договора (мес,)]-$AA$12)/($AA$13-$AA$12)</f>
        <v>0.40074137090909095</v>
      </c>
      <c r="U458" s="3">
        <f>(Таблица1[Количество кредитных карт]-$AA$18)/($AA$19-$AA$18)</f>
        <v>0.14285714285714285</v>
      </c>
      <c r="V458" s="3">
        <f>(Таблица1[Число нарушений кредитных договоров]-$AA$23)/($AA$24-$AA$23)</f>
        <v>0</v>
      </c>
      <c r="W458" s="3">
        <f>Таблица1[[#This Row],[Годовой доход]]/12</f>
        <v>81082.5</v>
      </c>
      <c r="X458" s="3">
        <f>Таблица1[[#This Row],[Ежемесячный платеж]]/Таблица1[[#This Row],[Ежем доход]]</f>
        <v>0.22900058582308142</v>
      </c>
      <c r="Y458" s="3"/>
      <c r="Z458" s="3"/>
      <c r="AA458" s="3"/>
      <c r="AB458" s="3"/>
    </row>
    <row r="459" spans="1:28" x14ac:dyDescent="0.2">
      <c r="A459">
        <v>576</v>
      </c>
      <c r="B459" t="s">
        <v>617</v>
      </c>
      <c r="C459" t="s">
        <v>18</v>
      </c>
      <c r="D459" t="s">
        <v>29</v>
      </c>
      <c r="E459" t="s">
        <v>24</v>
      </c>
      <c r="F459" t="s">
        <v>21</v>
      </c>
      <c r="G459" t="s">
        <v>25</v>
      </c>
      <c r="H459" s="1">
        <v>552750</v>
      </c>
      <c r="I459" s="3">
        <v>723</v>
      </c>
      <c r="J459" s="3">
        <v>954750</v>
      </c>
      <c r="K459" s="3">
        <v>3389.41</v>
      </c>
      <c r="L459" s="2">
        <v>29.2</v>
      </c>
      <c r="M459" s="11">
        <v>35.265240640000002</v>
      </c>
      <c r="N459" s="3">
        <v>12</v>
      </c>
      <c r="O459" s="3">
        <v>169404</v>
      </c>
      <c r="P459" s="3">
        <v>797390</v>
      </c>
      <c r="Q459" s="10">
        <v>1</v>
      </c>
      <c r="R459" s="3">
        <f>(Таблица1[Размер кредита]-$AA$2)/$AA$3</f>
        <v>1.3843524255491928</v>
      </c>
      <c r="S459" s="3">
        <f>(Таблица1[Кредитный рейтинг]-$AA$7)/($AA$8-$AA$7)</f>
        <v>0.96271637816245004</v>
      </c>
      <c r="T459" s="3">
        <f>(Таблица1[Срок с последнего нарушения кредитного договора (мес,)]-$AA$12)/($AA$13-$AA$12)</f>
        <v>0.40074137090909095</v>
      </c>
      <c r="U459" s="3">
        <f>(Таблица1[Количество кредитных карт]-$AA$18)/($AA$19-$AA$18)</f>
        <v>0.26190476190476192</v>
      </c>
      <c r="V459" s="3">
        <f>(Таблица1[Число нарушений кредитных договоров]-$AA$23)/($AA$24-$AA$23)</f>
        <v>0.14285714285714285</v>
      </c>
      <c r="W459" s="3">
        <f>Таблица1[[#This Row],[Годовой доход]]/12</f>
        <v>79562.5</v>
      </c>
      <c r="X459" s="3">
        <f>Таблица1[[#This Row],[Ежемесячный платеж]]/Таблица1[[#This Row],[Ежем доход]]</f>
        <v>4.260059701492537E-2</v>
      </c>
      <c r="Y459" s="3"/>
      <c r="Z459" s="3"/>
      <c r="AA459" s="3"/>
      <c r="AB459" s="3"/>
    </row>
    <row r="460" spans="1:28" x14ac:dyDescent="0.2">
      <c r="A460">
        <v>1935</v>
      </c>
      <c r="B460" t="s">
        <v>1971</v>
      </c>
      <c r="C460" t="s">
        <v>18</v>
      </c>
      <c r="D460" t="s">
        <v>19</v>
      </c>
      <c r="E460" t="s">
        <v>20</v>
      </c>
      <c r="F460" t="s">
        <v>21</v>
      </c>
      <c r="G460" t="s">
        <v>25</v>
      </c>
      <c r="H460" s="1">
        <v>655138</v>
      </c>
      <c r="I460" s="3">
        <v>700</v>
      </c>
      <c r="J460" s="3">
        <v>1874844</v>
      </c>
      <c r="K460" s="3">
        <v>36247.06</v>
      </c>
      <c r="L460" s="2">
        <v>15.4</v>
      </c>
      <c r="M460" s="11">
        <v>30</v>
      </c>
      <c r="N460" s="3">
        <v>19</v>
      </c>
      <c r="O460" s="3">
        <v>269819</v>
      </c>
      <c r="P460" s="3">
        <v>797016</v>
      </c>
      <c r="Q460" s="10">
        <v>0</v>
      </c>
      <c r="R460" s="3">
        <f>(Таблица1[Размер кредита]-$AA$2)/$AA$3</f>
        <v>1.9672760706371106</v>
      </c>
      <c r="S460" s="3">
        <f>(Таблица1[Кредитный рейтинг]-$AA$7)/($AA$8-$AA$7)</f>
        <v>0.93209054593874829</v>
      </c>
      <c r="T460" s="3">
        <f>(Таблица1[Срок с последнего нарушения кредитного договора (мес,)]-$AA$12)/($AA$13-$AA$12)</f>
        <v>0.34090909090909088</v>
      </c>
      <c r="U460" s="3">
        <f>(Таблица1[Количество кредитных карт]-$AA$18)/($AA$19-$AA$18)</f>
        <v>0.42857142857142855</v>
      </c>
      <c r="V460" s="3">
        <f>(Таблица1[Число нарушений кредитных договоров]-$AA$23)/($AA$24-$AA$23)</f>
        <v>0</v>
      </c>
      <c r="W460" s="3">
        <f>Таблица1[[#This Row],[Годовой доход]]/12</f>
        <v>156237</v>
      </c>
      <c r="X460" s="3">
        <f>Таблица1[[#This Row],[Ежемесячный платеж]]/Таблица1[[#This Row],[Ежем доход]]</f>
        <v>0.23200048644047183</v>
      </c>
      <c r="Y460" s="3"/>
      <c r="Z460" s="3"/>
      <c r="AA460" s="3"/>
      <c r="AB460" s="3"/>
    </row>
    <row r="461" spans="1:28" x14ac:dyDescent="0.2">
      <c r="A461">
        <v>1672</v>
      </c>
      <c r="B461" t="s">
        <v>1710</v>
      </c>
      <c r="C461" t="s">
        <v>18</v>
      </c>
      <c r="D461" t="s">
        <v>19</v>
      </c>
      <c r="E461" t="s">
        <v>24</v>
      </c>
      <c r="F461" t="s">
        <v>21</v>
      </c>
      <c r="G461" t="s">
        <v>22</v>
      </c>
      <c r="H461" s="1">
        <v>264924</v>
      </c>
      <c r="I461" s="3">
        <v>749</v>
      </c>
      <c r="J461" s="3">
        <v>2497721</v>
      </c>
      <c r="K461" s="3">
        <v>16713.919999999998</v>
      </c>
      <c r="L461" s="2">
        <v>19.899999999999999</v>
      </c>
      <c r="M461" s="11">
        <v>35.265240640000002</v>
      </c>
      <c r="N461" s="3">
        <v>7</v>
      </c>
      <c r="O461" s="3">
        <v>217322</v>
      </c>
      <c r="P461" s="3">
        <v>793804</v>
      </c>
      <c r="Q461" s="10">
        <v>0</v>
      </c>
      <c r="R461" s="3">
        <f>(Таблица1[Размер кредита]-$AA$2)/$AA$3</f>
        <v>-0.25432184361394167</v>
      </c>
      <c r="S461" s="3">
        <f>(Таблица1[Кредитный рейтинг]-$AA$7)/($AA$8-$AA$7)</f>
        <v>0.99733688415446076</v>
      </c>
      <c r="T461" s="3">
        <f>(Таблица1[Срок с последнего нарушения кредитного договора (мес,)]-$AA$12)/($AA$13-$AA$12)</f>
        <v>0.40074137090909095</v>
      </c>
      <c r="U461" s="3">
        <f>(Таблица1[Количество кредитных карт]-$AA$18)/($AA$19-$AA$18)</f>
        <v>0.14285714285714285</v>
      </c>
      <c r="V461" s="3">
        <f>(Таблица1[Число нарушений кредитных договоров]-$AA$23)/($AA$24-$AA$23)</f>
        <v>0</v>
      </c>
      <c r="W461" s="3">
        <f>Таблица1[[#This Row],[Годовой доход]]/12</f>
        <v>208143.41666666666</v>
      </c>
      <c r="X461" s="3">
        <f>Таблица1[[#This Row],[Ежемесячный платеж]]/Таблица1[[#This Row],[Ежем доход]]</f>
        <v>8.0300017495949297E-2</v>
      </c>
      <c r="Y461" s="3"/>
      <c r="Z461" s="3"/>
      <c r="AA461" s="3"/>
      <c r="AB461" s="3"/>
    </row>
    <row r="462" spans="1:28" x14ac:dyDescent="0.2">
      <c r="A462">
        <v>1128</v>
      </c>
      <c r="B462" t="s">
        <v>1167</v>
      </c>
      <c r="C462" t="s">
        <v>35</v>
      </c>
      <c r="D462" t="s">
        <v>29</v>
      </c>
      <c r="E462" t="s">
        <v>47</v>
      </c>
      <c r="F462" t="s">
        <v>33</v>
      </c>
      <c r="G462" t="s">
        <v>25</v>
      </c>
      <c r="H462" s="1">
        <v>445940</v>
      </c>
      <c r="I462" s="3">
        <v>653</v>
      </c>
      <c r="J462" s="3">
        <v>1116877</v>
      </c>
      <c r="K462" s="3">
        <v>27549.62</v>
      </c>
      <c r="L462" s="2">
        <v>28.8</v>
      </c>
      <c r="M462" s="11">
        <v>12</v>
      </c>
      <c r="N462" s="3">
        <v>17</v>
      </c>
      <c r="O462" s="3">
        <v>239818</v>
      </c>
      <c r="P462" s="3">
        <v>793386</v>
      </c>
      <c r="Q462" s="10">
        <v>0</v>
      </c>
      <c r="R462" s="3">
        <f>(Таблица1[Размер кредита]-$AA$2)/$AA$3</f>
        <v>0.77625309230857387</v>
      </c>
      <c r="S462" s="3">
        <f>(Таблица1[Кредитный рейтинг]-$AA$7)/($AA$8-$AA$7)</f>
        <v>0.86950732356857519</v>
      </c>
      <c r="T462" s="3">
        <f>(Таблица1[Срок с последнего нарушения кредитного договора (мес,)]-$AA$12)/($AA$13-$AA$12)</f>
        <v>0.13636363636363635</v>
      </c>
      <c r="U462" s="3">
        <f>(Таблица1[Количество кредитных карт]-$AA$18)/($AA$19-$AA$18)</f>
        <v>0.38095238095238093</v>
      </c>
      <c r="V462" s="3">
        <f>(Таблица1[Число нарушений кредитных договоров]-$AA$23)/($AA$24-$AA$23)</f>
        <v>0</v>
      </c>
      <c r="W462" s="3">
        <f>Таблица1[[#This Row],[Годовой доход]]/12</f>
        <v>93073.083333333328</v>
      </c>
      <c r="X462" s="3">
        <f>Таблица1[[#This Row],[Ежемесячный платеж]]/Таблица1[[#This Row],[Ежем доход]]</f>
        <v>0.2959998639062314</v>
      </c>
      <c r="Y462" s="3"/>
      <c r="Z462" s="3"/>
      <c r="AA462" s="3"/>
      <c r="AB462" s="3"/>
    </row>
    <row r="463" spans="1:28" x14ac:dyDescent="0.2">
      <c r="A463">
        <v>911</v>
      </c>
      <c r="B463" t="s">
        <v>952</v>
      </c>
      <c r="C463" t="s">
        <v>18</v>
      </c>
      <c r="D463" t="s">
        <v>29</v>
      </c>
      <c r="E463" t="s">
        <v>37</v>
      </c>
      <c r="F463" t="s">
        <v>27</v>
      </c>
      <c r="G463" t="s">
        <v>98</v>
      </c>
      <c r="H463" s="1">
        <v>75328</v>
      </c>
      <c r="I463" s="3">
        <v>0</v>
      </c>
      <c r="J463" s="3">
        <v>1168044</v>
      </c>
      <c r="K463" s="3">
        <v>3401.95</v>
      </c>
      <c r="L463" s="2">
        <v>22.7</v>
      </c>
      <c r="M463" s="11">
        <v>35.265240640000002</v>
      </c>
      <c r="N463" s="3">
        <v>9</v>
      </c>
      <c r="O463" s="3">
        <v>56772</v>
      </c>
      <c r="P463" s="3">
        <v>792000</v>
      </c>
      <c r="Q463" s="10">
        <v>0</v>
      </c>
      <c r="R463" s="3">
        <f>(Таблица1[Размер кредита]-$AA$2)/$AA$3</f>
        <v>-1.3337451296834895</v>
      </c>
      <c r="S463" s="3">
        <f>(Таблица1[Кредитный рейтинг]-$AA$7)/($AA$8-$AA$7)</f>
        <v>0</v>
      </c>
      <c r="T463" s="3">
        <f>(Таблица1[Срок с последнего нарушения кредитного договора (мес,)]-$AA$12)/($AA$13-$AA$12)</f>
        <v>0.40074137090909095</v>
      </c>
      <c r="U463" s="3">
        <f>(Таблица1[Количество кредитных карт]-$AA$18)/($AA$19-$AA$18)</f>
        <v>0.19047619047619047</v>
      </c>
      <c r="V463" s="3">
        <f>(Таблица1[Число нарушений кредитных договоров]-$AA$23)/($AA$24-$AA$23)</f>
        <v>0</v>
      </c>
      <c r="W463" s="3">
        <f>Таблица1[[#This Row],[Годовой доход]]/12</f>
        <v>97337</v>
      </c>
      <c r="X463" s="3">
        <f>Таблица1[[#This Row],[Ежемесячный платеж]]/Таблица1[[#This Row],[Ежем доход]]</f>
        <v>3.4950224477845009E-2</v>
      </c>
      <c r="Y463" s="3"/>
      <c r="Z463" s="3"/>
      <c r="AA463" s="3"/>
      <c r="AB463" s="3"/>
    </row>
    <row r="464" spans="1:28" x14ac:dyDescent="0.2">
      <c r="A464">
        <v>1990</v>
      </c>
      <c r="B464" t="s">
        <v>2026</v>
      </c>
      <c r="C464" t="s">
        <v>18</v>
      </c>
      <c r="D464" t="s">
        <v>19</v>
      </c>
      <c r="E464" t="s">
        <v>41</v>
      </c>
      <c r="F464" t="s">
        <v>21</v>
      </c>
      <c r="G464" t="s">
        <v>25</v>
      </c>
      <c r="H464" s="1">
        <v>448228</v>
      </c>
      <c r="I464" s="3">
        <v>0</v>
      </c>
      <c r="J464" s="3">
        <v>1168044</v>
      </c>
      <c r="K464" s="3">
        <v>19103.740000000002</v>
      </c>
      <c r="L464" s="2">
        <v>15.4</v>
      </c>
      <c r="M464" s="11">
        <v>35.265240640000002</v>
      </c>
      <c r="N464" s="3">
        <v>13</v>
      </c>
      <c r="O464" s="3">
        <v>411654</v>
      </c>
      <c r="P464" s="3">
        <v>791780</v>
      </c>
      <c r="Q464" s="10">
        <v>0</v>
      </c>
      <c r="R464" s="3">
        <f>(Таблица1[Размер кредита]-$AA$2)/$AA$3</f>
        <v>0.78927931901444914</v>
      </c>
      <c r="S464" s="3">
        <f>(Таблица1[Кредитный рейтинг]-$AA$7)/($AA$8-$AA$7)</f>
        <v>0</v>
      </c>
      <c r="T464" s="3">
        <f>(Таблица1[Срок с последнего нарушения кредитного договора (мес,)]-$AA$12)/($AA$13-$AA$12)</f>
        <v>0.40074137090909095</v>
      </c>
      <c r="U464" s="3">
        <f>(Таблица1[Количество кредитных карт]-$AA$18)/($AA$19-$AA$18)</f>
        <v>0.2857142857142857</v>
      </c>
      <c r="V464" s="3">
        <f>(Таблица1[Число нарушений кредитных договоров]-$AA$23)/($AA$24-$AA$23)</f>
        <v>0</v>
      </c>
      <c r="W464" s="3">
        <f>Таблица1[[#This Row],[Годовой доход]]/12</f>
        <v>97337</v>
      </c>
      <c r="X464" s="3">
        <f>Таблица1[[#This Row],[Ежемесячный платеж]]/Таблица1[[#This Row],[Ежем доход]]</f>
        <v>0.19626390786648451</v>
      </c>
      <c r="Y464" s="3"/>
      <c r="Z464" s="3"/>
      <c r="AA464" s="3"/>
      <c r="AB464" s="3"/>
    </row>
    <row r="465" spans="1:28" x14ac:dyDescent="0.2">
      <c r="A465">
        <v>1245</v>
      </c>
      <c r="B465" t="s">
        <v>1284</v>
      </c>
      <c r="C465" t="s">
        <v>18</v>
      </c>
      <c r="D465" t="s">
        <v>29</v>
      </c>
      <c r="E465" t="s">
        <v>24</v>
      </c>
      <c r="F465" t="s">
        <v>33</v>
      </c>
      <c r="G465" t="s">
        <v>39</v>
      </c>
      <c r="H465" s="1">
        <v>661188</v>
      </c>
      <c r="I465" s="3">
        <v>690</v>
      </c>
      <c r="J465" s="3">
        <v>5139234</v>
      </c>
      <c r="K465" s="3">
        <v>31434.93</v>
      </c>
      <c r="L465" s="2">
        <v>29.3</v>
      </c>
      <c r="M465" s="11">
        <v>3</v>
      </c>
      <c r="N465" s="3">
        <v>16</v>
      </c>
      <c r="O465" s="3">
        <v>275424</v>
      </c>
      <c r="P465" s="3">
        <v>791362</v>
      </c>
      <c r="Q465" s="10">
        <v>0</v>
      </c>
      <c r="R465" s="3">
        <f>(Таблица1[Размер кредита]-$AA$2)/$AA$3</f>
        <v>2.0017204200997614</v>
      </c>
      <c r="S465" s="3">
        <f>(Таблица1[Кредитный рейтинг]-$AA$7)/($AA$8-$AA$7)</f>
        <v>0.91877496671105197</v>
      </c>
      <c r="T465" s="3">
        <f>(Таблица1[Срок с последнего нарушения кредитного договора (мес,)]-$AA$12)/($AA$13-$AA$12)</f>
        <v>3.4090909090909088E-2</v>
      </c>
      <c r="U465" s="3">
        <f>(Таблица1[Количество кредитных карт]-$AA$18)/($AA$19-$AA$18)</f>
        <v>0.35714285714285715</v>
      </c>
      <c r="V465" s="3">
        <f>(Таблица1[Число нарушений кредитных договоров]-$AA$23)/($AA$24-$AA$23)</f>
        <v>0</v>
      </c>
      <c r="W465" s="3">
        <f>Таблица1[[#This Row],[Годовой доход]]/12</f>
        <v>428269.5</v>
      </c>
      <c r="X465" s="3">
        <f>Таблица1[[#This Row],[Ежемесячный платеж]]/Таблица1[[#This Row],[Ежем доход]]</f>
        <v>7.3399880215611904E-2</v>
      </c>
      <c r="Y465" s="3"/>
      <c r="Z465" s="3"/>
      <c r="AA465" s="3"/>
      <c r="AB465" s="3"/>
    </row>
    <row r="466" spans="1:28" x14ac:dyDescent="0.2">
      <c r="A466">
        <v>1024</v>
      </c>
      <c r="B466" t="s">
        <v>1063</v>
      </c>
      <c r="C466" t="s">
        <v>35</v>
      </c>
      <c r="D466" t="s">
        <v>19</v>
      </c>
      <c r="E466" t="s">
        <v>47</v>
      </c>
      <c r="F466" t="s">
        <v>21</v>
      </c>
      <c r="G466" t="s">
        <v>25</v>
      </c>
      <c r="H466" s="1">
        <v>241538</v>
      </c>
      <c r="I466" s="3">
        <v>0</v>
      </c>
      <c r="J466" s="3">
        <v>1168044</v>
      </c>
      <c r="K466" s="3">
        <v>12057.02</v>
      </c>
      <c r="L466" s="2">
        <v>38.5</v>
      </c>
      <c r="M466" s="11">
        <v>35.265240640000002</v>
      </c>
      <c r="N466" s="3">
        <v>18</v>
      </c>
      <c r="O466" s="3">
        <v>391837</v>
      </c>
      <c r="P466" s="3">
        <v>790438</v>
      </c>
      <c r="Q466" s="10">
        <v>0</v>
      </c>
      <c r="R466" s="3">
        <f>(Таблица1[Размер кредита]-$AA$2)/$AA$3</f>
        <v>-0.38746491080957052</v>
      </c>
      <c r="S466" s="3">
        <f>(Таблица1[Кредитный рейтинг]-$AA$7)/($AA$8-$AA$7)</f>
        <v>0</v>
      </c>
      <c r="T466" s="3">
        <f>(Таблица1[Срок с последнего нарушения кредитного договора (мес,)]-$AA$12)/($AA$13-$AA$12)</f>
        <v>0.40074137090909095</v>
      </c>
      <c r="U466" s="3">
        <f>(Таблица1[Количество кредитных карт]-$AA$18)/($AA$19-$AA$18)</f>
        <v>0.40476190476190477</v>
      </c>
      <c r="V466" s="3">
        <f>(Таблица1[Число нарушений кредитных договоров]-$AA$23)/($AA$24-$AA$23)</f>
        <v>0</v>
      </c>
      <c r="W466" s="3">
        <f>Таблица1[[#This Row],[Годовой доход]]/12</f>
        <v>97337</v>
      </c>
      <c r="X466" s="3">
        <f>Таблица1[[#This Row],[Ежемесячный платеж]]/Таблица1[[#This Row],[Ежем доход]]</f>
        <v>0.12386882685926215</v>
      </c>
      <c r="Y466" s="3"/>
      <c r="Z466" s="3"/>
      <c r="AA466" s="3"/>
      <c r="AB466" s="3"/>
    </row>
    <row r="467" spans="1:28" x14ac:dyDescent="0.2">
      <c r="A467">
        <v>177</v>
      </c>
      <c r="B467" t="s">
        <v>219</v>
      </c>
      <c r="C467" t="s">
        <v>35</v>
      </c>
      <c r="D467" t="s">
        <v>19</v>
      </c>
      <c r="E467" t="s">
        <v>37</v>
      </c>
      <c r="F467" t="s">
        <v>33</v>
      </c>
      <c r="G467" t="s">
        <v>25</v>
      </c>
      <c r="H467" s="1">
        <v>547580</v>
      </c>
      <c r="I467" s="3">
        <v>710</v>
      </c>
      <c r="J467" s="3">
        <v>1125978</v>
      </c>
      <c r="K467" s="3">
        <v>9758.4</v>
      </c>
      <c r="L467" s="2">
        <v>13.8</v>
      </c>
      <c r="M467" s="11">
        <v>58</v>
      </c>
      <c r="N467" s="3">
        <v>6</v>
      </c>
      <c r="O467" s="3">
        <v>435328</v>
      </c>
      <c r="P467" s="3">
        <v>790064</v>
      </c>
      <c r="Q467" s="10">
        <v>0</v>
      </c>
      <c r="R467" s="3">
        <f>(Таблица1[Размер кредита]-$AA$2)/$AA$3</f>
        <v>1.3549181632811094</v>
      </c>
      <c r="S467" s="3">
        <f>(Таблица1[Кредитный рейтинг]-$AA$7)/($AA$8-$AA$7)</f>
        <v>0.94540612516644473</v>
      </c>
      <c r="T467" s="3">
        <f>(Таблица1[Срок с последнего нарушения кредитного договора (мес,)]-$AA$12)/($AA$13-$AA$12)</f>
        <v>0.65909090909090906</v>
      </c>
      <c r="U467" s="3">
        <f>(Таблица1[Количество кредитных карт]-$AA$18)/($AA$19-$AA$18)</f>
        <v>0.11904761904761904</v>
      </c>
      <c r="V467" s="3">
        <f>(Таблица1[Число нарушений кредитных договоров]-$AA$23)/($AA$24-$AA$23)</f>
        <v>0</v>
      </c>
      <c r="W467" s="3">
        <f>Таблица1[[#This Row],[Годовой доход]]/12</f>
        <v>93831.5</v>
      </c>
      <c r="X467" s="3">
        <f>Таблица1[[#This Row],[Ежемесячный платеж]]/Таблица1[[#This Row],[Ежем доход]]</f>
        <v>0.10399919003746076</v>
      </c>
      <c r="Y467" s="3"/>
      <c r="Z467" s="3"/>
      <c r="AA467" s="3"/>
      <c r="AB467" s="3"/>
    </row>
    <row r="468" spans="1:28" x14ac:dyDescent="0.2">
      <c r="A468">
        <v>788</v>
      </c>
      <c r="B468" t="s">
        <v>829</v>
      </c>
      <c r="C468" t="s">
        <v>35</v>
      </c>
      <c r="D468" t="s">
        <v>29</v>
      </c>
      <c r="E468" t="s">
        <v>24</v>
      </c>
      <c r="F468" t="s">
        <v>21</v>
      </c>
      <c r="G468" t="s">
        <v>25</v>
      </c>
      <c r="H468" s="1">
        <v>430804</v>
      </c>
      <c r="I468" s="3">
        <v>738</v>
      </c>
      <c r="J468" s="3">
        <v>1130120</v>
      </c>
      <c r="K468" s="3">
        <v>8711.31</v>
      </c>
      <c r="L468" s="2">
        <v>18.5</v>
      </c>
      <c r="M468" s="11">
        <v>35.265240640000002</v>
      </c>
      <c r="N468" s="3">
        <v>9</v>
      </c>
      <c r="O468" s="3">
        <v>383667</v>
      </c>
      <c r="P468" s="3">
        <v>789052</v>
      </c>
      <c r="Q468" s="10">
        <v>0</v>
      </c>
      <c r="R468" s="3">
        <f>(Таблица1[Размер кредита]-$AA$2)/$AA$3</f>
        <v>0.69007959256201445</v>
      </c>
      <c r="S468" s="3">
        <f>(Таблица1[Кредитный рейтинг]-$AA$7)/($AA$8-$AA$7)</f>
        <v>0.9826897470039947</v>
      </c>
      <c r="T468" s="3">
        <f>(Таблица1[Срок с последнего нарушения кредитного договора (мес,)]-$AA$12)/($AA$13-$AA$12)</f>
        <v>0.40074137090909095</v>
      </c>
      <c r="U468" s="3">
        <f>(Таблица1[Количество кредитных карт]-$AA$18)/($AA$19-$AA$18)</f>
        <v>0.19047619047619047</v>
      </c>
      <c r="V468" s="3">
        <f>(Таблица1[Число нарушений кредитных договоров]-$AA$23)/($AA$24-$AA$23)</f>
        <v>0</v>
      </c>
      <c r="W468" s="3">
        <f>Таблица1[[#This Row],[Годовой доход]]/12</f>
        <v>94176.666666666672</v>
      </c>
      <c r="X468" s="3">
        <f>Таблица1[[#This Row],[Ежемесячный платеж]]/Таблица1[[#This Row],[Ежем доход]]</f>
        <v>9.2499663752521846E-2</v>
      </c>
      <c r="Y468" s="3"/>
      <c r="Z468" s="3"/>
      <c r="AA468" s="3"/>
      <c r="AB468" s="3"/>
    </row>
    <row r="469" spans="1:28" x14ac:dyDescent="0.2">
      <c r="A469">
        <v>1275</v>
      </c>
      <c r="B469" t="s">
        <v>1314</v>
      </c>
      <c r="C469" t="s">
        <v>18</v>
      </c>
      <c r="D469" t="s">
        <v>29</v>
      </c>
      <c r="E469" t="s">
        <v>24</v>
      </c>
      <c r="F469" t="s">
        <v>21</v>
      </c>
      <c r="G469" t="s">
        <v>25</v>
      </c>
      <c r="H469" s="1">
        <v>445192</v>
      </c>
      <c r="I469" s="3">
        <v>707</v>
      </c>
      <c r="J469" s="3">
        <v>1230345</v>
      </c>
      <c r="K469" s="3">
        <v>18250.07</v>
      </c>
      <c r="L469" s="2">
        <v>21.2</v>
      </c>
      <c r="M469" s="11">
        <v>35.265240640000002</v>
      </c>
      <c r="N469" s="3">
        <v>20</v>
      </c>
      <c r="O469" s="3">
        <v>226879</v>
      </c>
      <c r="P469" s="3">
        <v>788898</v>
      </c>
      <c r="Q469" s="10">
        <v>0</v>
      </c>
      <c r="R469" s="3">
        <f>(Таблица1[Размер кредита]-$AA$2)/$AA$3</f>
        <v>0.77199451819319154</v>
      </c>
      <c r="S469" s="3">
        <f>(Таблица1[Кредитный рейтинг]-$AA$7)/($AA$8-$AA$7)</f>
        <v>0.94141145139813587</v>
      </c>
      <c r="T469" s="3">
        <f>(Таблица1[Срок с последнего нарушения кредитного договора (мес,)]-$AA$12)/($AA$13-$AA$12)</f>
        <v>0.40074137090909095</v>
      </c>
      <c r="U469" s="3">
        <f>(Таблица1[Количество кредитных карт]-$AA$18)/($AA$19-$AA$18)</f>
        <v>0.45238095238095238</v>
      </c>
      <c r="V469" s="3">
        <f>(Таблица1[Число нарушений кредитных договоров]-$AA$23)/($AA$24-$AA$23)</f>
        <v>0</v>
      </c>
      <c r="W469" s="3">
        <f>Таблица1[[#This Row],[Годовой доход]]/12</f>
        <v>102528.75</v>
      </c>
      <c r="X469" s="3">
        <f>Таблица1[[#This Row],[Ежемесячный платеж]]/Таблица1[[#This Row],[Ежем доход]]</f>
        <v>0.17799953671531155</v>
      </c>
      <c r="Y469" s="3"/>
      <c r="Z469" s="3"/>
      <c r="AA469" s="3"/>
      <c r="AB469" s="3"/>
    </row>
    <row r="470" spans="1:28" x14ac:dyDescent="0.2">
      <c r="A470">
        <v>1856</v>
      </c>
      <c r="B470" t="s">
        <v>1893</v>
      </c>
      <c r="C470" t="s">
        <v>18</v>
      </c>
      <c r="D470" t="s">
        <v>29</v>
      </c>
      <c r="E470" t="s">
        <v>24</v>
      </c>
      <c r="F470" t="s">
        <v>21</v>
      </c>
      <c r="G470" t="s">
        <v>25</v>
      </c>
      <c r="H470" s="1">
        <v>553080</v>
      </c>
      <c r="I470" s="3">
        <v>657</v>
      </c>
      <c r="J470" s="3">
        <v>2178122</v>
      </c>
      <c r="K470" s="3">
        <v>24631.03</v>
      </c>
      <c r="L470" s="2">
        <v>16.399999999999999</v>
      </c>
      <c r="M470" s="11">
        <v>62</v>
      </c>
      <c r="N470" s="3">
        <v>9</v>
      </c>
      <c r="O470" s="3">
        <v>605302</v>
      </c>
      <c r="P470" s="3">
        <v>787512</v>
      </c>
      <c r="Q470" s="10">
        <v>0</v>
      </c>
      <c r="R470" s="3">
        <f>(Таблица1[Размер кредита]-$AA$2)/$AA$3</f>
        <v>1.3862312082471555</v>
      </c>
      <c r="S470" s="3">
        <f>(Таблица1[Кредитный рейтинг]-$AA$7)/($AA$8-$AA$7)</f>
        <v>0.87483355525965378</v>
      </c>
      <c r="T470" s="3">
        <f>(Таблица1[Срок с последнего нарушения кредитного договора (мес,)]-$AA$12)/($AA$13-$AA$12)</f>
        <v>0.70454545454545459</v>
      </c>
      <c r="U470" s="3">
        <f>(Таблица1[Количество кредитных карт]-$AA$18)/($AA$19-$AA$18)</f>
        <v>0.19047619047619047</v>
      </c>
      <c r="V470" s="3">
        <f>(Таблица1[Число нарушений кредитных договоров]-$AA$23)/($AA$24-$AA$23)</f>
        <v>0</v>
      </c>
      <c r="W470" s="3">
        <f>Таблица1[[#This Row],[Годовой доход]]/12</f>
        <v>181510.16666666666</v>
      </c>
      <c r="X470" s="3">
        <f>Таблица1[[#This Row],[Ежемесячный платеж]]/Таблица1[[#This Row],[Ежем доход]]</f>
        <v>0.13570055304523806</v>
      </c>
      <c r="Y470" s="3"/>
      <c r="Z470" s="3"/>
      <c r="AA470" s="3"/>
      <c r="AB470" s="3"/>
    </row>
    <row r="471" spans="1:28" x14ac:dyDescent="0.2">
      <c r="A471">
        <v>301</v>
      </c>
      <c r="B471" t="s">
        <v>343</v>
      </c>
      <c r="C471" t="s">
        <v>18</v>
      </c>
      <c r="D471" t="s">
        <v>19</v>
      </c>
      <c r="E471" t="s">
        <v>24</v>
      </c>
      <c r="F471" t="s">
        <v>21</v>
      </c>
      <c r="G471" t="s">
        <v>25</v>
      </c>
      <c r="H471" s="1">
        <v>319330</v>
      </c>
      <c r="I471" s="3">
        <v>0</v>
      </c>
      <c r="J471" s="3">
        <v>1168044</v>
      </c>
      <c r="K471" s="3">
        <v>35750.400000000001</v>
      </c>
      <c r="L471" s="2">
        <v>42.4</v>
      </c>
      <c r="M471" s="11">
        <v>69</v>
      </c>
      <c r="N471" s="3">
        <v>17</v>
      </c>
      <c r="O471" s="3">
        <v>381995</v>
      </c>
      <c r="P471" s="3">
        <v>785598</v>
      </c>
      <c r="Q471" s="10">
        <v>2</v>
      </c>
      <c r="R471" s="3">
        <f>(Таблица1[Размер кредита]-$AA$2)/$AA$3</f>
        <v>5.542679719018824E-2</v>
      </c>
      <c r="S471" s="3">
        <f>(Таблица1[Кредитный рейтинг]-$AA$7)/($AA$8-$AA$7)</f>
        <v>0</v>
      </c>
      <c r="T471" s="3">
        <f>(Таблица1[Срок с последнего нарушения кредитного договора (мес,)]-$AA$12)/($AA$13-$AA$12)</f>
        <v>0.78409090909090906</v>
      </c>
      <c r="U471" s="3">
        <f>(Таблица1[Количество кредитных карт]-$AA$18)/($AA$19-$AA$18)</f>
        <v>0.38095238095238093</v>
      </c>
      <c r="V471" s="3">
        <f>(Таблица1[Число нарушений кредитных договоров]-$AA$23)/($AA$24-$AA$23)</f>
        <v>0.2857142857142857</v>
      </c>
      <c r="W471" s="3">
        <f>Таблица1[[#This Row],[Годовой доход]]/12</f>
        <v>97337</v>
      </c>
      <c r="X471" s="3">
        <f>Таблица1[[#This Row],[Ежемесячный платеж]]/Таблица1[[#This Row],[Ежем доход]]</f>
        <v>0.36728479406597697</v>
      </c>
      <c r="Y471" s="3"/>
      <c r="Z471" s="3"/>
      <c r="AA471" s="3"/>
      <c r="AB471" s="3"/>
    </row>
    <row r="472" spans="1:28" x14ac:dyDescent="0.2">
      <c r="A472">
        <v>803</v>
      </c>
      <c r="B472" t="s">
        <v>844</v>
      </c>
      <c r="C472" t="s">
        <v>35</v>
      </c>
      <c r="D472" t="s">
        <v>29</v>
      </c>
      <c r="E472" t="s">
        <v>69</v>
      </c>
      <c r="F472" t="s">
        <v>21</v>
      </c>
      <c r="G472" t="s">
        <v>25</v>
      </c>
      <c r="H472" s="1">
        <v>396792</v>
      </c>
      <c r="I472" s="3">
        <v>669</v>
      </c>
      <c r="J472" s="3">
        <v>875748</v>
      </c>
      <c r="K472" s="3">
        <v>22404.42</v>
      </c>
      <c r="L472" s="2">
        <v>9.6999999999999993</v>
      </c>
      <c r="M472" s="11">
        <v>7</v>
      </c>
      <c r="N472" s="3">
        <v>10</v>
      </c>
      <c r="O472" s="3">
        <v>311372</v>
      </c>
      <c r="P472" s="3">
        <v>785466</v>
      </c>
      <c r="Q472" s="10">
        <v>0</v>
      </c>
      <c r="R472" s="3">
        <f>(Таблица1[Размер кредита]-$AA$2)/$AA$3</f>
        <v>0.4964397224919842</v>
      </c>
      <c r="S472" s="3">
        <f>(Таблица1[Кредитный рейтинг]-$AA$7)/($AA$8-$AA$7)</f>
        <v>0.89081225033288947</v>
      </c>
      <c r="T472" s="3">
        <f>(Таблица1[Срок с последнего нарушения кредитного договора (мес,)]-$AA$12)/($AA$13-$AA$12)</f>
        <v>7.9545454545454544E-2</v>
      </c>
      <c r="U472" s="3">
        <f>(Таблица1[Количество кредитных карт]-$AA$18)/($AA$19-$AA$18)</f>
        <v>0.21428571428571427</v>
      </c>
      <c r="V472" s="3">
        <f>(Таблица1[Число нарушений кредитных договоров]-$AA$23)/($AA$24-$AA$23)</f>
        <v>0</v>
      </c>
      <c r="W472" s="3">
        <f>Таблица1[[#This Row],[Годовой доход]]/12</f>
        <v>72979</v>
      </c>
      <c r="X472" s="3">
        <f>Таблица1[[#This Row],[Ежемесячный платеж]]/Таблица1[[#This Row],[Ежем доход]]</f>
        <v>0.30699817755792758</v>
      </c>
      <c r="Y472" s="3"/>
      <c r="Z472" s="3"/>
      <c r="AA472" s="3"/>
      <c r="AB472" s="3"/>
    </row>
    <row r="473" spans="1:28" x14ac:dyDescent="0.2">
      <c r="A473">
        <v>592</v>
      </c>
      <c r="B473" t="s">
        <v>633</v>
      </c>
      <c r="C473" t="s">
        <v>18</v>
      </c>
      <c r="D473" t="s">
        <v>29</v>
      </c>
      <c r="E473" t="s">
        <v>37</v>
      </c>
      <c r="F473" t="s">
        <v>21</v>
      </c>
      <c r="G473" t="s">
        <v>25</v>
      </c>
      <c r="H473" s="1">
        <v>588962</v>
      </c>
      <c r="I473" s="3">
        <v>678</v>
      </c>
      <c r="J473" s="3">
        <v>1412897</v>
      </c>
      <c r="K473" s="3">
        <v>16719.240000000002</v>
      </c>
      <c r="L473" s="2">
        <v>18.5</v>
      </c>
      <c r="M473" s="11">
        <v>35.265240640000002</v>
      </c>
      <c r="N473" s="3">
        <v>13</v>
      </c>
      <c r="O473" s="3">
        <v>424498</v>
      </c>
      <c r="P473" s="3">
        <v>785202</v>
      </c>
      <c r="Q473" s="10">
        <v>0</v>
      </c>
      <c r="R473" s="3">
        <f>(Таблица1[Размер кредита]-$AA$2)/$AA$3</f>
        <v>1.5905175136056415</v>
      </c>
      <c r="S473" s="3">
        <f>(Таблица1[Кредитный рейтинг]-$AA$7)/($AA$8-$AA$7)</f>
        <v>0.90279627163781628</v>
      </c>
      <c r="T473" s="3">
        <f>(Таблица1[Срок с последнего нарушения кредитного договора (мес,)]-$AA$12)/($AA$13-$AA$12)</f>
        <v>0.40074137090909095</v>
      </c>
      <c r="U473" s="3">
        <f>(Таблица1[Количество кредитных карт]-$AA$18)/($AA$19-$AA$18)</f>
        <v>0.2857142857142857</v>
      </c>
      <c r="V473" s="3">
        <f>(Таблица1[Число нарушений кредитных договоров]-$AA$23)/($AA$24-$AA$23)</f>
        <v>0</v>
      </c>
      <c r="W473" s="3">
        <f>Таблица1[[#This Row],[Годовой доход]]/12</f>
        <v>117741.41666666667</v>
      </c>
      <c r="X473" s="3">
        <f>Таблица1[[#This Row],[Ежемесячный платеж]]/Таблица1[[#This Row],[Ежем доход]]</f>
        <v>0.14199965036375617</v>
      </c>
      <c r="Y473" s="3"/>
      <c r="Z473" s="3"/>
      <c r="AA473" s="3"/>
      <c r="AB473" s="3"/>
    </row>
    <row r="474" spans="1:28" x14ac:dyDescent="0.2">
      <c r="A474">
        <v>1517</v>
      </c>
      <c r="B474" t="s">
        <v>1556</v>
      </c>
      <c r="C474" t="s">
        <v>35</v>
      </c>
      <c r="D474" t="s">
        <v>29</v>
      </c>
      <c r="E474" t="s">
        <v>24</v>
      </c>
      <c r="F474" t="s">
        <v>21</v>
      </c>
      <c r="G474" t="s">
        <v>25</v>
      </c>
      <c r="H474" s="1">
        <v>621918</v>
      </c>
      <c r="I474" s="3">
        <v>715</v>
      </c>
      <c r="J474" s="3">
        <v>2148425</v>
      </c>
      <c r="K474" s="3">
        <v>20947.12</v>
      </c>
      <c r="L474" s="2">
        <v>20.5</v>
      </c>
      <c r="M474" s="11">
        <v>19</v>
      </c>
      <c r="N474" s="3">
        <v>9</v>
      </c>
      <c r="O474" s="3">
        <v>585884</v>
      </c>
      <c r="P474" s="3">
        <v>784278</v>
      </c>
      <c r="Q474" s="10">
        <v>0</v>
      </c>
      <c r="R474" s="3">
        <f>(Таблица1[Размер кредита]-$AA$2)/$AA$3</f>
        <v>1.778145279042191</v>
      </c>
      <c r="S474" s="3">
        <f>(Таблица1[Кредитный рейтинг]-$AA$7)/($AA$8-$AA$7)</f>
        <v>0.95206391478029295</v>
      </c>
      <c r="T474" s="3">
        <f>(Таблица1[Срок с последнего нарушения кредитного договора (мес,)]-$AA$12)/($AA$13-$AA$12)</f>
        <v>0.21590909090909091</v>
      </c>
      <c r="U474" s="3">
        <f>(Таблица1[Количество кредитных карт]-$AA$18)/($AA$19-$AA$18)</f>
        <v>0.19047619047619047</v>
      </c>
      <c r="V474" s="3">
        <f>(Таблица1[Число нарушений кредитных договоров]-$AA$23)/($AA$24-$AA$23)</f>
        <v>0</v>
      </c>
      <c r="W474" s="3">
        <f>Таблица1[[#This Row],[Годовой доход]]/12</f>
        <v>179035.41666666666</v>
      </c>
      <c r="X474" s="3">
        <f>Таблица1[[#This Row],[Ежемесячный платеж]]/Таблица1[[#This Row],[Ежем доход]]</f>
        <v>0.11699986734468273</v>
      </c>
      <c r="Y474" s="3"/>
      <c r="Z474" s="3"/>
      <c r="AA474" s="3"/>
      <c r="AB474" s="3"/>
    </row>
    <row r="475" spans="1:28" x14ac:dyDescent="0.2">
      <c r="A475">
        <v>353</v>
      </c>
      <c r="B475" t="s">
        <v>395</v>
      </c>
      <c r="C475" t="s">
        <v>18</v>
      </c>
      <c r="D475" t="s">
        <v>19</v>
      </c>
      <c r="E475" t="s">
        <v>41</v>
      </c>
      <c r="F475" t="s">
        <v>21</v>
      </c>
      <c r="G475" t="s">
        <v>25</v>
      </c>
      <c r="H475" s="1">
        <v>173316</v>
      </c>
      <c r="I475" s="3">
        <v>744</v>
      </c>
      <c r="J475" s="3">
        <v>954275</v>
      </c>
      <c r="K475" s="3">
        <v>6457.15</v>
      </c>
      <c r="L475" s="2">
        <v>13.2</v>
      </c>
      <c r="M475" s="11">
        <v>35.265240640000002</v>
      </c>
      <c r="N475" s="3">
        <v>5</v>
      </c>
      <c r="O475" s="3">
        <v>327541</v>
      </c>
      <c r="P475" s="3">
        <v>780384</v>
      </c>
      <c r="Q475" s="10">
        <v>0</v>
      </c>
      <c r="R475" s="3">
        <f>(Таблица1[Размер кредита]-$AA$2)/$AA$3</f>
        <v>-0.7758719205684087</v>
      </c>
      <c r="S475" s="3">
        <f>(Таблица1[Кредитный рейтинг]-$AA$7)/($AA$8-$AA$7)</f>
        <v>0.99067909454061254</v>
      </c>
      <c r="T475" s="3">
        <f>(Таблица1[Срок с последнего нарушения кредитного договора (мес,)]-$AA$12)/($AA$13-$AA$12)</f>
        <v>0.40074137090909095</v>
      </c>
      <c r="U475" s="3">
        <f>(Таблица1[Количество кредитных карт]-$AA$18)/($AA$19-$AA$18)</f>
        <v>9.5238095238095233E-2</v>
      </c>
      <c r="V475" s="3">
        <f>(Таблица1[Число нарушений кредитных договоров]-$AA$23)/($AA$24-$AA$23)</f>
        <v>0</v>
      </c>
      <c r="W475" s="3">
        <f>Таблица1[[#This Row],[Годовой доход]]/12</f>
        <v>79522.916666666672</v>
      </c>
      <c r="X475" s="3">
        <f>Таблица1[[#This Row],[Ежемесячный платеж]]/Таблица1[[#This Row],[Ежем доход]]</f>
        <v>8.1198606271776996E-2</v>
      </c>
      <c r="Y475" s="3"/>
      <c r="Z475" s="3"/>
      <c r="AA475" s="3"/>
      <c r="AB475" s="3"/>
    </row>
    <row r="476" spans="1:28" x14ac:dyDescent="0.2">
      <c r="A476">
        <v>1512</v>
      </c>
      <c r="B476" t="s">
        <v>1551</v>
      </c>
      <c r="C476" t="s">
        <v>35</v>
      </c>
      <c r="D476" t="s">
        <v>29</v>
      </c>
      <c r="E476" t="s">
        <v>24</v>
      </c>
      <c r="F476" t="s">
        <v>33</v>
      </c>
      <c r="G476" t="s">
        <v>25</v>
      </c>
      <c r="H476" s="1">
        <v>540628</v>
      </c>
      <c r="I476" s="3">
        <v>722</v>
      </c>
      <c r="J476" s="3">
        <v>2898659</v>
      </c>
      <c r="K476" s="3">
        <v>27778.95</v>
      </c>
      <c r="L476" s="2">
        <v>25.2</v>
      </c>
      <c r="M476" s="11">
        <v>35.265240640000002</v>
      </c>
      <c r="N476" s="3">
        <v>7</v>
      </c>
      <c r="O476" s="3">
        <v>603022</v>
      </c>
      <c r="P476" s="3">
        <v>778404</v>
      </c>
      <c r="Q476" s="10">
        <v>0</v>
      </c>
      <c r="R476" s="3">
        <f>(Таблица1[Размер кредита]-$AA$2)/$AA$3</f>
        <v>1.3153384744440269</v>
      </c>
      <c r="S476" s="3">
        <f>(Таблица1[Кредитный рейтинг]-$AA$7)/($AA$8-$AA$7)</f>
        <v>0.96138482023968042</v>
      </c>
      <c r="T476" s="3">
        <f>(Таблица1[Срок с последнего нарушения кредитного договора (мес,)]-$AA$12)/($AA$13-$AA$12)</f>
        <v>0.40074137090909095</v>
      </c>
      <c r="U476" s="3">
        <f>(Таблица1[Количество кредитных карт]-$AA$18)/($AA$19-$AA$18)</f>
        <v>0.14285714285714285</v>
      </c>
      <c r="V476" s="3">
        <f>(Таблица1[Число нарушений кредитных договоров]-$AA$23)/($AA$24-$AA$23)</f>
        <v>0</v>
      </c>
      <c r="W476" s="3">
        <f>Таблица1[[#This Row],[Годовой доход]]/12</f>
        <v>241554.91666666666</v>
      </c>
      <c r="X476" s="3">
        <f>Таблица1[[#This Row],[Ежемесячный платеж]]/Таблица1[[#This Row],[Ежем доход]]</f>
        <v>0.11500055715418751</v>
      </c>
      <c r="Y476" s="3"/>
      <c r="Z476" s="3"/>
      <c r="AA476" s="3"/>
      <c r="AB476" s="3"/>
    </row>
    <row r="477" spans="1:28" x14ac:dyDescent="0.2">
      <c r="A477">
        <v>381</v>
      </c>
      <c r="B477" t="s">
        <v>423</v>
      </c>
      <c r="C477" t="s">
        <v>18</v>
      </c>
      <c r="D477" t="s">
        <v>19</v>
      </c>
      <c r="E477" t="s">
        <v>41</v>
      </c>
      <c r="F477" t="s">
        <v>21</v>
      </c>
      <c r="G477" t="s">
        <v>25</v>
      </c>
      <c r="H477" s="1">
        <v>319726</v>
      </c>
      <c r="I477" s="3">
        <v>749</v>
      </c>
      <c r="J477" s="3">
        <v>952185</v>
      </c>
      <c r="K477" s="3">
        <v>17059.91</v>
      </c>
      <c r="L477" s="2">
        <v>21.2</v>
      </c>
      <c r="M477" s="11">
        <v>35.265240640000002</v>
      </c>
      <c r="N477" s="3">
        <v>8</v>
      </c>
      <c r="O477" s="3">
        <v>299725</v>
      </c>
      <c r="P477" s="3">
        <v>778140</v>
      </c>
      <c r="Q477" s="10">
        <v>0</v>
      </c>
      <c r="R477" s="3">
        <f>(Таблица1[Размер кредита]-$AA$2)/$AA$3</f>
        <v>5.7681336427743569E-2</v>
      </c>
      <c r="S477" s="3">
        <f>(Таблица1[Кредитный рейтинг]-$AA$7)/($AA$8-$AA$7)</f>
        <v>0.99733688415446076</v>
      </c>
      <c r="T477" s="3">
        <f>(Таблица1[Срок с последнего нарушения кредитного договора (мес,)]-$AA$12)/($AA$13-$AA$12)</f>
        <v>0.40074137090909095</v>
      </c>
      <c r="U477" s="3">
        <f>(Таблица1[Количество кредитных карт]-$AA$18)/($AA$19-$AA$18)</f>
        <v>0.16666666666666666</v>
      </c>
      <c r="V477" s="3">
        <f>(Таблица1[Число нарушений кредитных договоров]-$AA$23)/($AA$24-$AA$23)</f>
        <v>0</v>
      </c>
      <c r="W477" s="3">
        <f>Таблица1[[#This Row],[Годовой доход]]/12</f>
        <v>79348.75</v>
      </c>
      <c r="X477" s="3">
        <f>Таблица1[[#This Row],[Ежемесячный платеж]]/Таблица1[[#This Row],[Ежем доход]]</f>
        <v>0.21499910206524991</v>
      </c>
      <c r="Y477" s="3"/>
      <c r="Z477" s="3"/>
      <c r="AA477" s="3"/>
      <c r="AB477" s="3"/>
    </row>
    <row r="478" spans="1:28" x14ac:dyDescent="0.2">
      <c r="A478">
        <v>1649</v>
      </c>
      <c r="B478" t="s">
        <v>1687</v>
      </c>
      <c r="C478" t="s">
        <v>18</v>
      </c>
      <c r="D478" t="s">
        <v>19</v>
      </c>
      <c r="E478" t="s">
        <v>24</v>
      </c>
      <c r="F478" t="s">
        <v>21</v>
      </c>
      <c r="G478" t="s">
        <v>22</v>
      </c>
      <c r="H478" s="1">
        <v>263714</v>
      </c>
      <c r="I478" s="3">
        <v>743</v>
      </c>
      <c r="J478" s="3">
        <v>3416238</v>
      </c>
      <c r="K478" s="3">
        <v>14547.54</v>
      </c>
      <c r="L478" s="2">
        <v>13.8</v>
      </c>
      <c r="M478" s="11">
        <v>35.265240640000002</v>
      </c>
      <c r="N478" s="3">
        <v>9</v>
      </c>
      <c r="O478" s="3">
        <v>271966</v>
      </c>
      <c r="P478" s="3">
        <v>775654</v>
      </c>
      <c r="Q478" s="10">
        <v>0</v>
      </c>
      <c r="R478" s="3">
        <f>(Таблица1[Размер кредита]-$AA$2)/$AA$3</f>
        <v>-0.26121071350647185</v>
      </c>
      <c r="S478" s="3">
        <f>(Таблица1[Кредитный рейтинг]-$AA$7)/($AA$8-$AA$7)</f>
        <v>0.98934753661784292</v>
      </c>
      <c r="T478" s="3">
        <f>(Таблица1[Срок с последнего нарушения кредитного договора (мес,)]-$AA$12)/($AA$13-$AA$12)</f>
        <v>0.40074137090909095</v>
      </c>
      <c r="U478" s="3">
        <f>(Таблица1[Количество кредитных карт]-$AA$18)/($AA$19-$AA$18)</f>
        <v>0.19047619047619047</v>
      </c>
      <c r="V478" s="3">
        <f>(Таблица1[Число нарушений кредитных договоров]-$AA$23)/($AA$24-$AA$23)</f>
        <v>0</v>
      </c>
      <c r="W478" s="3">
        <f>Таблица1[[#This Row],[Годовой доход]]/12</f>
        <v>284686.5</v>
      </c>
      <c r="X478" s="3">
        <f>Таблица1[[#This Row],[Ежемесячный платеж]]/Таблица1[[#This Row],[Ежем доход]]</f>
        <v>5.1100210231254384E-2</v>
      </c>
      <c r="Y478" s="3"/>
      <c r="Z478" s="3"/>
      <c r="AA478" s="3"/>
      <c r="AB478" s="3"/>
    </row>
    <row r="479" spans="1:28" x14ac:dyDescent="0.2">
      <c r="A479">
        <v>1883</v>
      </c>
      <c r="B479" t="s">
        <v>1919</v>
      </c>
      <c r="C479" t="s">
        <v>18</v>
      </c>
      <c r="D479" t="s">
        <v>29</v>
      </c>
      <c r="E479" t="s">
        <v>30</v>
      </c>
      <c r="F479" t="s">
        <v>21</v>
      </c>
      <c r="G479" t="s">
        <v>25</v>
      </c>
      <c r="H479" s="1">
        <v>545006</v>
      </c>
      <c r="I479" s="3">
        <v>716</v>
      </c>
      <c r="J479" s="3">
        <v>1331444</v>
      </c>
      <c r="K479" s="3">
        <v>32842.639999999999</v>
      </c>
      <c r="L479" s="2">
        <v>22.4</v>
      </c>
      <c r="M479" s="11">
        <v>35.265240640000002</v>
      </c>
      <c r="N479" s="3">
        <v>7</v>
      </c>
      <c r="O479" s="3">
        <v>640642</v>
      </c>
      <c r="P479" s="3">
        <v>772706</v>
      </c>
      <c r="Q479" s="10">
        <v>0</v>
      </c>
      <c r="R479" s="3">
        <f>(Таблица1[Размер кредита]-$AA$2)/$AA$3</f>
        <v>1.3402636582369996</v>
      </c>
      <c r="S479" s="3">
        <f>(Таблица1[Кредитный рейтинг]-$AA$7)/($AA$8-$AA$7)</f>
        <v>0.95339547270306257</v>
      </c>
      <c r="T479" s="3">
        <f>(Таблица1[Срок с последнего нарушения кредитного договора (мес,)]-$AA$12)/($AA$13-$AA$12)</f>
        <v>0.40074137090909095</v>
      </c>
      <c r="U479" s="3">
        <f>(Таблица1[Количество кредитных карт]-$AA$18)/($AA$19-$AA$18)</f>
        <v>0.14285714285714285</v>
      </c>
      <c r="V479" s="3">
        <f>(Таблица1[Число нарушений кредитных договоров]-$AA$23)/($AA$24-$AA$23)</f>
        <v>0</v>
      </c>
      <c r="W479" s="3">
        <f>Таблица1[[#This Row],[Годовой доход]]/12</f>
        <v>110953.66666666667</v>
      </c>
      <c r="X479" s="3">
        <f>Таблица1[[#This Row],[Ежемесячный платеж]]/Таблица1[[#This Row],[Ежем доход]]</f>
        <v>0.29600319652948226</v>
      </c>
      <c r="Y479" s="3"/>
      <c r="Z479" s="3"/>
      <c r="AA479" s="3"/>
      <c r="AB479" s="3"/>
    </row>
    <row r="480" spans="1:28" x14ac:dyDescent="0.2">
      <c r="A480">
        <v>1662</v>
      </c>
      <c r="B480" t="s">
        <v>1700</v>
      </c>
      <c r="C480" t="s">
        <v>18</v>
      </c>
      <c r="D480" t="s">
        <v>29</v>
      </c>
      <c r="E480" t="s">
        <v>24</v>
      </c>
      <c r="F480" t="s">
        <v>21</v>
      </c>
      <c r="G480" t="s">
        <v>25</v>
      </c>
      <c r="H480" s="1">
        <v>717794</v>
      </c>
      <c r="I480" s="3">
        <v>646</v>
      </c>
      <c r="J480" s="3">
        <v>1549792</v>
      </c>
      <c r="K480" s="3">
        <v>26346.54</v>
      </c>
      <c r="L480" s="2">
        <v>22.6</v>
      </c>
      <c r="M480" s="11">
        <v>76</v>
      </c>
      <c r="N480" s="3">
        <v>9</v>
      </c>
      <c r="O480" s="3">
        <v>552577</v>
      </c>
      <c r="P480" s="3">
        <v>771804</v>
      </c>
      <c r="Q480" s="10">
        <v>0</v>
      </c>
      <c r="R480" s="3">
        <f>(Таблица1[Размер кредита]-$AA$2)/$AA$3</f>
        <v>2.3239942788903099</v>
      </c>
      <c r="S480" s="3">
        <f>(Таблица1[Кредитный рейтинг]-$AA$7)/($AA$8-$AA$7)</f>
        <v>0.86018641810918772</v>
      </c>
      <c r="T480" s="3">
        <f>(Таблица1[Срок с последнего нарушения кредитного договора (мес,)]-$AA$12)/($AA$13-$AA$12)</f>
        <v>0.86363636363636365</v>
      </c>
      <c r="U480" s="3">
        <f>(Таблица1[Количество кредитных карт]-$AA$18)/($AA$19-$AA$18)</f>
        <v>0.19047619047619047</v>
      </c>
      <c r="V480" s="3">
        <f>(Таблица1[Число нарушений кредитных договоров]-$AA$23)/($AA$24-$AA$23)</f>
        <v>0</v>
      </c>
      <c r="W480" s="3">
        <f>Таблица1[[#This Row],[Годовой доход]]/12</f>
        <v>129149.33333333333</v>
      </c>
      <c r="X480" s="3">
        <f>Таблица1[[#This Row],[Ежемесячный платеж]]/Таблица1[[#This Row],[Ежем доход]]</f>
        <v>0.20400058846606514</v>
      </c>
      <c r="Y480" s="3"/>
      <c r="Z480" s="3"/>
      <c r="AA480" s="3"/>
      <c r="AB480" s="3"/>
    </row>
    <row r="481" spans="1:28" x14ac:dyDescent="0.2">
      <c r="A481">
        <v>620</v>
      </c>
      <c r="B481" t="s">
        <v>661</v>
      </c>
      <c r="C481" t="s">
        <v>18</v>
      </c>
      <c r="D481" t="s">
        <v>29</v>
      </c>
      <c r="E481" t="s">
        <v>24</v>
      </c>
      <c r="F481" t="s">
        <v>21</v>
      </c>
      <c r="G481" t="s">
        <v>25</v>
      </c>
      <c r="H481" s="1">
        <v>778712</v>
      </c>
      <c r="I481" s="3">
        <v>688</v>
      </c>
      <c r="J481" s="3">
        <v>3842940</v>
      </c>
      <c r="K481" s="3">
        <v>59565.57</v>
      </c>
      <c r="L481" s="2">
        <v>25</v>
      </c>
      <c r="M481" s="11">
        <v>35.265240640000002</v>
      </c>
      <c r="N481" s="3">
        <v>18</v>
      </c>
      <c r="O481" s="3">
        <v>548568</v>
      </c>
      <c r="P481" s="3">
        <v>771782</v>
      </c>
      <c r="Q481" s="10">
        <v>0</v>
      </c>
      <c r="R481" s="3">
        <f>(Таблица1[Размер кредита]-$AA$2)/$AA$3</f>
        <v>2.6708175649342385</v>
      </c>
      <c r="S481" s="3">
        <f>(Таблица1[Кредитный рейтинг]-$AA$7)/($AA$8-$AA$7)</f>
        <v>0.91611185086551261</v>
      </c>
      <c r="T481" s="3">
        <f>(Таблица1[Срок с последнего нарушения кредитного договора (мес,)]-$AA$12)/($AA$13-$AA$12)</f>
        <v>0.40074137090909095</v>
      </c>
      <c r="U481" s="3">
        <f>(Таблица1[Количество кредитных карт]-$AA$18)/($AA$19-$AA$18)</f>
        <v>0.40476190476190477</v>
      </c>
      <c r="V481" s="3">
        <f>(Таблица1[Число нарушений кредитных договоров]-$AA$23)/($AA$24-$AA$23)</f>
        <v>0</v>
      </c>
      <c r="W481" s="3">
        <f>Таблица1[[#This Row],[Годовой доход]]/12</f>
        <v>320245</v>
      </c>
      <c r="X481" s="3">
        <f>Таблица1[[#This Row],[Ежемесячный платеж]]/Таблица1[[#This Row],[Ежем доход]]</f>
        <v>0.186</v>
      </c>
      <c r="Y481" s="3"/>
      <c r="Z481" s="3"/>
      <c r="AA481" s="3"/>
      <c r="AB481" s="3"/>
    </row>
    <row r="482" spans="1:28" x14ac:dyDescent="0.2">
      <c r="A482">
        <v>340</v>
      </c>
      <c r="B482" t="s">
        <v>382</v>
      </c>
      <c r="C482" t="s">
        <v>18</v>
      </c>
      <c r="D482" t="s">
        <v>19</v>
      </c>
      <c r="E482" t="s">
        <v>24</v>
      </c>
      <c r="F482" t="s">
        <v>21</v>
      </c>
      <c r="G482" t="s">
        <v>102</v>
      </c>
      <c r="H482" s="1">
        <v>112574</v>
      </c>
      <c r="I482" s="3">
        <v>729</v>
      </c>
      <c r="J482" s="3">
        <v>1555416</v>
      </c>
      <c r="K482" s="3">
        <v>10706.5</v>
      </c>
      <c r="L482" s="2">
        <v>13.7</v>
      </c>
      <c r="M482" s="11">
        <v>40</v>
      </c>
      <c r="N482" s="3">
        <v>13</v>
      </c>
      <c r="O482" s="3">
        <v>86507</v>
      </c>
      <c r="P482" s="3">
        <v>770440</v>
      </c>
      <c r="Q482" s="10">
        <v>0</v>
      </c>
      <c r="R482" s="3">
        <f>(Таблица1[Размер кредита]-$AA$2)/$AA$3</f>
        <v>-1.1216931891734239</v>
      </c>
      <c r="S482" s="3">
        <f>(Таблица1[Кредитный рейтинг]-$AA$7)/($AA$8-$AA$7)</f>
        <v>0.97070572569906788</v>
      </c>
      <c r="T482" s="3">
        <f>(Таблица1[Срок с последнего нарушения кредитного договора (мес,)]-$AA$12)/($AA$13-$AA$12)</f>
        <v>0.45454545454545453</v>
      </c>
      <c r="U482" s="3">
        <f>(Таблица1[Количество кредитных карт]-$AA$18)/($AA$19-$AA$18)</f>
        <v>0.2857142857142857</v>
      </c>
      <c r="V482" s="3">
        <f>(Таблица1[Число нарушений кредитных договоров]-$AA$23)/($AA$24-$AA$23)</f>
        <v>0</v>
      </c>
      <c r="W482" s="3">
        <f>Таблица1[[#This Row],[Годовой доход]]/12</f>
        <v>129618</v>
      </c>
      <c r="X482" s="3">
        <f>Таблица1[[#This Row],[Ежемесячный платеж]]/Таблица1[[#This Row],[Ежем доход]]</f>
        <v>8.260041043682205E-2</v>
      </c>
      <c r="Y482" s="3"/>
      <c r="Z482" s="3"/>
      <c r="AA482" s="3"/>
      <c r="AB482" s="3"/>
    </row>
    <row r="483" spans="1:28" x14ac:dyDescent="0.2">
      <c r="A483">
        <v>747</v>
      </c>
      <c r="B483" t="s">
        <v>788</v>
      </c>
      <c r="C483" t="s">
        <v>18</v>
      </c>
      <c r="D483" t="s">
        <v>19</v>
      </c>
      <c r="E483" t="s">
        <v>24</v>
      </c>
      <c r="F483" t="s">
        <v>21</v>
      </c>
      <c r="G483" t="s">
        <v>25</v>
      </c>
      <c r="H483" s="1">
        <v>320078</v>
      </c>
      <c r="I483" s="3">
        <v>0</v>
      </c>
      <c r="J483" s="3">
        <v>1168044</v>
      </c>
      <c r="K483" s="3">
        <v>11364.85</v>
      </c>
      <c r="L483" s="2">
        <v>19.100000000000001</v>
      </c>
      <c r="M483" s="11">
        <v>15</v>
      </c>
      <c r="N483" s="3">
        <v>12</v>
      </c>
      <c r="O483" s="3">
        <v>393015</v>
      </c>
      <c r="P483" s="3">
        <v>770000</v>
      </c>
      <c r="Q483" s="10">
        <v>0</v>
      </c>
      <c r="R483" s="3">
        <f>(Таблица1[Размер кредита]-$AA$2)/$AA$3</f>
        <v>5.9685371305570535E-2</v>
      </c>
      <c r="S483" s="3">
        <f>(Таблица1[Кредитный рейтинг]-$AA$7)/($AA$8-$AA$7)</f>
        <v>0</v>
      </c>
      <c r="T483" s="3">
        <f>(Таблица1[Срок с последнего нарушения кредитного договора (мес,)]-$AA$12)/($AA$13-$AA$12)</f>
        <v>0.17045454545454544</v>
      </c>
      <c r="U483" s="3">
        <f>(Таблица1[Количество кредитных карт]-$AA$18)/($AA$19-$AA$18)</f>
        <v>0.26190476190476192</v>
      </c>
      <c r="V483" s="3">
        <f>(Таблица1[Число нарушений кредитных договоров]-$AA$23)/($AA$24-$AA$23)</f>
        <v>0</v>
      </c>
      <c r="W483" s="3">
        <f>Таблица1[[#This Row],[Годовой доход]]/12</f>
        <v>97337</v>
      </c>
      <c r="X483" s="3">
        <f>Таблица1[[#This Row],[Ежемесячный платеж]]/Таблица1[[#This Row],[Ежем доход]]</f>
        <v>0.11675775912551239</v>
      </c>
      <c r="Y483" s="3"/>
      <c r="Z483" s="3"/>
      <c r="AA483" s="3"/>
      <c r="AB483" s="3"/>
    </row>
    <row r="484" spans="1:28" x14ac:dyDescent="0.2">
      <c r="A484">
        <v>1516</v>
      </c>
      <c r="B484" t="s">
        <v>1555</v>
      </c>
      <c r="C484" t="s">
        <v>35</v>
      </c>
      <c r="D484" t="s">
        <v>19</v>
      </c>
      <c r="E484" t="s">
        <v>24</v>
      </c>
      <c r="F484" t="s">
        <v>21</v>
      </c>
      <c r="G484" t="s">
        <v>25</v>
      </c>
      <c r="H484" s="1">
        <v>781088</v>
      </c>
      <c r="I484" s="3">
        <v>731</v>
      </c>
      <c r="J484" s="3">
        <v>1541888</v>
      </c>
      <c r="K484" s="3">
        <v>22999.69</v>
      </c>
      <c r="L484" s="2">
        <v>20.100000000000001</v>
      </c>
      <c r="M484" s="11">
        <v>35.265240640000002</v>
      </c>
      <c r="N484" s="3">
        <v>15</v>
      </c>
      <c r="O484" s="3">
        <v>477983</v>
      </c>
      <c r="P484" s="3">
        <v>769758</v>
      </c>
      <c r="Q484" s="10">
        <v>0</v>
      </c>
      <c r="R484" s="3">
        <f>(Таблица1[Размер кредита]-$AA$2)/$AA$3</f>
        <v>2.6843448003595705</v>
      </c>
      <c r="S484" s="3">
        <f>(Таблица1[Кредитный рейтинг]-$AA$7)/($AA$8-$AA$7)</f>
        <v>0.97336884154460723</v>
      </c>
      <c r="T484" s="3">
        <f>(Таблица1[Срок с последнего нарушения кредитного договора (мес,)]-$AA$12)/($AA$13-$AA$12)</f>
        <v>0.40074137090909095</v>
      </c>
      <c r="U484" s="3">
        <f>(Таблица1[Количество кредитных карт]-$AA$18)/($AA$19-$AA$18)</f>
        <v>0.33333333333333331</v>
      </c>
      <c r="V484" s="3">
        <f>(Таблица1[Число нарушений кредитных договоров]-$AA$23)/($AA$24-$AA$23)</f>
        <v>0</v>
      </c>
      <c r="W484" s="3">
        <f>Таблица1[[#This Row],[Годовой доход]]/12</f>
        <v>128490.66666666667</v>
      </c>
      <c r="X484" s="3">
        <f>Таблица1[[#This Row],[Ежемесячный платеж]]/Таблица1[[#This Row],[Ежем доход]]</f>
        <v>0.17899891561514195</v>
      </c>
      <c r="Y484" s="3"/>
      <c r="Z484" s="3"/>
      <c r="AA484" s="3"/>
      <c r="AB484" s="3"/>
    </row>
    <row r="485" spans="1:28" x14ac:dyDescent="0.2">
      <c r="A485">
        <v>684</v>
      </c>
      <c r="B485" t="s">
        <v>725</v>
      </c>
      <c r="C485" t="s">
        <v>18</v>
      </c>
      <c r="D485" t="s">
        <v>19</v>
      </c>
      <c r="E485" t="s">
        <v>30</v>
      </c>
      <c r="F485" t="s">
        <v>33</v>
      </c>
      <c r="G485" t="s">
        <v>25</v>
      </c>
      <c r="H485" s="1">
        <v>341550</v>
      </c>
      <c r="I485" s="3">
        <v>682</v>
      </c>
      <c r="J485" s="3">
        <v>823612</v>
      </c>
      <c r="K485" s="3">
        <v>19149.150000000001</v>
      </c>
      <c r="L485" s="2">
        <v>11.4</v>
      </c>
      <c r="M485" s="11">
        <v>36</v>
      </c>
      <c r="N485" s="3">
        <v>26</v>
      </c>
      <c r="O485" s="3">
        <v>600153</v>
      </c>
      <c r="P485" s="3">
        <v>769560</v>
      </c>
      <c r="Q485" s="10">
        <v>0</v>
      </c>
      <c r="R485" s="3">
        <f>(Таблица1[Размер кредита]-$AA$2)/$AA$3</f>
        <v>0.18193149885301527</v>
      </c>
      <c r="S485" s="3">
        <f>(Таблица1[Кредитный рейтинг]-$AA$7)/($AA$8-$AA$7)</f>
        <v>0.90812250332889477</v>
      </c>
      <c r="T485" s="3">
        <f>(Таблица1[Срок с последнего нарушения кредитного договора (мес,)]-$AA$12)/($AA$13-$AA$12)</f>
        <v>0.40909090909090912</v>
      </c>
      <c r="U485" s="3">
        <f>(Таблица1[Количество кредитных карт]-$AA$18)/($AA$19-$AA$18)</f>
        <v>0.59523809523809523</v>
      </c>
      <c r="V485" s="3">
        <f>(Таблица1[Число нарушений кредитных договоров]-$AA$23)/($AA$24-$AA$23)</f>
        <v>0</v>
      </c>
      <c r="W485" s="3">
        <f>Таблица1[[#This Row],[Годовой доход]]/12</f>
        <v>68634.333333333328</v>
      </c>
      <c r="X485" s="3">
        <f>Таблица1[[#This Row],[Ежемесячный платеж]]/Таблица1[[#This Row],[Ежем доход]]</f>
        <v>0.27900249146442746</v>
      </c>
      <c r="Y485" s="3"/>
      <c r="Z485" s="3"/>
      <c r="AA485" s="3"/>
      <c r="AB485" s="3"/>
    </row>
    <row r="486" spans="1:28" x14ac:dyDescent="0.2">
      <c r="A486">
        <v>636</v>
      </c>
      <c r="B486" t="s">
        <v>677</v>
      </c>
      <c r="C486" t="s">
        <v>18</v>
      </c>
      <c r="D486" t="s">
        <v>29</v>
      </c>
      <c r="E486" t="s">
        <v>24</v>
      </c>
      <c r="F486" t="s">
        <v>21</v>
      </c>
      <c r="G486" t="s">
        <v>25</v>
      </c>
      <c r="H486" s="1">
        <v>231264</v>
      </c>
      <c r="I486" s="3">
        <v>656</v>
      </c>
      <c r="J486" s="3">
        <v>433371</v>
      </c>
      <c r="K486" s="3">
        <v>7078.45</v>
      </c>
      <c r="L486" s="2">
        <v>16</v>
      </c>
      <c r="M486" s="11">
        <v>35.265240640000002</v>
      </c>
      <c r="N486" s="3">
        <v>9</v>
      </c>
      <c r="O486" s="3">
        <v>331588</v>
      </c>
      <c r="P486" s="3">
        <v>769428</v>
      </c>
      <c r="Q486" s="10">
        <v>0</v>
      </c>
      <c r="R486" s="3">
        <f>(Таблица1[Размер кредита]-$AA$2)/$AA$3</f>
        <v>-0.44595767880614495</v>
      </c>
      <c r="S486" s="3">
        <f>(Таблица1[Кредитный рейтинг]-$AA$7)/($AA$8-$AA$7)</f>
        <v>0.87350199733688416</v>
      </c>
      <c r="T486" s="3">
        <f>(Таблица1[Срок с последнего нарушения кредитного договора (мес,)]-$AA$12)/($AA$13-$AA$12)</f>
        <v>0.40074137090909095</v>
      </c>
      <c r="U486" s="3">
        <f>(Таблица1[Количество кредитных карт]-$AA$18)/($AA$19-$AA$18)</f>
        <v>0.19047619047619047</v>
      </c>
      <c r="V486" s="3">
        <f>(Таблица1[Число нарушений кредитных договоров]-$AA$23)/($AA$24-$AA$23)</f>
        <v>0</v>
      </c>
      <c r="W486" s="3">
        <f>Таблица1[[#This Row],[Годовой доход]]/12</f>
        <v>36114.25</v>
      </c>
      <c r="X486" s="3">
        <f>Таблица1[[#This Row],[Ежемесячный платеж]]/Таблица1[[#This Row],[Ежем доход]]</f>
        <v>0.19600157832434564</v>
      </c>
      <c r="Y486" s="3"/>
      <c r="Z486" s="3"/>
      <c r="AA486" s="3"/>
      <c r="AB486" s="3"/>
    </row>
    <row r="487" spans="1:28" x14ac:dyDescent="0.2">
      <c r="A487">
        <v>1945</v>
      </c>
      <c r="B487" t="s">
        <v>1981</v>
      </c>
      <c r="C487" t="s">
        <v>35</v>
      </c>
      <c r="D487" t="s">
        <v>19</v>
      </c>
      <c r="E487" t="s">
        <v>41</v>
      </c>
      <c r="F487" t="s">
        <v>33</v>
      </c>
      <c r="G487" t="s">
        <v>67</v>
      </c>
      <c r="H487" s="1">
        <v>48488</v>
      </c>
      <c r="I487" s="3">
        <v>683</v>
      </c>
      <c r="J487" s="3">
        <v>1142166</v>
      </c>
      <c r="K487" s="3">
        <v>13420.46</v>
      </c>
      <c r="L487" s="2">
        <v>16.399999999999999</v>
      </c>
      <c r="M487" s="11">
        <v>29</v>
      </c>
      <c r="N487" s="3">
        <v>11</v>
      </c>
      <c r="O487" s="3">
        <v>169803</v>
      </c>
      <c r="P487" s="3">
        <v>768020</v>
      </c>
      <c r="Q487" s="10">
        <v>0</v>
      </c>
      <c r="R487" s="3">
        <f>(Таблица1[Размер кредита]-$AA$2)/$AA$3</f>
        <v>-1.4865527891177954</v>
      </c>
      <c r="S487" s="3">
        <f>(Таблица1[Кредитный рейтинг]-$AA$7)/($AA$8-$AA$7)</f>
        <v>0.9094540612516645</v>
      </c>
      <c r="T487" s="3">
        <f>(Таблица1[Срок с последнего нарушения кредитного договора (мес,)]-$AA$12)/($AA$13-$AA$12)</f>
        <v>0.32954545454545453</v>
      </c>
      <c r="U487" s="3">
        <f>(Таблица1[Количество кредитных карт]-$AA$18)/($AA$19-$AA$18)</f>
        <v>0.23809523809523808</v>
      </c>
      <c r="V487" s="3">
        <f>(Таблица1[Число нарушений кредитных договоров]-$AA$23)/($AA$24-$AA$23)</f>
        <v>0</v>
      </c>
      <c r="W487" s="3">
        <f>Таблица1[[#This Row],[Годовой доход]]/12</f>
        <v>95180.5</v>
      </c>
      <c r="X487" s="3">
        <f>Таблица1[[#This Row],[Ежемесячный платеж]]/Таблица1[[#This Row],[Ежем доход]]</f>
        <v>0.1410000998103603</v>
      </c>
      <c r="Y487" s="3"/>
      <c r="Z487" s="3"/>
      <c r="AA487" s="3"/>
      <c r="AB487" s="3"/>
    </row>
    <row r="488" spans="1:28" x14ac:dyDescent="0.2">
      <c r="A488">
        <v>346</v>
      </c>
      <c r="B488" t="s">
        <v>388</v>
      </c>
      <c r="C488" t="s">
        <v>35</v>
      </c>
      <c r="D488" t="s">
        <v>19</v>
      </c>
      <c r="E488" t="s">
        <v>69</v>
      </c>
      <c r="F488" t="s">
        <v>27</v>
      </c>
      <c r="G488" t="s">
        <v>67</v>
      </c>
      <c r="H488" s="1">
        <v>261910</v>
      </c>
      <c r="I488" s="3">
        <v>675</v>
      </c>
      <c r="J488" s="3">
        <v>1438509</v>
      </c>
      <c r="K488" s="3">
        <v>24334.82</v>
      </c>
      <c r="L488" s="2">
        <v>15.6</v>
      </c>
      <c r="M488" s="11">
        <v>35.265240640000002</v>
      </c>
      <c r="N488" s="3">
        <v>9</v>
      </c>
      <c r="O488" s="3">
        <v>74214</v>
      </c>
      <c r="P488" s="3">
        <v>767272</v>
      </c>
      <c r="Q488" s="10">
        <v>1</v>
      </c>
      <c r="R488" s="3">
        <f>(Таблица1[Размер кредита]-$AA$2)/$AA$3</f>
        <v>-0.27148139225533502</v>
      </c>
      <c r="S488" s="3">
        <f>(Таблица1[Кредитный рейтинг]-$AA$7)/($AA$8-$AA$7)</f>
        <v>0.89880159786950731</v>
      </c>
      <c r="T488" s="3">
        <f>(Таблица1[Срок с последнего нарушения кредитного договора (мес,)]-$AA$12)/($AA$13-$AA$12)</f>
        <v>0.40074137090909095</v>
      </c>
      <c r="U488" s="3">
        <f>(Таблица1[Количество кредитных карт]-$AA$18)/($AA$19-$AA$18)</f>
        <v>0.19047619047619047</v>
      </c>
      <c r="V488" s="3">
        <f>(Таблица1[Число нарушений кредитных договоров]-$AA$23)/($AA$24-$AA$23)</f>
        <v>0.14285714285714285</v>
      </c>
      <c r="W488" s="3">
        <f>Таблица1[[#This Row],[Годовой доход]]/12</f>
        <v>119875.75</v>
      </c>
      <c r="X488" s="3">
        <f>Таблица1[[#This Row],[Ежемесячный платеж]]/Таблица1[[#This Row],[Ежем доход]]</f>
        <v>0.20300035661924951</v>
      </c>
      <c r="Y488" s="3"/>
      <c r="Z488" s="3"/>
      <c r="AA488" s="3"/>
      <c r="AB488" s="3"/>
    </row>
    <row r="489" spans="1:28" x14ac:dyDescent="0.2">
      <c r="A489">
        <v>1291</v>
      </c>
      <c r="B489" t="s">
        <v>1330</v>
      </c>
      <c r="C489" t="s">
        <v>18</v>
      </c>
      <c r="D489" t="s">
        <v>29</v>
      </c>
      <c r="E489" t="s">
        <v>24</v>
      </c>
      <c r="F489" t="s">
        <v>21</v>
      </c>
      <c r="G489" t="s">
        <v>22</v>
      </c>
      <c r="H489" s="1">
        <v>234102</v>
      </c>
      <c r="I489" s="3">
        <v>715</v>
      </c>
      <c r="J489" s="3">
        <v>1097516</v>
      </c>
      <c r="K489" s="3">
        <v>20121</v>
      </c>
      <c r="L489" s="2">
        <v>18.399999999999999</v>
      </c>
      <c r="M489" s="11">
        <v>67</v>
      </c>
      <c r="N489" s="3">
        <v>12</v>
      </c>
      <c r="O489" s="3">
        <v>469015</v>
      </c>
      <c r="P489" s="3">
        <v>767052</v>
      </c>
      <c r="Q489" s="10">
        <v>1</v>
      </c>
      <c r="R489" s="3">
        <f>(Таблица1[Размер кредита]-$AA$2)/$AA$3</f>
        <v>-0.42980014760366508</v>
      </c>
      <c r="S489" s="3">
        <f>(Таблица1[Кредитный рейтинг]-$AA$7)/($AA$8-$AA$7)</f>
        <v>0.95206391478029295</v>
      </c>
      <c r="T489" s="3">
        <f>(Таблица1[Срок с последнего нарушения кредитного договора (мес,)]-$AA$12)/($AA$13-$AA$12)</f>
        <v>0.76136363636363635</v>
      </c>
      <c r="U489" s="3">
        <f>(Таблица1[Количество кредитных карт]-$AA$18)/($AA$19-$AA$18)</f>
        <v>0.26190476190476192</v>
      </c>
      <c r="V489" s="3">
        <f>(Таблица1[Число нарушений кредитных договоров]-$AA$23)/($AA$24-$AA$23)</f>
        <v>0.14285714285714285</v>
      </c>
      <c r="W489" s="3">
        <f>Таблица1[[#This Row],[Годовой доход]]/12</f>
        <v>91459.666666666672</v>
      </c>
      <c r="X489" s="3">
        <f>Таблица1[[#This Row],[Ежемесячный платеж]]/Таблица1[[#This Row],[Ежем доход]]</f>
        <v>0.21999861505435911</v>
      </c>
      <c r="Y489" s="3"/>
      <c r="Z489" s="3"/>
      <c r="AA489" s="3"/>
      <c r="AB489" s="3"/>
    </row>
    <row r="490" spans="1:28" x14ac:dyDescent="0.2">
      <c r="A490">
        <v>1919</v>
      </c>
      <c r="B490" t="s">
        <v>1955</v>
      </c>
      <c r="C490" t="s">
        <v>18</v>
      </c>
      <c r="D490" t="s">
        <v>19</v>
      </c>
      <c r="E490" t="s">
        <v>47</v>
      </c>
      <c r="F490" t="s">
        <v>21</v>
      </c>
      <c r="G490" t="s">
        <v>25</v>
      </c>
      <c r="H490" s="1">
        <v>358688</v>
      </c>
      <c r="I490" s="3">
        <v>729</v>
      </c>
      <c r="J490" s="3">
        <v>1161660</v>
      </c>
      <c r="K490" s="3">
        <v>7783.16</v>
      </c>
      <c r="L490" s="2">
        <v>23.2</v>
      </c>
      <c r="M490" s="11">
        <v>12</v>
      </c>
      <c r="N490" s="3">
        <v>11</v>
      </c>
      <c r="O490" s="3">
        <v>278882</v>
      </c>
      <c r="P490" s="3">
        <v>767008</v>
      </c>
      <c r="Q490" s="10">
        <v>0</v>
      </c>
      <c r="R490" s="3">
        <f>(Таблица1[Размер кредита]-$AA$2)/$AA$3</f>
        <v>0.2795029469672155</v>
      </c>
      <c r="S490" s="3">
        <f>(Таблица1[Кредитный рейтинг]-$AA$7)/($AA$8-$AA$7)</f>
        <v>0.97070572569906788</v>
      </c>
      <c r="T490" s="3">
        <f>(Таблица1[Срок с последнего нарушения кредитного договора (мес,)]-$AA$12)/($AA$13-$AA$12)</f>
        <v>0.13636363636363635</v>
      </c>
      <c r="U490" s="3">
        <f>(Таблица1[Количество кредитных карт]-$AA$18)/($AA$19-$AA$18)</f>
        <v>0.23809523809523808</v>
      </c>
      <c r="V490" s="3">
        <f>(Таблица1[Число нарушений кредитных договоров]-$AA$23)/($AA$24-$AA$23)</f>
        <v>0</v>
      </c>
      <c r="W490" s="3">
        <f>Таблица1[[#This Row],[Годовой доход]]/12</f>
        <v>96805</v>
      </c>
      <c r="X490" s="3">
        <f>Таблица1[[#This Row],[Ежемесячный платеж]]/Таблица1[[#This Row],[Ежем доход]]</f>
        <v>8.0400392541707555E-2</v>
      </c>
      <c r="Y490" s="3"/>
      <c r="Z490" s="3"/>
      <c r="AA490" s="3"/>
      <c r="AB490" s="3"/>
    </row>
    <row r="491" spans="1:28" x14ac:dyDescent="0.2">
      <c r="A491">
        <v>1638</v>
      </c>
      <c r="B491" t="s">
        <v>1676</v>
      </c>
      <c r="C491" t="s">
        <v>35</v>
      </c>
      <c r="D491" t="s">
        <v>29</v>
      </c>
      <c r="E491" t="s">
        <v>30</v>
      </c>
      <c r="F491" t="s">
        <v>21</v>
      </c>
      <c r="G491" t="s">
        <v>67</v>
      </c>
      <c r="H491" s="1">
        <v>265760</v>
      </c>
      <c r="I491" s="3">
        <v>711</v>
      </c>
      <c r="J491" s="3">
        <v>994612</v>
      </c>
      <c r="K491" s="3">
        <v>15002.21</v>
      </c>
      <c r="L491" s="2">
        <v>34.200000000000003</v>
      </c>
      <c r="M491" s="11">
        <v>11</v>
      </c>
      <c r="N491" s="3">
        <v>10</v>
      </c>
      <c r="O491" s="3">
        <v>350854</v>
      </c>
      <c r="P491" s="3">
        <v>766502</v>
      </c>
      <c r="Q491" s="10">
        <v>0</v>
      </c>
      <c r="R491" s="3">
        <f>(Таблица1[Размер кредита]-$AA$2)/$AA$3</f>
        <v>-0.24956226077910262</v>
      </c>
      <c r="S491" s="3">
        <f>(Таблица1[Кредитный рейтинг]-$AA$7)/($AA$8-$AA$7)</f>
        <v>0.94673768308921435</v>
      </c>
      <c r="T491" s="3">
        <f>(Таблица1[Срок с последнего нарушения кредитного договора (мес,)]-$AA$12)/($AA$13-$AA$12)</f>
        <v>0.125</v>
      </c>
      <c r="U491" s="3">
        <f>(Таблица1[Количество кредитных карт]-$AA$18)/($AA$19-$AA$18)</f>
        <v>0.21428571428571427</v>
      </c>
      <c r="V491" s="3">
        <f>(Таблица1[Число нарушений кредитных договоров]-$AA$23)/($AA$24-$AA$23)</f>
        <v>0</v>
      </c>
      <c r="W491" s="3">
        <f>Таблица1[[#This Row],[Годовой доход]]/12</f>
        <v>82884.333333333328</v>
      </c>
      <c r="X491" s="3">
        <f>Таблица1[[#This Row],[Ежемесячный платеж]]/Таблица1[[#This Row],[Ежем доход]]</f>
        <v>0.1810017574692443</v>
      </c>
      <c r="Y491" s="3"/>
      <c r="Z491" s="3"/>
      <c r="AA491" s="3"/>
      <c r="AB491" s="3"/>
    </row>
    <row r="492" spans="1:28" x14ac:dyDescent="0.2">
      <c r="A492">
        <v>1346</v>
      </c>
      <c r="B492" t="s">
        <v>1385</v>
      </c>
      <c r="C492" t="s">
        <v>18</v>
      </c>
      <c r="D492" t="s">
        <v>19</v>
      </c>
      <c r="E492" t="s">
        <v>24</v>
      </c>
      <c r="F492" t="s">
        <v>21</v>
      </c>
      <c r="G492" t="s">
        <v>25</v>
      </c>
      <c r="H492" s="1">
        <v>257444</v>
      </c>
      <c r="I492" s="3">
        <v>739</v>
      </c>
      <c r="J492" s="3">
        <v>1037609</v>
      </c>
      <c r="K492" s="3">
        <v>17985.400000000001</v>
      </c>
      <c r="L492" s="2">
        <v>29.1</v>
      </c>
      <c r="M492" s="11">
        <v>63</v>
      </c>
      <c r="N492" s="3">
        <v>9</v>
      </c>
      <c r="O492" s="3">
        <v>191710</v>
      </c>
      <c r="P492" s="3">
        <v>765468</v>
      </c>
      <c r="Q492" s="10">
        <v>0</v>
      </c>
      <c r="R492" s="3">
        <f>(Таблица1[Размер кредита]-$AA$2)/$AA$3</f>
        <v>-0.29690758476776463</v>
      </c>
      <c r="S492" s="3">
        <f>(Таблица1[Кредитный рейтинг]-$AA$7)/($AA$8-$AA$7)</f>
        <v>0.98402130492676432</v>
      </c>
      <c r="T492" s="3">
        <f>(Таблица1[Срок с последнего нарушения кредитного договора (мес,)]-$AA$12)/($AA$13-$AA$12)</f>
        <v>0.71590909090909094</v>
      </c>
      <c r="U492" s="3">
        <f>(Таблица1[Количество кредитных карт]-$AA$18)/($AA$19-$AA$18)</f>
        <v>0.19047619047619047</v>
      </c>
      <c r="V492" s="3">
        <f>(Таблица1[Число нарушений кредитных договоров]-$AA$23)/($AA$24-$AA$23)</f>
        <v>0</v>
      </c>
      <c r="W492" s="3">
        <f>Таблица1[[#This Row],[Годовой доход]]/12</f>
        <v>86467.416666666672</v>
      </c>
      <c r="X492" s="3">
        <f>Таблица1[[#This Row],[Ежемесячный платеж]]/Таблица1[[#This Row],[Ежем доход]]</f>
        <v>0.20800205086887258</v>
      </c>
      <c r="Y492" s="3"/>
      <c r="Z492" s="3"/>
      <c r="AA492" s="3"/>
      <c r="AB492" s="3"/>
    </row>
    <row r="493" spans="1:28" x14ac:dyDescent="0.2">
      <c r="A493">
        <v>1364</v>
      </c>
      <c r="B493" t="s">
        <v>1403</v>
      </c>
      <c r="C493" t="s">
        <v>18</v>
      </c>
      <c r="D493" t="s">
        <v>19</v>
      </c>
      <c r="E493" t="s">
        <v>24</v>
      </c>
      <c r="F493" t="s">
        <v>33</v>
      </c>
      <c r="G493" t="s">
        <v>25</v>
      </c>
      <c r="H493" s="1">
        <v>173338</v>
      </c>
      <c r="I493" s="3">
        <v>0</v>
      </c>
      <c r="J493" s="3">
        <v>1168044</v>
      </c>
      <c r="K493" s="3">
        <v>19703.38</v>
      </c>
      <c r="L493" s="2">
        <v>17.399999999999999</v>
      </c>
      <c r="M493" s="11">
        <v>12</v>
      </c>
      <c r="N493" s="3">
        <v>10</v>
      </c>
      <c r="O493" s="3">
        <v>479902</v>
      </c>
      <c r="P493" s="3">
        <v>765402</v>
      </c>
      <c r="Q493" s="10">
        <v>0</v>
      </c>
      <c r="R493" s="3">
        <f>(Таблица1[Размер кредита]-$AA$2)/$AA$3</f>
        <v>-0.77574666838854456</v>
      </c>
      <c r="S493" s="3">
        <f>(Таблица1[Кредитный рейтинг]-$AA$7)/($AA$8-$AA$7)</f>
        <v>0</v>
      </c>
      <c r="T493" s="3">
        <f>(Таблица1[Срок с последнего нарушения кредитного договора (мес,)]-$AA$12)/($AA$13-$AA$12)</f>
        <v>0.13636363636363635</v>
      </c>
      <c r="U493" s="3">
        <f>(Таблица1[Количество кредитных карт]-$AA$18)/($AA$19-$AA$18)</f>
        <v>0.21428571428571427</v>
      </c>
      <c r="V493" s="3">
        <f>(Таблица1[Число нарушений кредитных договоров]-$AA$23)/($AA$24-$AA$23)</f>
        <v>0</v>
      </c>
      <c r="W493" s="3">
        <f>Таблица1[[#This Row],[Годовой доход]]/12</f>
        <v>97337</v>
      </c>
      <c r="X493" s="3">
        <f>Таблица1[[#This Row],[Ежемесячный платеж]]/Таблица1[[#This Row],[Ежем доход]]</f>
        <v>0.20242436072613704</v>
      </c>
      <c r="Y493" s="3"/>
      <c r="Z493" s="3"/>
      <c r="AA493" s="3"/>
      <c r="AB493" s="3"/>
    </row>
    <row r="494" spans="1:28" x14ac:dyDescent="0.2">
      <c r="A494">
        <v>926</v>
      </c>
      <c r="B494" t="s">
        <v>967</v>
      </c>
      <c r="C494" t="s">
        <v>18</v>
      </c>
      <c r="D494" t="s">
        <v>19</v>
      </c>
      <c r="E494" t="s">
        <v>63</v>
      </c>
      <c r="F494" t="s">
        <v>21</v>
      </c>
      <c r="G494" t="s">
        <v>25</v>
      </c>
      <c r="H494" s="1">
        <v>335808</v>
      </c>
      <c r="I494" s="3">
        <v>0</v>
      </c>
      <c r="J494" s="3">
        <v>1168044</v>
      </c>
      <c r="K494" s="3">
        <v>14210.86</v>
      </c>
      <c r="L494" s="2">
        <v>17.7</v>
      </c>
      <c r="M494" s="11">
        <v>35.265240640000002</v>
      </c>
      <c r="N494" s="3">
        <v>11</v>
      </c>
      <c r="O494" s="3">
        <v>376599</v>
      </c>
      <c r="P494" s="3">
        <v>765006</v>
      </c>
      <c r="Q494" s="10">
        <v>0</v>
      </c>
      <c r="R494" s="3">
        <f>(Таблица1[Размер кредита]-$AA$2)/$AA$3</f>
        <v>0.14924067990846293</v>
      </c>
      <c r="S494" s="3">
        <f>(Таблица1[Кредитный рейтинг]-$AA$7)/($AA$8-$AA$7)</f>
        <v>0</v>
      </c>
      <c r="T494" s="3">
        <f>(Таблица1[Срок с последнего нарушения кредитного договора (мес,)]-$AA$12)/($AA$13-$AA$12)</f>
        <v>0.40074137090909095</v>
      </c>
      <c r="U494" s="3">
        <f>(Таблица1[Количество кредитных карт]-$AA$18)/($AA$19-$AA$18)</f>
        <v>0.23809523809523808</v>
      </c>
      <c r="V494" s="3">
        <f>(Таблица1[Число нарушений кредитных договоров]-$AA$23)/($AA$24-$AA$23)</f>
        <v>0</v>
      </c>
      <c r="W494" s="3">
        <f>Таблица1[[#This Row],[Годовой доход]]/12</f>
        <v>97337</v>
      </c>
      <c r="X494" s="3">
        <f>Таблица1[[#This Row],[Ежемесячный платеж]]/Таблица1[[#This Row],[Ежем доход]]</f>
        <v>0.14599648643373025</v>
      </c>
      <c r="Y494" s="3"/>
      <c r="Z494" s="3"/>
      <c r="AA494" s="3"/>
      <c r="AB494" s="3"/>
    </row>
    <row r="495" spans="1:28" x14ac:dyDescent="0.2">
      <c r="A495">
        <v>1645</v>
      </c>
      <c r="B495" t="s">
        <v>1683</v>
      </c>
      <c r="C495" t="s">
        <v>18</v>
      </c>
      <c r="D495" t="s">
        <v>19</v>
      </c>
      <c r="E495" t="s">
        <v>20</v>
      </c>
      <c r="F495" t="s">
        <v>21</v>
      </c>
      <c r="G495" t="s">
        <v>25</v>
      </c>
      <c r="H495" s="1">
        <v>74272</v>
      </c>
      <c r="I495" s="3">
        <v>740</v>
      </c>
      <c r="J495" s="3">
        <v>1072303</v>
      </c>
      <c r="K495" s="3">
        <v>10186.85</v>
      </c>
      <c r="L495" s="2">
        <v>27.2</v>
      </c>
      <c r="M495" s="11">
        <v>35.265240640000002</v>
      </c>
      <c r="N495" s="3">
        <v>9</v>
      </c>
      <c r="O495" s="3">
        <v>160854</v>
      </c>
      <c r="P495" s="3">
        <v>763290</v>
      </c>
      <c r="Q495" s="10">
        <v>1</v>
      </c>
      <c r="R495" s="3">
        <f>(Таблица1[Размер кредита]-$AA$2)/$AA$3</f>
        <v>-1.3397572343169704</v>
      </c>
      <c r="S495" s="3">
        <f>(Таблица1[Кредитный рейтинг]-$AA$7)/($AA$8-$AA$7)</f>
        <v>0.98535286284953394</v>
      </c>
      <c r="T495" s="3">
        <f>(Таблица1[Срок с последнего нарушения кредитного договора (мес,)]-$AA$12)/($AA$13-$AA$12)</f>
        <v>0.40074137090909095</v>
      </c>
      <c r="U495" s="3">
        <f>(Таблица1[Количество кредитных карт]-$AA$18)/($AA$19-$AA$18)</f>
        <v>0.19047619047619047</v>
      </c>
      <c r="V495" s="3">
        <f>(Таблица1[Число нарушений кредитных договоров]-$AA$23)/($AA$24-$AA$23)</f>
        <v>0.14285714285714285</v>
      </c>
      <c r="W495" s="3">
        <f>Таблица1[[#This Row],[Годовой доход]]/12</f>
        <v>89358.583333333328</v>
      </c>
      <c r="X495" s="3">
        <f>Таблица1[[#This Row],[Ежемесячный платеж]]/Таблица1[[#This Row],[Ежем доход]]</f>
        <v>0.11399968106029733</v>
      </c>
      <c r="Y495" s="3"/>
      <c r="Z495" s="3"/>
      <c r="AA495" s="3"/>
      <c r="AB495" s="3"/>
    </row>
    <row r="496" spans="1:28" x14ac:dyDescent="0.2">
      <c r="A496">
        <v>1156</v>
      </c>
      <c r="B496" t="s">
        <v>1195</v>
      </c>
      <c r="C496" t="s">
        <v>18</v>
      </c>
      <c r="D496" t="s">
        <v>29</v>
      </c>
      <c r="E496" t="s">
        <v>24</v>
      </c>
      <c r="F496" t="s">
        <v>27</v>
      </c>
      <c r="G496" t="s">
        <v>25</v>
      </c>
      <c r="H496" s="1">
        <v>758450</v>
      </c>
      <c r="I496" s="3">
        <v>723</v>
      </c>
      <c r="J496" s="3">
        <v>2245800</v>
      </c>
      <c r="K496" s="3">
        <v>20960.8</v>
      </c>
      <c r="L496" s="2">
        <v>18.2</v>
      </c>
      <c r="M496" s="11">
        <v>35.265240640000002</v>
      </c>
      <c r="N496" s="3">
        <v>7</v>
      </c>
      <c r="O496" s="3">
        <v>641725</v>
      </c>
      <c r="P496" s="3">
        <v>762872</v>
      </c>
      <c r="Q496" s="10">
        <v>0</v>
      </c>
      <c r="R496" s="3">
        <f>(Таблица1[Размер кредита]-$AA$2)/$AA$3</f>
        <v>2.5554603072793243</v>
      </c>
      <c r="S496" s="3">
        <f>(Таблица1[Кредитный рейтинг]-$AA$7)/($AA$8-$AA$7)</f>
        <v>0.96271637816245004</v>
      </c>
      <c r="T496" s="3">
        <f>(Таблица1[Срок с последнего нарушения кредитного договора (мес,)]-$AA$12)/($AA$13-$AA$12)</f>
        <v>0.40074137090909095</v>
      </c>
      <c r="U496" s="3">
        <f>(Таблица1[Количество кредитных карт]-$AA$18)/($AA$19-$AA$18)</f>
        <v>0.14285714285714285</v>
      </c>
      <c r="V496" s="3">
        <f>(Таблица1[Число нарушений кредитных договоров]-$AA$23)/($AA$24-$AA$23)</f>
        <v>0</v>
      </c>
      <c r="W496" s="3">
        <f>Таблица1[[#This Row],[Годовой доход]]/12</f>
        <v>187150</v>
      </c>
      <c r="X496" s="3">
        <f>Таблица1[[#This Row],[Ежемесячный платеж]]/Таблица1[[#This Row],[Ежем доход]]</f>
        <v>0.112</v>
      </c>
      <c r="Y496" s="3"/>
      <c r="Z496" s="3"/>
      <c r="AA496" s="3"/>
      <c r="AB496" s="3"/>
    </row>
    <row r="497" spans="1:28" x14ac:dyDescent="0.2">
      <c r="A497">
        <v>1803</v>
      </c>
      <c r="B497" t="s">
        <v>1841</v>
      </c>
      <c r="C497" t="s">
        <v>18</v>
      </c>
      <c r="D497" t="s">
        <v>29</v>
      </c>
      <c r="E497" t="s">
        <v>50</v>
      </c>
      <c r="F497" t="s">
        <v>21</v>
      </c>
      <c r="G497" t="s">
        <v>25</v>
      </c>
      <c r="H497" s="1">
        <v>660132</v>
      </c>
      <c r="I497" s="3">
        <v>714</v>
      </c>
      <c r="J497" s="3">
        <v>1520304</v>
      </c>
      <c r="K497" s="3">
        <v>30532.81</v>
      </c>
      <c r="L497" s="2">
        <v>12.6</v>
      </c>
      <c r="M497" s="11">
        <v>78</v>
      </c>
      <c r="N497" s="3">
        <v>11</v>
      </c>
      <c r="O497" s="3">
        <v>430559</v>
      </c>
      <c r="P497" s="3">
        <v>761112</v>
      </c>
      <c r="Q497" s="10">
        <v>0</v>
      </c>
      <c r="R497" s="3">
        <f>(Таблица1[Размер кредита]-$AA$2)/$AA$3</f>
        <v>1.9957083154662807</v>
      </c>
      <c r="S497" s="3">
        <f>(Таблица1[Кредитный рейтинг]-$AA$7)/($AA$8-$AA$7)</f>
        <v>0.95073235685752333</v>
      </c>
      <c r="T497" s="3">
        <f>(Таблица1[Срок с последнего нарушения кредитного договора (мес,)]-$AA$12)/($AA$13-$AA$12)</f>
        <v>0.88636363636363635</v>
      </c>
      <c r="U497" s="3">
        <f>(Таблица1[Количество кредитных карт]-$AA$18)/($AA$19-$AA$18)</f>
        <v>0.23809523809523808</v>
      </c>
      <c r="V497" s="3">
        <f>(Таблица1[Число нарушений кредитных договоров]-$AA$23)/($AA$24-$AA$23)</f>
        <v>0</v>
      </c>
      <c r="W497" s="3">
        <f>Таблица1[[#This Row],[Годовой доход]]/12</f>
        <v>126692</v>
      </c>
      <c r="X497" s="3">
        <f>Таблица1[[#This Row],[Ежемесячный платеж]]/Таблица1[[#This Row],[Ежем доход]]</f>
        <v>0.24100029994001201</v>
      </c>
      <c r="Y497" s="3"/>
      <c r="Z497" s="3"/>
      <c r="AA497" s="3"/>
      <c r="AB497" s="3"/>
    </row>
    <row r="498" spans="1:28" x14ac:dyDescent="0.2">
      <c r="A498">
        <v>1249</v>
      </c>
      <c r="B498" t="s">
        <v>1288</v>
      </c>
      <c r="C498" t="s">
        <v>18</v>
      </c>
      <c r="D498" t="s">
        <v>29</v>
      </c>
      <c r="E498" t="s">
        <v>20</v>
      </c>
      <c r="F498" t="s">
        <v>21</v>
      </c>
      <c r="G498" t="s">
        <v>25</v>
      </c>
      <c r="H498" s="1">
        <v>263714</v>
      </c>
      <c r="I498" s="3">
        <v>717</v>
      </c>
      <c r="J498" s="3">
        <v>4744775</v>
      </c>
      <c r="K498" s="3">
        <v>72357.89</v>
      </c>
      <c r="L498" s="2">
        <v>34.5</v>
      </c>
      <c r="M498" s="11">
        <v>55</v>
      </c>
      <c r="N498" s="3">
        <v>10</v>
      </c>
      <c r="O498" s="3">
        <v>594738</v>
      </c>
      <c r="P498" s="3">
        <v>760078</v>
      </c>
      <c r="Q498" s="10">
        <v>0</v>
      </c>
      <c r="R498" s="3">
        <f>(Таблица1[Размер кредита]-$AA$2)/$AA$3</f>
        <v>-0.26121071350647185</v>
      </c>
      <c r="S498" s="3">
        <f>(Таблица1[Кредитный рейтинг]-$AA$7)/($AA$8-$AA$7)</f>
        <v>0.9547270306258322</v>
      </c>
      <c r="T498" s="3">
        <f>(Таблица1[Срок с последнего нарушения кредитного договора (мес,)]-$AA$12)/($AA$13-$AA$12)</f>
        <v>0.625</v>
      </c>
      <c r="U498" s="3">
        <f>(Таблица1[Количество кредитных карт]-$AA$18)/($AA$19-$AA$18)</f>
        <v>0.21428571428571427</v>
      </c>
      <c r="V498" s="3">
        <f>(Таблица1[Число нарушений кредитных договоров]-$AA$23)/($AA$24-$AA$23)</f>
        <v>0</v>
      </c>
      <c r="W498" s="3">
        <f>Таблица1[[#This Row],[Годовой доход]]/12</f>
        <v>395397.91666666669</v>
      </c>
      <c r="X498" s="3">
        <f>Таблица1[[#This Row],[Ежемесячный платеж]]/Таблица1[[#This Row],[Ежем доход]]</f>
        <v>0.18300018019821804</v>
      </c>
      <c r="Y498" s="3"/>
      <c r="Z498" s="3"/>
      <c r="AA498" s="3"/>
      <c r="AB498" s="3"/>
    </row>
    <row r="499" spans="1:28" x14ac:dyDescent="0.2">
      <c r="A499">
        <v>1414</v>
      </c>
      <c r="B499" t="s">
        <v>1453</v>
      </c>
      <c r="C499" t="s">
        <v>35</v>
      </c>
      <c r="D499" t="s">
        <v>19</v>
      </c>
      <c r="E499" t="s">
        <v>24</v>
      </c>
      <c r="F499" t="s">
        <v>27</v>
      </c>
      <c r="G499" t="s">
        <v>67</v>
      </c>
      <c r="H499" s="1">
        <v>67562</v>
      </c>
      <c r="I499" s="3">
        <v>0</v>
      </c>
      <c r="J499" s="3">
        <v>1168044</v>
      </c>
      <c r="K499" s="3">
        <v>5055.33</v>
      </c>
      <c r="L499" s="2">
        <v>23.1</v>
      </c>
      <c r="M499" s="11">
        <v>13</v>
      </c>
      <c r="N499" s="3">
        <v>15</v>
      </c>
      <c r="O499" s="3">
        <v>243333</v>
      </c>
      <c r="P499" s="3">
        <v>759418</v>
      </c>
      <c r="Q499" s="10">
        <v>0</v>
      </c>
      <c r="R499" s="3">
        <f>(Таблица1[Размер кредита]-$AA$2)/$AA$3</f>
        <v>-1.3779591491755467</v>
      </c>
      <c r="S499" s="3">
        <f>(Таблица1[Кредитный рейтинг]-$AA$7)/($AA$8-$AA$7)</f>
        <v>0</v>
      </c>
      <c r="T499" s="3">
        <f>(Таблица1[Срок с последнего нарушения кредитного договора (мес,)]-$AA$12)/($AA$13-$AA$12)</f>
        <v>0.14772727272727273</v>
      </c>
      <c r="U499" s="3">
        <f>(Таблица1[Количество кредитных карт]-$AA$18)/($AA$19-$AA$18)</f>
        <v>0.33333333333333331</v>
      </c>
      <c r="V499" s="3">
        <f>(Таблица1[Число нарушений кредитных договоров]-$AA$23)/($AA$24-$AA$23)</f>
        <v>0</v>
      </c>
      <c r="W499" s="3">
        <f>Таблица1[[#This Row],[Годовой доход]]/12</f>
        <v>97337</v>
      </c>
      <c r="X499" s="3">
        <f>Таблица1[[#This Row],[Ежемесячный платеж]]/Таблица1[[#This Row],[Ежем доход]]</f>
        <v>5.1936365410892055E-2</v>
      </c>
      <c r="Y499" s="3"/>
      <c r="Z499" s="3"/>
      <c r="AA499" s="3"/>
      <c r="AB499" s="3"/>
    </row>
    <row r="500" spans="1:28" x14ac:dyDescent="0.2">
      <c r="A500">
        <v>310</v>
      </c>
      <c r="B500" t="s">
        <v>352</v>
      </c>
      <c r="C500" t="s">
        <v>18</v>
      </c>
      <c r="D500" t="s">
        <v>19</v>
      </c>
      <c r="E500" t="s">
        <v>41</v>
      </c>
      <c r="F500" t="s">
        <v>33</v>
      </c>
      <c r="G500" t="s">
        <v>75</v>
      </c>
      <c r="H500" s="1">
        <v>130328</v>
      </c>
      <c r="I500" s="3">
        <v>740</v>
      </c>
      <c r="J500" s="3">
        <v>1707207</v>
      </c>
      <c r="K500" s="3">
        <v>12647.73</v>
      </c>
      <c r="L500" s="2">
        <v>23</v>
      </c>
      <c r="M500" s="11">
        <v>35.265240640000002</v>
      </c>
      <c r="N500" s="3">
        <v>12</v>
      </c>
      <c r="O500" s="3">
        <v>445721</v>
      </c>
      <c r="P500" s="3">
        <v>757834</v>
      </c>
      <c r="Q500" s="10">
        <v>0</v>
      </c>
      <c r="R500" s="3">
        <f>(Таблица1[Размер кредита]-$AA$2)/$AA$3</f>
        <v>-1.0206146800230265</v>
      </c>
      <c r="S500" s="3">
        <f>(Таблица1[Кредитный рейтинг]-$AA$7)/($AA$8-$AA$7)</f>
        <v>0.98535286284953394</v>
      </c>
      <c r="T500" s="3">
        <f>(Таблица1[Срок с последнего нарушения кредитного договора (мес,)]-$AA$12)/($AA$13-$AA$12)</f>
        <v>0.40074137090909095</v>
      </c>
      <c r="U500" s="3">
        <f>(Таблица1[Количество кредитных карт]-$AA$18)/($AA$19-$AA$18)</f>
        <v>0.26190476190476192</v>
      </c>
      <c r="V500" s="3">
        <f>(Таблица1[Число нарушений кредитных договоров]-$AA$23)/($AA$24-$AA$23)</f>
        <v>0</v>
      </c>
      <c r="W500" s="3">
        <f>Таблица1[[#This Row],[Годовой доход]]/12</f>
        <v>142267.25</v>
      </c>
      <c r="X500" s="3">
        <f>Таблица1[[#This Row],[Ежемесячный платеж]]/Таблица1[[#This Row],[Ежем доход]]</f>
        <v>8.8901205301993247E-2</v>
      </c>
      <c r="Y500" s="3"/>
      <c r="Z500" s="3"/>
      <c r="AA500" s="3"/>
      <c r="AB500" s="3"/>
    </row>
    <row r="501" spans="1:28" x14ac:dyDescent="0.2">
      <c r="A501">
        <v>915</v>
      </c>
      <c r="B501" t="s">
        <v>956</v>
      </c>
      <c r="C501" t="s">
        <v>18</v>
      </c>
      <c r="D501" t="s">
        <v>29</v>
      </c>
      <c r="E501" t="s">
        <v>20</v>
      </c>
      <c r="F501" t="s">
        <v>21</v>
      </c>
      <c r="G501" t="s">
        <v>22</v>
      </c>
      <c r="H501" s="1">
        <v>309594.52439999999</v>
      </c>
      <c r="I501" s="3">
        <v>701</v>
      </c>
      <c r="J501" s="3">
        <v>2508095</v>
      </c>
      <c r="K501" s="3">
        <v>32396.33</v>
      </c>
      <c r="L501" s="2">
        <v>14.4</v>
      </c>
      <c r="M501" s="11">
        <v>47</v>
      </c>
      <c r="N501" s="3">
        <v>16</v>
      </c>
      <c r="O501" s="3">
        <v>432060</v>
      </c>
      <c r="P501" s="3">
        <v>756866</v>
      </c>
      <c r="Q501" s="10">
        <v>0</v>
      </c>
      <c r="R501" s="3">
        <f>(Таблица1[Размер кредита]-$AA$2)/$AA$3</f>
        <v>-1.2411115481956205E-10</v>
      </c>
      <c r="S501" s="3">
        <f>(Таблица1[Кредитный рейтинг]-$AA$7)/($AA$8-$AA$7)</f>
        <v>0.93342210386151803</v>
      </c>
      <c r="T501" s="3">
        <f>(Таблица1[Срок с последнего нарушения кредитного договора (мес,)]-$AA$12)/($AA$13-$AA$12)</f>
        <v>0.53409090909090906</v>
      </c>
      <c r="U501" s="3">
        <f>(Таблица1[Количество кредитных карт]-$AA$18)/($AA$19-$AA$18)</f>
        <v>0.35714285714285715</v>
      </c>
      <c r="V501" s="3">
        <f>(Таблица1[Число нарушений кредитных договоров]-$AA$23)/($AA$24-$AA$23)</f>
        <v>0</v>
      </c>
      <c r="W501" s="3">
        <f>Таблица1[[#This Row],[Годовой доход]]/12</f>
        <v>209007.91666666666</v>
      </c>
      <c r="X501" s="3">
        <f>Таблица1[[#This Row],[Ежемесячный платеж]]/Таблица1[[#This Row],[Ежем доход]]</f>
        <v>0.15500049240559072</v>
      </c>
      <c r="Y501" s="3"/>
      <c r="Z501" s="3"/>
      <c r="AA501" s="3"/>
      <c r="AB501" s="3"/>
    </row>
    <row r="502" spans="1:28" x14ac:dyDescent="0.2">
      <c r="A502">
        <v>97</v>
      </c>
      <c r="B502" t="s">
        <v>139</v>
      </c>
      <c r="C502" t="s">
        <v>18</v>
      </c>
      <c r="D502" t="s">
        <v>19</v>
      </c>
      <c r="E502" t="s">
        <v>24</v>
      </c>
      <c r="F502" t="s">
        <v>27</v>
      </c>
      <c r="G502" t="s">
        <v>25</v>
      </c>
      <c r="H502" s="1">
        <v>158818</v>
      </c>
      <c r="I502" s="3">
        <v>731</v>
      </c>
      <c r="J502" s="3">
        <v>315666</v>
      </c>
      <c r="K502" s="3">
        <v>8522.83</v>
      </c>
      <c r="L502" s="2">
        <v>31.3</v>
      </c>
      <c r="M502" s="11">
        <v>60</v>
      </c>
      <c r="N502" s="3">
        <v>13</v>
      </c>
      <c r="O502" s="3">
        <v>260072</v>
      </c>
      <c r="P502" s="3">
        <v>756646</v>
      </c>
      <c r="Q502" s="10">
        <v>2</v>
      </c>
      <c r="R502" s="3">
        <f>(Таблица1[Размер кредита]-$AA$2)/$AA$3</f>
        <v>-0.85841310709890672</v>
      </c>
      <c r="S502" s="3">
        <f>(Таблица1[Кредитный рейтинг]-$AA$7)/($AA$8-$AA$7)</f>
        <v>0.97336884154460723</v>
      </c>
      <c r="T502" s="3">
        <f>(Таблица1[Срок с последнего нарушения кредитного договора (мес,)]-$AA$12)/($AA$13-$AA$12)</f>
        <v>0.68181818181818177</v>
      </c>
      <c r="U502" s="3">
        <f>(Таблица1[Количество кредитных карт]-$AA$18)/($AA$19-$AA$18)</f>
        <v>0.2857142857142857</v>
      </c>
      <c r="V502" s="3">
        <f>(Таблица1[Число нарушений кредитных договоров]-$AA$23)/($AA$24-$AA$23)</f>
        <v>0.2857142857142857</v>
      </c>
      <c r="W502" s="3">
        <f>Таблица1[[#This Row],[Годовой доход]]/12</f>
        <v>26305.5</v>
      </c>
      <c r="X502" s="3">
        <f>Таблица1[[#This Row],[Ежемесячный платеж]]/Таблица1[[#This Row],[Ежем доход]]</f>
        <v>0.32399422174070064</v>
      </c>
      <c r="Y502" s="3"/>
      <c r="Z502" s="3"/>
      <c r="AA502" s="3"/>
      <c r="AB502" s="3"/>
    </row>
    <row r="503" spans="1:28" x14ac:dyDescent="0.2">
      <c r="A503">
        <v>1948</v>
      </c>
      <c r="B503" t="s">
        <v>1984</v>
      </c>
      <c r="C503" t="s">
        <v>18</v>
      </c>
      <c r="D503" t="s">
        <v>19</v>
      </c>
      <c r="E503" t="s">
        <v>52</v>
      </c>
      <c r="F503" t="s">
        <v>21</v>
      </c>
      <c r="G503" t="s">
        <v>25</v>
      </c>
      <c r="H503" s="1">
        <v>133254</v>
      </c>
      <c r="I503" s="3">
        <v>0</v>
      </c>
      <c r="J503" s="3">
        <v>1168044</v>
      </c>
      <c r="K503" s="3">
        <v>26944.09</v>
      </c>
      <c r="L503" s="2">
        <v>21.8</v>
      </c>
      <c r="M503" s="11">
        <v>35.265240640000002</v>
      </c>
      <c r="N503" s="3">
        <v>7</v>
      </c>
      <c r="O503" s="3">
        <v>563217</v>
      </c>
      <c r="P503" s="3">
        <v>756558</v>
      </c>
      <c r="Q503" s="10">
        <v>0</v>
      </c>
      <c r="R503" s="3">
        <f>(Таблица1[Размер кредита]-$AA$2)/$AA$3</f>
        <v>-1.0039561401010899</v>
      </c>
      <c r="S503" s="3">
        <f>(Таблица1[Кредитный рейтинг]-$AA$7)/($AA$8-$AA$7)</f>
        <v>0</v>
      </c>
      <c r="T503" s="3">
        <f>(Таблица1[Срок с последнего нарушения кредитного договора (мес,)]-$AA$12)/($AA$13-$AA$12)</f>
        <v>0.40074137090909095</v>
      </c>
      <c r="U503" s="3">
        <f>(Таблица1[Количество кредитных карт]-$AA$18)/($AA$19-$AA$18)</f>
        <v>0.14285714285714285</v>
      </c>
      <c r="V503" s="3">
        <f>(Таблица1[Число нарушений кредитных договоров]-$AA$23)/($AA$24-$AA$23)</f>
        <v>0</v>
      </c>
      <c r="W503" s="3">
        <f>Таблица1[[#This Row],[Годовой доход]]/12</f>
        <v>97337</v>
      </c>
      <c r="X503" s="3">
        <f>Таблица1[[#This Row],[Ежемесячный платеж]]/Таблица1[[#This Row],[Ежем доход]]</f>
        <v>0.27681241460081984</v>
      </c>
      <c r="Y503" s="3"/>
      <c r="Z503" s="3"/>
      <c r="AA503" s="3"/>
      <c r="AB503" s="3"/>
    </row>
    <row r="504" spans="1:28" x14ac:dyDescent="0.2">
      <c r="A504">
        <v>1738</v>
      </c>
      <c r="B504" t="s">
        <v>1776</v>
      </c>
      <c r="C504" t="s">
        <v>18</v>
      </c>
      <c r="D504" t="s">
        <v>19</v>
      </c>
      <c r="E504" t="s">
        <v>24</v>
      </c>
      <c r="F504" t="s">
        <v>33</v>
      </c>
      <c r="G504" t="s">
        <v>67</v>
      </c>
      <c r="H504" s="1">
        <v>108614</v>
      </c>
      <c r="I504" s="3">
        <v>701</v>
      </c>
      <c r="J504" s="3">
        <v>1838345</v>
      </c>
      <c r="K504" s="3">
        <v>36613.760000000002</v>
      </c>
      <c r="L504" s="2">
        <v>17.5</v>
      </c>
      <c r="M504" s="11">
        <v>31</v>
      </c>
      <c r="N504" s="3">
        <v>19</v>
      </c>
      <c r="O504" s="3">
        <v>439831</v>
      </c>
      <c r="P504" s="3">
        <v>755612</v>
      </c>
      <c r="Q504" s="10">
        <v>0</v>
      </c>
      <c r="R504" s="3">
        <f>(Таблица1[Размер кредита]-$AA$2)/$AA$3</f>
        <v>-1.1442385815489773</v>
      </c>
      <c r="S504" s="3">
        <f>(Таблица1[Кредитный рейтинг]-$AA$7)/($AA$8-$AA$7)</f>
        <v>0.93342210386151803</v>
      </c>
      <c r="T504" s="3">
        <f>(Таблица1[Срок с последнего нарушения кредитного договора (мес,)]-$AA$12)/($AA$13-$AA$12)</f>
        <v>0.35227272727272729</v>
      </c>
      <c r="U504" s="3">
        <f>(Таблица1[Количество кредитных карт]-$AA$18)/($AA$19-$AA$18)</f>
        <v>0.42857142857142855</v>
      </c>
      <c r="V504" s="3">
        <f>(Таблица1[Число нарушений кредитных договоров]-$AA$23)/($AA$24-$AA$23)</f>
        <v>0</v>
      </c>
      <c r="W504" s="3">
        <f>Таблица1[[#This Row],[Годовой доход]]/12</f>
        <v>153195.41666666666</v>
      </c>
      <c r="X504" s="3">
        <f>Таблица1[[#This Row],[Ежемесячный платеж]]/Таблица1[[#This Row],[Ежем доход]]</f>
        <v>0.23900036173841149</v>
      </c>
      <c r="Y504" s="3"/>
      <c r="Z504" s="3"/>
      <c r="AA504" s="3"/>
      <c r="AB504" s="3"/>
    </row>
    <row r="505" spans="1:28" x14ac:dyDescent="0.2">
      <c r="A505">
        <v>1332</v>
      </c>
      <c r="B505" t="s">
        <v>1371</v>
      </c>
      <c r="C505" t="s">
        <v>18</v>
      </c>
      <c r="D505" t="s">
        <v>19</v>
      </c>
      <c r="E505" t="s">
        <v>24</v>
      </c>
      <c r="F505" t="s">
        <v>33</v>
      </c>
      <c r="G505" t="s">
        <v>25</v>
      </c>
      <c r="H505" s="1">
        <v>213752</v>
      </c>
      <c r="I505" s="3">
        <v>747</v>
      </c>
      <c r="J505" s="3">
        <v>1153794</v>
      </c>
      <c r="K505" s="3">
        <v>19056.810000000001</v>
      </c>
      <c r="L505" s="2">
        <v>17</v>
      </c>
      <c r="M505" s="11">
        <v>19</v>
      </c>
      <c r="N505" s="3">
        <v>10</v>
      </c>
      <c r="O505" s="3">
        <v>8474</v>
      </c>
      <c r="P505" s="3">
        <v>755326</v>
      </c>
      <c r="Q505" s="10">
        <v>0</v>
      </c>
      <c r="R505" s="3">
        <f>(Таблица1[Размер кредита]-$AA$2)/$AA$3</f>
        <v>-0.54565841397803638</v>
      </c>
      <c r="S505" s="3">
        <f>(Таблица1[Кредитный рейтинг]-$AA$7)/($AA$8-$AA$7)</f>
        <v>0.9946737683089214</v>
      </c>
      <c r="T505" s="3">
        <f>(Таблица1[Срок с последнего нарушения кредитного договора (мес,)]-$AA$12)/($AA$13-$AA$12)</f>
        <v>0.21590909090909091</v>
      </c>
      <c r="U505" s="3">
        <f>(Таблица1[Количество кредитных карт]-$AA$18)/($AA$19-$AA$18)</f>
        <v>0.21428571428571427</v>
      </c>
      <c r="V505" s="3">
        <f>(Таблица1[Число нарушений кредитных договоров]-$AA$23)/($AA$24-$AA$23)</f>
        <v>0</v>
      </c>
      <c r="W505" s="3">
        <f>Таблица1[[#This Row],[Годовой доход]]/12</f>
        <v>96149.5</v>
      </c>
      <c r="X505" s="3">
        <f>Таблица1[[#This Row],[Ежемесячный платеж]]/Таблица1[[#This Row],[Ежем доход]]</f>
        <v>0.1981997826301749</v>
      </c>
      <c r="Y505" s="3"/>
      <c r="Z505" s="3"/>
      <c r="AA505" s="3"/>
      <c r="AB505" s="3"/>
    </row>
    <row r="506" spans="1:28" x14ac:dyDescent="0.2">
      <c r="A506">
        <v>608</v>
      </c>
      <c r="B506" t="s">
        <v>649</v>
      </c>
      <c r="C506" t="s">
        <v>18</v>
      </c>
      <c r="D506" t="s">
        <v>19</v>
      </c>
      <c r="E506" t="s">
        <v>20</v>
      </c>
      <c r="F506" t="s">
        <v>21</v>
      </c>
      <c r="G506" t="s">
        <v>25</v>
      </c>
      <c r="H506" s="1">
        <v>765226</v>
      </c>
      <c r="I506" s="3">
        <v>726</v>
      </c>
      <c r="J506" s="3">
        <v>2643508</v>
      </c>
      <c r="K506" s="3">
        <v>34806.1</v>
      </c>
      <c r="L506" s="2">
        <v>8.6</v>
      </c>
      <c r="M506" s="11">
        <v>35.265240640000002</v>
      </c>
      <c r="N506" s="3">
        <v>9</v>
      </c>
      <c r="O506" s="3">
        <v>484937</v>
      </c>
      <c r="P506" s="3">
        <v>754710</v>
      </c>
      <c r="Q506" s="10">
        <v>0</v>
      </c>
      <c r="R506" s="3">
        <f>(Таблица1[Размер кредита]-$AA$2)/$AA$3</f>
        <v>2.594037978677493</v>
      </c>
      <c r="S506" s="3">
        <f>(Таблица1[Кредитный рейтинг]-$AA$7)/($AA$8-$AA$7)</f>
        <v>0.96671105193075901</v>
      </c>
      <c r="T506" s="3">
        <f>(Таблица1[Срок с последнего нарушения кредитного договора (мес,)]-$AA$12)/($AA$13-$AA$12)</f>
        <v>0.40074137090909095</v>
      </c>
      <c r="U506" s="3">
        <f>(Таблица1[Количество кредитных карт]-$AA$18)/($AA$19-$AA$18)</f>
        <v>0.19047619047619047</v>
      </c>
      <c r="V506" s="3">
        <f>(Таблица1[Число нарушений кредитных договоров]-$AA$23)/($AA$24-$AA$23)</f>
        <v>0</v>
      </c>
      <c r="W506" s="3">
        <f>Таблица1[[#This Row],[Годовой доход]]/12</f>
        <v>220292.33333333334</v>
      </c>
      <c r="X506" s="3">
        <f>Таблица1[[#This Row],[Ежемесячный платеж]]/Таблица1[[#This Row],[Ежем доход]]</f>
        <v>0.15799959750452805</v>
      </c>
      <c r="Y506" s="3"/>
      <c r="Z506" s="3"/>
      <c r="AA506" s="3"/>
      <c r="AB506" s="3"/>
    </row>
    <row r="507" spans="1:28" x14ac:dyDescent="0.2">
      <c r="A507">
        <v>741</v>
      </c>
      <c r="B507" t="s">
        <v>782</v>
      </c>
      <c r="C507" t="s">
        <v>18</v>
      </c>
      <c r="D507" t="s">
        <v>19</v>
      </c>
      <c r="E507" t="s">
        <v>47</v>
      </c>
      <c r="F507" t="s">
        <v>33</v>
      </c>
      <c r="G507" t="s">
        <v>25</v>
      </c>
      <c r="H507" s="1">
        <v>225808</v>
      </c>
      <c r="I507" s="3">
        <v>0</v>
      </c>
      <c r="J507" s="3">
        <v>1168044</v>
      </c>
      <c r="K507" s="3">
        <v>5552.18</v>
      </c>
      <c r="L507" s="2">
        <v>32.1</v>
      </c>
      <c r="M507" s="11">
        <v>43</v>
      </c>
      <c r="N507" s="3">
        <v>9</v>
      </c>
      <c r="O507" s="3">
        <v>189449</v>
      </c>
      <c r="P507" s="3">
        <v>753786</v>
      </c>
      <c r="Q507" s="10">
        <v>0</v>
      </c>
      <c r="R507" s="3">
        <f>(Таблица1[Размер кредита]-$AA$2)/$AA$3</f>
        <v>-0.47702021941246292</v>
      </c>
      <c r="S507" s="3">
        <f>(Таблица1[Кредитный рейтинг]-$AA$7)/($AA$8-$AA$7)</f>
        <v>0</v>
      </c>
      <c r="T507" s="3">
        <f>(Таблица1[Срок с последнего нарушения кредитного договора (мес,)]-$AA$12)/($AA$13-$AA$12)</f>
        <v>0.48863636363636365</v>
      </c>
      <c r="U507" s="3">
        <f>(Таблица1[Количество кредитных карт]-$AA$18)/($AA$19-$AA$18)</f>
        <v>0.19047619047619047</v>
      </c>
      <c r="V507" s="3">
        <f>(Таблица1[Число нарушений кредитных договоров]-$AA$23)/($AA$24-$AA$23)</f>
        <v>0</v>
      </c>
      <c r="W507" s="3">
        <f>Таблица1[[#This Row],[Годовой доход]]/12</f>
        <v>97337</v>
      </c>
      <c r="X507" s="3">
        <f>Таблица1[[#This Row],[Ежемесячный платеж]]/Таблица1[[#This Row],[Ежем доход]]</f>
        <v>5.704079640835448E-2</v>
      </c>
      <c r="Y507" s="3"/>
      <c r="Z507" s="3"/>
      <c r="AA507" s="3"/>
      <c r="AB507" s="3"/>
    </row>
    <row r="508" spans="1:28" x14ac:dyDescent="0.2">
      <c r="A508">
        <v>1700</v>
      </c>
      <c r="B508" t="s">
        <v>1738</v>
      </c>
      <c r="C508" t="s">
        <v>35</v>
      </c>
      <c r="D508" t="s">
        <v>19</v>
      </c>
      <c r="E508" t="s">
        <v>20</v>
      </c>
      <c r="F508" t="s">
        <v>33</v>
      </c>
      <c r="G508" t="s">
        <v>25</v>
      </c>
      <c r="H508" s="1">
        <v>324830</v>
      </c>
      <c r="I508" s="3">
        <v>717</v>
      </c>
      <c r="J508" s="3">
        <v>709916</v>
      </c>
      <c r="K508" s="3">
        <v>12955.91</v>
      </c>
      <c r="L508" s="2">
        <v>13.8</v>
      </c>
      <c r="M508" s="11">
        <v>0</v>
      </c>
      <c r="N508" s="3">
        <v>14</v>
      </c>
      <c r="O508" s="3">
        <v>280421</v>
      </c>
      <c r="P508" s="3">
        <v>753346</v>
      </c>
      <c r="Q508" s="10">
        <v>0</v>
      </c>
      <c r="R508" s="3">
        <f>(Таблица1[Размер кредита]-$AA$2)/$AA$3</f>
        <v>8.6739842156234523E-2</v>
      </c>
      <c r="S508" s="3">
        <f>(Таблица1[Кредитный рейтинг]-$AA$7)/($AA$8-$AA$7)</f>
        <v>0.9547270306258322</v>
      </c>
      <c r="T508" s="3">
        <f>(Таблица1[Срок с последнего нарушения кредитного договора (мес,)]-$AA$12)/($AA$13-$AA$12)</f>
        <v>0</v>
      </c>
      <c r="U508" s="3">
        <f>(Таблица1[Количество кредитных карт]-$AA$18)/($AA$19-$AA$18)</f>
        <v>0.30952380952380953</v>
      </c>
      <c r="V508" s="3">
        <f>(Таблица1[Число нарушений кредитных договоров]-$AA$23)/($AA$24-$AA$23)</f>
        <v>0</v>
      </c>
      <c r="W508" s="3">
        <f>Таблица1[[#This Row],[Годовой доход]]/12</f>
        <v>59159.666666666664</v>
      </c>
      <c r="X508" s="3">
        <f>Таблица1[[#This Row],[Ежемесячный платеж]]/Таблица1[[#This Row],[Ежем доход]]</f>
        <v>0.21899903650572744</v>
      </c>
      <c r="Y508" s="3"/>
      <c r="Z508" s="3"/>
      <c r="AA508" s="3"/>
      <c r="AB508" s="3"/>
    </row>
    <row r="509" spans="1:28" x14ac:dyDescent="0.2">
      <c r="A509">
        <v>1363</v>
      </c>
      <c r="B509" t="s">
        <v>1402</v>
      </c>
      <c r="C509" t="s">
        <v>35</v>
      </c>
      <c r="D509" t="s">
        <v>19</v>
      </c>
      <c r="E509" t="s">
        <v>50</v>
      </c>
      <c r="F509" t="s">
        <v>33</v>
      </c>
      <c r="G509" t="s">
        <v>25</v>
      </c>
      <c r="H509" s="1">
        <v>261052</v>
      </c>
      <c r="I509" s="3">
        <v>747</v>
      </c>
      <c r="J509" s="3">
        <v>2160528</v>
      </c>
      <c r="K509" s="3">
        <v>24305.94</v>
      </c>
      <c r="L509" s="2">
        <v>20.399999999999999</v>
      </c>
      <c r="M509" s="11">
        <v>50</v>
      </c>
      <c r="N509" s="3">
        <v>23</v>
      </c>
      <c r="O509" s="3">
        <v>160265</v>
      </c>
      <c r="P509" s="3">
        <v>751322</v>
      </c>
      <c r="Q509" s="10">
        <v>0</v>
      </c>
      <c r="R509" s="3">
        <f>(Таблица1[Размер кредита]-$AA$2)/$AA$3</f>
        <v>-0.27636622727003829</v>
      </c>
      <c r="S509" s="3">
        <f>(Таблица1[Кредитный рейтинг]-$AA$7)/($AA$8-$AA$7)</f>
        <v>0.9946737683089214</v>
      </c>
      <c r="T509" s="3">
        <f>(Таблица1[Срок с последнего нарушения кредитного договора (мес,)]-$AA$12)/($AA$13-$AA$12)</f>
        <v>0.56818181818181823</v>
      </c>
      <c r="U509" s="3">
        <f>(Таблица1[Количество кредитных карт]-$AA$18)/($AA$19-$AA$18)</f>
        <v>0.52380952380952384</v>
      </c>
      <c r="V509" s="3">
        <f>(Таблица1[Число нарушений кредитных договоров]-$AA$23)/($AA$24-$AA$23)</f>
        <v>0</v>
      </c>
      <c r="W509" s="3">
        <f>Таблица1[[#This Row],[Годовой доход]]/12</f>
        <v>180044</v>
      </c>
      <c r="X509" s="3">
        <f>Таблица1[[#This Row],[Ежемесячный платеж]]/Таблица1[[#This Row],[Ежем доход]]</f>
        <v>0.13499999999999998</v>
      </c>
      <c r="Y509" s="3"/>
      <c r="Z509" s="3"/>
      <c r="AA509" s="3"/>
      <c r="AB509" s="3"/>
    </row>
    <row r="510" spans="1:28" x14ac:dyDescent="0.2">
      <c r="A510">
        <v>1226</v>
      </c>
      <c r="B510" t="s">
        <v>1265</v>
      </c>
      <c r="C510" t="s">
        <v>18</v>
      </c>
      <c r="D510" t="s">
        <v>29</v>
      </c>
      <c r="E510" t="s">
        <v>24</v>
      </c>
      <c r="F510" t="s">
        <v>21</v>
      </c>
      <c r="G510" t="s">
        <v>25</v>
      </c>
      <c r="H510" s="1">
        <v>467324</v>
      </c>
      <c r="I510" s="3">
        <v>723</v>
      </c>
      <c r="J510" s="3">
        <v>1326086</v>
      </c>
      <c r="K510" s="3">
        <v>12266.21</v>
      </c>
      <c r="L510" s="2">
        <v>14.4</v>
      </c>
      <c r="M510" s="11">
        <v>35.265240640000002</v>
      </c>
      <c r="N510" s="3">
        <v>7</v>
      </c>
      <c r="O510" s="3">
        <v>410761</v>
      </c>
      <c r="P510" s="3">
        <v>750178</v>
      </c>
      <c r="Q510" s="10">
        <v>0</v>
      </c>
      <c r="R510" s="3">
        <f>(Таблица1[Размер кредита]-$AA$2)/$AA$3</f>
        <v>0.89799821113656186</v>
      </c>
      <c r="S510" s="3">
        <f>(Таблица1[Кредитный рейтинг]-$AA$7)/($AA$8-$AA$7)</f>
        <v>0.96271637816245004</v>
      </c>
      <c r="T510" s="3">
        <f>(Таблица1[Срок с последнего нарушения кредитного договора (мес,)]-$AA$12)/($AA$13-$AA$12)</f>
        <v>0.40074137090909095</v>
      </c>
      <c r="U510" s="3">
        <f>(Таблица1[Количество кредитных карт]-$AA$18)/($AA$19-$AA$18)</f>
        <v>0.14285714285714285</v>
      </c>
      <c r="V510" s="3">
        <f>(Таблица1[Число нарушений кредитных договоров]-$AA$23)/($AA$24-$AA$23)</f>
        <v>0</v>
      </c>
      <c r="W510" s="3">
        <f>Таблица1[[#This Row],[Годовой доход]]/12</f>
        <v>110507.16666666667</v>
      </c>
      <c r="X510" s="3">
        <f>Таблица1[[#This Row],[Ежемесячный платеж]]/Таблица1[[#This Row],[Ежем доход]]</f>
        <v>0.11099922629452387</v>
      </c>
      <c r="Y510" s="3"/>
      <c r="Z510" s="3"/>
      <c r="AA510" s="3"/>
      <c r="AB510" s="3"/>
    </row>
    <row r="511" spans="1:28" x14ac:dyDescent="0.2">
      <c r="A511">
        <v>3</v>
      </c>
      <c r="B511" t="s">
        <v>26</v>
      </c>
      <c r="C511" t="s">
        <v>18</v>
      </c>
      <c r="D511" t="s">
        <v>19</v>
      </c>
      <c r="E511" t="s">
        <v>20</v>
      </c>
      <c r="F511" t="s">
        <v>27</v>
      </c>
      <c r="G511" t="s">
        <v>25</v>
      </c>
      <c r="H511" s="1">
        <v>309594.52439999999</v>
      </c>
      <c r="I511" s="3">
        <v>741</v>
      </c>
      <c r="J511" s="3">
        <v>2231892</v>
      </c>
      <c r="K511" s="3">
        <v>29200.53</v>
      </c>
      <c r="L511" s="2">
        <v>14.9</v>
      </c>
      <c r="M511" s="11">
        <v>29</v>
      </c>
      <c r="N511" s="3">
        <v>18</v>
      </c>
      <c r="O511" s="3">
        <v>297996</v>
      </c>
      <c r="P511" s="3">
        <v>750090</v>
      </c>
      <c r="Q511" s="10">
        <v>1</v>
      </c>
      <c r="R511" s="3">
        <f>(Таблица1[Размер кредита]-$AA$2)/$AA$3</f>
        <v>-1.2411115481956205E-10</v>
      </c>
      <c r="S511" s="3">
        <f>(Таблица1[Кредитный рейтинг]-$AA$7)/($AA$8-$AA$7)</f>
        <v>0.98668442077230356</v>
      </c>
      <c r="T511" s="3">
        <f>(Таблица1[Срок с последнего нарушения кредитного договора (мес,)]-$AA$12)/($AA$13-$AA$12)</f>
        <v>0.32954545454545453</v>
      </c>
      <c r="U511" s="3">
        <f>(Таблица1[Количество кредитных карт]-$AA$18)/($AA$19-$AA$18)</f>
        <v>0.40476190476190477</v>
      </c>
      <c r="V511" s="3">
        <f>(Таблица1[Число нарушений кредитных договоров]-$AA$23)/($AA$24-$AA$23)</f>
        <v>0.14285714285714285</v>
      </c>
      <c r="W511" s="3">
        <f>Таблица1[[#This Row],[Годовой доход]]/12</f>
        <v>185991</v>
      </c>
      <c r="X511" s="3">
        <f>Таблица1[[#This Row],[Ежемесячный платеж]]/Таблица1[[#This Row],[Ежем доход]]</f>
        <v>0.15699969353355808</v>
      </c>
      <c r="Y511" s="3"/>
      <c r="Z511" s="3"/>
      <c r="AA511" s="3"/>
      <c r="AB511" s="3"/>
    </row>
    <row r="512" spans="1:28" x14ac:dyDescent="0.2">
      <c r="A512">
        <v>780</v>
      </c>
      <c r="B512" t="s">
        <v>821</v>
      </c>
      <c r="C512" t="s">
        <v>18</v>
      </c>
      <c r="D512" t="s">
        <v>19</v>
      </c>
      <c r="E512" t="s">
        <v>24</v>
      </c>
      <c r="F512" t="s">
        <v>21</v>
      </c>
      <c r="G512" t="s">
        <v>25</v>
      </c>
      <c r="H512" s="1">
        <v>336732</v>
      </c>
      <c r="I512" s="3">
        <v>738</v>
      </c>
      <c r="J512" s="3">
        <v>1970072</v>
      </c>
      <c r="K512" s="3">
        <v>35789.54</v>
      </c>
      <c r="L512" s="2">
        <v>14.6</v>
      </c>
      <c r="M512" s="11">
        <v>35.265240640000002</v>
      </c>
      <c r="N512" s="3">
        <v>14</v>
      </c>
      <c r="O512" s="3">
        <v>464987</v>
      </c>
      <c r="P512" s="3">
        <v>749892</v>
      </c>
      <c r="Q512" s="10">
        <v>0</v>
      </c>
      <c r="R512" s="3">
        <f>(Таблица1[Размер кредита]-$AA$2)/$AA$3</f>
        <v>0.15450127146275872</v>
      </c>
      <c r="S512" s="3">
        <f>(Таблица1[Кредитный рейтинг]-$AA$7)/($AA$8-$AA$7)</f>
        <v>0.9826897470039947</v>
      </c>
      <c r="T512" s="3">
        <f>(Таблица1[Срок с последнего нарушения кредитного договора (мес,)]-$AA$12)/($AA$13-$AA$12)</f>
        <v>0.40074137090909095</v>
      </c>
      <c r="U512" s="3">
        <f>(Таблица1[Количество кредитных карт]-$AA$18)/($AA$19-$AA$18)</f>
        <v>0.30952380952380953</v>
      </c>
      <c r="V512" s="3">
        <f>(Таблица1[Число нарушений кредитных договоров]-$AA$23)/($AA$24-$AA$23)</f>
        <v>0</v>
      </c>
      <c r="W512" s="3">
        <f>Таблица1[[#This Row],[Годовой доход]]/12</f>
        <v>164172.66666666666</v>
      </c>
      <c r="X512" s="3">
        <f>Таблица1[[#This Row],[Ежемесячный платеж]]/Таблица1[[#This Row],[Ежем доход]]</f>
        <v>0.21799938276367567</v>
      </c>
      <c r="Y512" s="3"/>
      <c r="Z512" s="3"/>
      <c r="AA512" s="3"/>
      <c r="AB512" s="3"/>
    </row>
    <row r="513" spans="1:28" x14ac:dyDescent="0.2">
      <c r="A513">
        <v>362</v>
      </c>
      <c r="B513" t="s">
        <v>404</v>
      </c>
      <c r="C513" t="s">
        <v>18</v>
      </c>
      <c r="D513" t="s">
        <v>19</v>
      </c>
      <c r="E513" t="s">
        <v>63</v>
      </c>
      <c r="F513" t="s">
        <v>33</v>
      </c>
      <c r="G513" t="s">
        <v>25</v>
      </c>
      <c r="H513" s="1">
        <v>309594.52439999999</v>
      </c>
      <c r="I513" s="3">
        <v>743</v>
      </c>
      <c r="J513" s="3">
        <v>2688462</v>
      </c>
      <c r="K513" s="3">
        <v>32037.42</v>
      </c>
      <c r="L513" s="2">
        <v>20.5</v>
      </c>
      <c r="M513" s="11">
        <v>34</v>
      </c>
      <c r="N513" s="3">
        <v>14</v>
      </c>
      <c r="O513" s="3">
        <v>198094</v>
      </c>
      <c r="P513" s="3">
        <v>749606</v>
      </c>
      <c r="Q513" s="10">
        <v>0</v>
      </c>
      <c r="R513" s="3">
        <f>(Таблица1[Размер кредита]-$AA$2)/$AA$3</f>
        <v>-1.2411115481956205E-10</v>
      </c>
      <c r="S513" s="3">
        <f>(Таблица1[Кредитный рейтинг]-$AA$7)/($AA$8-$AA$7)</f>
        <v>0.98934753661784292</v>
      </c>
      <c r="T513" s="3">
        <f>(Таблица1[Срок с последнего нарушения кредитного договора (мес,)]-$AA$12)/($AA$13-$AA$12)</f>
        <v>0.38636363636363635</v>
      </c>
      <c r="U513" s="3">
        <f>(Таблица1[Количество кредитных карт]-$AA$18)/($AA$19-$AA$18)</f>
        <v>0.30952380952380953</v>
      </c>
      <c r="V513" s="3">
        <f>(Таблица1[Число нарушений кредитных договоров]-$AA$23)/($AA$24-$AA$23)</f>
        <v>0</v>
      </c>
      <c r="W513" s="3">
        <f>Таблица1[[#This Row],[Годовой доход]]/12</f>
        <v>224038.5</v>
      </c>
      <c r="X513" s="3">
        <f>Таблица1[[#This Row],[Ежемесячный платеж]]/Таблица1[[#This Row],[Ежем доход]]</f>
        <v>0.14299961836916422</v>
      </c>
      <c r="Y513" s="3"/>
      <c r="Z513" s="3"/>
      <c r="AA513" s="3"/>
      <c r="AB513" s="3"/>
    </row>
    <row r="514" spans="1:28" x14ac:dyDescent="0.2">
      <c r="A514">
        <v>1344</v>
      </c>
      <c r="B514" t="s">
        <v>1383</v>
      </c>
      <c r="C514" t="s">
        <v>18</v>
      </c>
      <c r="D514" t="s">
        <v>19</v>
      </c>
      <c r="E514" t="s">
        <v>32</v>
      </c>
      <c r="F514" t="s">
        <v>33</v>
      </c>
      <c r="G514" t="s">
        <v>25</v>
      </c>
      <c r="H514" s="1">
        <v>352396</v>
      </c>
      <c r="I514" s="3">
        <v>699</v>
      </c>
      <c r="J514" s="3">
        <v>1141254</v>
      </c>
      <c r="K514" s="3">
        <v>19972.04</v>
      </c>
      <c r="L514" s="2">
        <v>13.4</v>
      </c>
      <c r="M514" s="11">
        <v>35.265240640000002</v>
      </c>
      <c r="N514" s="3">
        <v>5</v>
      </c>
      <c r="O514" s="3">
        <v>530309</v>
      </c>
      <c r="P514" s="3">
        <v>746988</v>
      </c>
      <c r="Q514" s="10">
        <v>0</v>
      </c>
      <c r="R514" s="3">
        <f>(Таблица1[Размер кредита]-$AA$2)/$AA$3</f>
        <v>0.24368082352605855</v>
      </c>
      <c r="S514" s="3">
        <f>(Таблица1[Кредитный рейтинг]-$AA$7)/($AA$8-$AA$7)</f>
        <v>0.93075898801597867</v>
      </c>
      <c r="T514" s="3">
        <f>(Таблица1[Срок с последнего нарушения кредитного договора (мес,)]-$AA$12)/($AA$13-$AA$12)</f>
        <v>0.40074137090909095</v>
      </c>
      <c r="U514" s="3">
        <f>(Таблица1[Количество кредитных карт]-$AA$18)/($AA$19-$AA$18)</f>
        <v>9.5238095238095233E-2</v>
      </c>
      <c r="V514" s="3">
        <f>(Таблица1[Число нарушений кредитных договоров]-$AA$23)/($AA$24-$AA$23)</f>
        <v>0</v>
      </c>
      <c r="W514" s="3">
        <f>Таблица1[[#This Row],[Годовой доход]]/12</f>
        <v>95104.5</v>
      </c>
      <c r="X514" s="3">
        <f>Таблица1[[#This Row],[Ежемесячный платеж]]/Таблица1[[#This Row],[Ежем доход]]</f>
        <v>0.21000099890120869</v>
      </c>
      <c r="Y514" s="3"/>
      <c r="Z514" s="3"/>
      <c r="AA514" s="3"/>
      <c r="AB514" s="3"/>
    </row>
    <row r="515" spans="1:28" x14ac:dyDescent="0.2">
      <c r="A515">
        <v>524</v>
      </c>
      <c r="B515" t="s">
        <v>565</v>
      </c>
      <c r="C515" t="s">
        <v>18</v>
      </c>
      <c r="D515" t="s">
        <v>19</v>
      </c>
      <c r="E515" t="s">
        <v>24</v>
      </c>
      <c r="F515" t="s">
        <v>33</v>
      </c>
      <c r="G515" t="s">
        <v>25</v>
      </c>
      <c r="H515" s="1">
        <v>682858</v>
      </c>
      <c r="I515" s="3">
        <v>0</v>
      </c>
      <c r="J515" s="3">
        <v>1168044</v>
      </c>
      <c r="K515" s="3">
        <v>33470.400000000001</v>
      </c>
      <c r="L515" s="2">
        <v>29.5</v>
      </c>
      <c r="M515" s="11">
        <v>35</v>
      </c>
      <c r="N515" s="3">
        <v>7</v>
      </c>
      <c r="O515" s="3">
        <v>482771</v>
      </c>
      <c r="P515" s="3">
        <v>746306</v>
      </c>
      <c r="Q515" s="10">
        <v>0</v>
      </c>
      <c r="R515" s="3">
        <f>(Таблица1[Размер кредита]-$AA$2)/$AA$3</f>
        <v>2.1250938172659839</v>
      </c>
      <c r="S515" s="3">
        <f>(Таблица1[Кредитный рейтинг]-$AA$7)/($AA$8-$AA$7)</f>
        <v>0</v>
      </c>
      <c r="T515" s="3">
        <f>(Таблица1[Срок с последнего нарушения кредитного договора (мес,)]-$AA$12)/($AA$13-$AA$12)</f>
        <v>0.39772727272727271</v>
      </c>
      <c r="U515" s="3">
        <f>(Таблица1[Количество кредитных карт]-$AA$18)/($AA$19-$AA$18)</f>
        <v>0.14285714285714285</v>
      </c>
      <c r="V515" s="3">
        <f>(Таблица1[Число нарушений кредитных договоров]-$AA$23)/($AA$24-$AA$23)</f>
        <v>0</v>
      </c>
      <c r="W515" s="3">
        <f>Таблица1[[#This Row],[Годовой доход]]/12</f>
        <v>97337</v>
      </c>
      <c r="X515" s="3">
        <f>Таблица1[[#This Row],[Ежемесячный платеж]]/Таблица1[[#This Row],[Ежем доход]]</f>
        <v>0.34386101893421822</v>
      </c>
      <c r="Y515" s="3"/>
      <c r="Z515" s="3"/>
      <c r="AA515" s="3"/>
      <c r="AB515" s="3"/>
    </row>
    <row r="516" spans="1:28" x14ac:dyDescent="0.2">
      <c r="A516">
        <v>449</v>
      </c>
      <c r="B516" t="s">
        <v>490</v>
      </c>
      <c r="C516" t="s">
        <v>18</v>
      </c>
      <c r="D516" t="s">
        <v>19</v>
      </c>
      <c r="E516" t="s">
        <v>24</v>
      </c>
      <c r="F516" t="s">
        <v>21</v>
      </c>
      <c r="G516" t="s">
        <v>25</v>
      </c>
      <c r="H516" s="1">
        <v>429000</v>
      </c>
      <c r="I516" s="3">
        <v>746</v>
      </c>
      <c r="J516" s="3">
        <v>926250</v>
      </c>
      <c r="K516" s="3">
        <v>27015.53</v>
      </c>
      <c r="L516" s="2">
        <v>28.5</v>
      </c>
      <c r="M516" s="11">
        <v>35.265240640000002</v>
      </c>
      <c r="N516" s="3">
        <v>8</v>
      </c>
      <c r="O516" s="3">
        <v>473708</v>
      </c>
      <c r="P516" s="3">
        <v>746240</v>
      </c>
      <c r="Q516" s="10">
        <v>0</v>
      </c>
      <c r="R516" s="3">
        <f>(Таблица1[Размер кредита]-$AA$2)/$AA$3</f>
        <v>0.67980891381315123</v>
      </c>
      <c r="S516" s="3">
        <f>(Таблица1[Кредитный рейтинг]-$AA$7)/($AA$8-$AA$7)</f>
        <v>0.99334221038615178</v>
      </c>
      <c r="T516" s="3">
        <f>(Таблица1[Срок с последнего нарушения кредитного договора (мес,)]-$AA$12)/($AA$13-$AA$12)</f>
        <v>0.40074137090909095</v>
      </c>
      <c r="U516" s="3">
        <f>(Таблица1[Количество кредитных карт]-$AA$18)/($AA$19-$AA$18)</f>
        <v>0.16666666666666666</v>
      </c>
      <c r="V516" s="3">
        <f>(Таблица1[Число нарушений кредитных договоров]-$AA$23)/($AA$24-$AA$23)</f>
        <v>0</v>
      </c>
      <c r="W516" s="3">
        <f>Таблица1[[#This Row],[Годовой доход]]/12</f>
        <v>77187.5</v>
      </c>
      <c r="X516" s="3">
        <f>Таблица1[[#This Row],[Ежемесячный платеж]]/Таблица1[[#This Row],[Ежем доход]]</f>
        <v>0.34999876923076922</v>
      </c>
      <c r="Y516" s="3"/>
      <c r="Z516" s="3"/>
      <c r="AA516" s="3"/>
      <c r="AB516" s="3"/>
    </row>
    <row r="517" spans="1:28" x14ac:dyDescent="0.2">
      <c r="A517">
        <v>1777</v>
      </c>
      <c r="B517" s="4" t="s">
        <v>1815</v>
      </c>
      <c r="C517" t="s">
        <v>35</v>
      </c>
      <c r="D517" t="s">
        <v>19</v>
      </c>
      <c r="E517" t="s">
        <v>41</v>
      </c>
      <c r="F517" t="s">
        <v>33</v>
      </c>
      <c r="G517" t="s">
        <v>67</v>
      </c>
      <c r="H517" s="1">
        <v>105248</v>
      </c>
      <c r="I517" s="3">
        <v>652</v>
      </c>
      <c r="J517" s="3">
        <v>1117181</v>
      </c>
      <c r="K517" s="3">
        <v>31560.52</v>
      </c>
      <c r="L517" s="2">
        <v>15</v>
      </c>
      <c r="M517" s="11">
        <v>35.265240640000002</v>
      </c>
      <c r="N517" s="3">
        <v>25</v>
      </c>
      <c r="O517" s="3">
        <v>403180</v>
      </c>
      <c r="P517" s="3">
        <v>745734</v>
      </c>
      <c r="Q517" s="10">
        <v>0</v>
      </c>
      <c r="R517" s="3">
        <f>(Таблица1[Размер кредита]-$AA$2)/$AA$3</f>
        <v>-1.1634021650681976</v>
      </c>
      <c r="S517" s="3">
        <f>(Таблица1[Кредитный рейтинг]-$AA$7)/($AA$8-$AA$7)</f>
        <v>0.86817576564580556</v>
      </c>
      <c r="T517" s="3">
        <f>(Таблица1[Срок с последнего нарушения кредитного договора (мес,)]-$AA$12)/($AA$13-$AA$12)</f>
        <v>0.40074137090909095</v>
      </c>
      <c r="U517" s="3">
        <f>(Таблица1[Количество кредитных карт]-$AA$18)/($AA$19-$AA$18)</f>
        <v>0.5714285714285714</v>
      </c>
      <c r="V517" s="3">
        <f>(Таблица1[Число нарушений кредитных договоров]-$AA$23)/($AA$24-$AA$23)</f>
        <v>0</v>
      </c>
      <c r="W517" s="3">
        <f>Таблица1[[#This Row],[Годовой доход]]/12</f>
        <v>93098.416666666672</v>
      </c>
      <c r="X517" s="3">
        <f>Таблица1[[#This Row],[Ежемесячный платеж]]/Таблица1[[#This Row],[Ежем доход]]</f>
        <v>0.33900168370210376</v>
      </c>
      <c r="Y517" s="3"/>
      <c r="Z517" s="3"/>
      <c r="AA517" s="3"/>
      <c r="AB517" s="3"/>
    </row>
    <row r="518" spans="1:28" x14ac:dyDescent="0.2">
      <c r="A518">
        <v>317</v>
      </c>
      <c r="B518" t="s">
        <v>359</v>
      </c>
      <c r="C518" t="s">
        <v>35</v>
      </c>
      <c r="D518" t="s">
        <v>19</v>
      </c>
      <c r="E518" t="s">
        <v>47</v>
      </c>
      <c r="F518" t="s">
        <v>21</v>
      </c>
      <c r="G518" t="s">
        <v>25</v>
      </c>
      <c r="H518" s="1">
        <v>242616</v>
      </c>
      <c r="I518" s="3">
        <v>0</v>
      </c>
      <c r="J518" s="3">
        <v>1168044</v>
      </c>
      <c r="K518" s="3">
        <v>41396.25</v>
      </c>
      <c r="L518" s="2">
        <v>18</v>
      </c>
      <c r="M518" s="11">
        <v>35.265240640000002</v>
      </c>
      <c r="N518" s="3">
        <v>9</v>
      </c>
      <c r="O518" s="3">
        <v>522690</v>
      </c>
      <c r="P518" s="3">
        <v>745338</v>
      </c>
      <c r="Q518" s="10">
        <v>0</v>
      </c>
      <c r="R518" s="3">
        <f>(Таблица1[Размер кредита]-$AA$2)/$AA$3</f>
        <v>-0.38132755399622542</v>
      </c>
      <c r="S518" s="3">
        <f>(Таблица1[Кредитный рейтинг]-$AA$7)/($AA$8-$AA$7)</f>
        <v>0</v>
      </c>
      <c r="T518" s="3">
        <f>(Таблица1[Срок с последнего нарушения кредитного договора (мес,)]-$AA$12)/($AA$13-$AA$12)</f>
        <v>0.40074137090909095</v>
      </c>
      <c r="U518" s="3">
        <f>(Таблица1[Количество кредитных карт]-$AA$18)/($AA$19-$AA$18)</f>
        <v>0.19047619047619047</v>
      </c>
      <c r="V518" s="3">
        <f>(Таблица1[Число нарушений кредитных договоров]-$AA$23)/($AA$24-$AA$23)</f>
        <v>0</v>
      </c>
      <c r="W518" s="3">
        <f>Таблица1[[#This Row],[Годовой доход]]/12</f>
        <v>97337</v>
      </c>
      <c r="X518" s="3">
        <f>Таблица1[[#This Row],[Ежемесячный платеж]]/Таблица1[[#This Row],[Ежем доход]]</f>
        <v>0.42528791723599452</v>
      </c>
      <c r="Y518" s="3"/>
      <c r="Z518" s="3"/>
      <c r="AA518" s="3"/>
      <c r="AB518" s="3"/>
    </row>
    <row r="519" spans="1:28" x14ac:dyDescent="0.2">
      <c r="A519">
        <v>1293</v>
      </c>
      <c r="B519" t="s">
        <v>1332</v>
      </c>
      <c r="C519" t="s">
        <v>18</v>
      </c>
      <c r="D519" t="s">
        <v>19</v>
      </c>
      <c r="E519" t="s">
        <v>20</v>
      </c>
      <c r="F519" t="s">
        <v>21</v>
      </c>
      <c r="G519" t="s">
        <v>25</v>
      </c>
      <c r="H519" s="1">
        <v>198484</v>
      </c>
      <c r="I519" s="3">
        <v>743</v>
      </c>
      <c r="J519" s="3">
        <v>952280</v>
      </c>
      <c r="K519" s="3">
        <v>15633.2</v>
      </c>
      <c r="L519" s="2">
        <v>17</v>
      </c>
      <c r="M519" s="11">
        <v>18</v>
      </c>
      <c r="N519" s="3">
        <v>15</v>
      </c>
      <c r="O519" s="3">
        <v>277856</v>
      </c>
      <c r="P519" s="3">
        <v>744744</v>
      </c>
      <c r="Q519" s="10">
        <v>0</v>
      </c>
      <c r="R519" s="3">
        <f>(Таблица1[Размер кредита]-$AA$2)/$AA$3</f>
        <v>-0.63258342680378088</v>
      </c>
      <c r="S519" s="3">
        <f>(Таблица1[Кредитный рейтинг]-$AA$7)/($AA$8-$AA$7)</f>
        <v>0.98934753661784292</v>
      </c>
      <c r="T519" s="3">
        <f>(Таблица1[Срок с последнего нарушения кредитного договора (мес,)]-$AA$12)/($AA$13-$AA$12)</f>
        <v>0.20454545454545456</v>
      </c>
      <c r="U519" s="3">
        <f>(Таблица1[Количество кредитных карт]-$AA$18)/($AA$19-$AA$18)</f>
        <v>0.33333333333333331</v>
      </c>
      <c r="V519" s="3">
        <f>(Таблица1[Число нарушений кредитных договоров]-$AA$23)/($AA$24-$AA$23)</f>
        <v>0</v>
      </c>
      <c r="W519" s="3">
        <f>Таблица1[[#This Row],[Годовой доход]]/12</f>
        <v>79356.666666666672</v>
      </c>
      <c r="X519" s="3">
        <f>Таблица1[[#This Row],[Ежемесячный платеж]]/Таблица1[[#This Row],[Ежем доход]]</f>
        <v>0.19699920191540302</v>
      </c>
      <c r="Y519" s="3"/>
      <c r="Z519" s="3"/>
      <c r="AA519" s="3"/>
      <c r="AB519" s="3"/>
    </row>
    <row r="520" spans="1:28" x14ac:dyDescent="0.2">
      <c r="A520">
        <v>67</v>
      </c>
      <c r="B520" t="s">
        <v>109</v>
      </c>
      <c r="C520" t="s">
        <v>18</v>
      </c>
      <c r="D520" t="s">
        <v>29</v>
      </c>
      <c r="E520" t="s">
        <v>69</v>
      </c>
      <c r="F520" t="s">
        <v>21</v>
      </c>
      <c r="G520" t="s">
        <v>25</v>
      </c>
      <c r="H520" s="1">
        <v>323466</v>
      </c>
      <c r="I520" s="3">
        <v>699</v>
      </c>
      <c r="J520" s="3">
        <v>2048618</v>
      </c>
      <c r="K520" s="3">
        <v>27997.64</v>
      </c>
      <c r="L520" s="2">
        <v>14</v>
      </c>
      <c r="M520" s="11">
        <v>72</v>
      </c>
      <c r="N520" s="3">
        <v>19</v>
      </c>
      <c r="O520" s="3">
        <v>389994</v>
      </c>
      <c r="P520" s="3">
        <v>743952</v>
      </c>
      <c r="Q520" s="10">
        <v>1</v>
      </c>
      <c r="R520" s="3">
        <f>(Таблица1[Размер кредита]-$AA$2)/$AA$3</f>
        <v>7.8974207004655045E-2</v>
      </c>
      <c r="S520" s="3">
        <f>(Таблица1[Кредитный рейтинг]-$AA$7)/($AA$8-$AA$7)</f>
        <v>0.93075898801597867</v>
      </c>
      <c r="T520" s="3">
        <f>(Таблица1[Срок с последнего нарушения кредитного договора (мес,)]-$AA$12)/($AA$13-$AA$12)</f>
        <v>0.81818181818181823</v>
      </c>
      <c r="U520" s="3">
        <f>(Таблица1[Количество кредитных карт]-$AA$18)/($AA$19-$AA$18)</f>
        <v>0.42857142857142855</v>
      </c>
      <c r="V520" s="3">
        <f>(Таблица1[Число нарушений кредитных договоров]-$AA$23)/($AA$24-$AA$23)</f>
        <v>0.14285714285714285</v>
      </c>
      <c r="W520" s="3">
        <f>Таблица1[[#This Row],[Годовой доход]]/12</f>
        <v>170718.16666666666</v>
      </c>
      <c r="X520" s="3">
        <f>Таблица1[[#This Row],[Ежемесячный платеж]]/Таблица1[[#This Row],[Ежем доход]]</f>
        <v>0.16399918384003265</v>
      </c>
      <c r="Y520" s="3"/>
      <c r="Z520" s="3"/>
      <c r="AA520" s="3"/>
      <c r="AB520" s="3"/>
    </row>
    <row r="521" spans="1:28" x14ac:dyDescent="0.2">
      <c r="A521">
        <v>946</v>
      </c>
      <c r="B521" t="s">
        <v>987</v>
      </c>
      <c r="C521" t="s">
        <v>18</v>
      </c>
      <c r="D521" t="s">
        <v>19</v>
      </c>
      <c r="E521" t="s">
        <v>41</v>
      </c>
      <c r="F521" t="s">
        <v>21</v>
      </c>
      <c r="G521" t="s">
        <v>25</v>
      </c>
      <c r="H521" s="1">
        <v>120670</v>
      </c>
      <c r="I521" s="3">
        <v>742</v>
      </c>
      <c r="J521" s="3">
        <v>654227</v>
      </c>
      <c r="K521" s="3">
        <v>6324.15</v>
      </c>
      <c r="L521" s="2">
        <v>18.3</v>
      </c>
      <c r="M521" s="11">
        <v>35.265240640000002</v>
      </c>
      <c r="N521" s="3">
        <v>8</v>
      </c>
      <c r="O521" s="3">
        <v>282701</v>
      </c>
      <c r="P521" s="3">
        <v>743952</v>
      </c>
      <c r="Q521" s="10">
        <v>0</v>
      </c>
      <c r="R521" s="3">
        <f>(Таблица1[Размер кредита]-$AA$2)/$AA$3</f>
        <v>-1.0756003869834039</v>
      </c>
      <c r="S521" s="3">
        <f>(Таблица1[Кредитный рейтинг]-$AA$7)/($AA$8-$AA$7)</f>
        <v>0.98801597869507318</v>
      </c>
      <c r="T521" s="3">
        <f>(Таблица1[Срок с последнего нарушения кредитного договора (мес,)]-$AA$12)/($AA$13-$AA$12)</f>
        <v>0.40074137090909095</v>
      </c>
      <c r="U521" s="3">
        <f>(Таблица1[Количество кредитных карт]-$AA$18)/($AA$19-$AA$18)</f>
        <v>0.16666666666666666</v>
      </c>
      <c r="V521" s="3">
        <f>(Таблица1[Число нарушений кредитных договоров]-$AA$23)/($AA$24-$AA$23)</f>
        <v>0</v>
      </c>
      <c r="W521" s="3">
        <f>Таблица1[[#This Row],[Годовой доход]]/12</f>
        <v>54518.916666666664</v>
      </c>
      <c r="X521" s="3">
        <f>Таблица1[[#This Row],[Ежемесячный платеж]]/Таблица1[[#This Row],[Ежем доход]]</f>
        <v>0.11599918682659077</v>
      </c>
      <c r="Y521" s="3"/>
      <c r="Z521" s="3"/>
      <c r="AA521" s="3"/>
      <c r="AB521" s="3"/>
    </row>
    <row r="522" spans="1:28" x14ac:dyDescent="0.2">
      <c r="A522">
        <v>1637</v>
      </c>
      <c r="B522" t="s">
        <v>1675</v>
      </c>
      <c r="C522" t="s">
        <v>18</v>
      </c>
      <c r="D522" t="s">
        <v>19</v>
      </c>
      <c r="E522" t="s">
        <v>41</v>
      </c>
      <c r="F522" t="s">
        <v>33</v>
      </c>
      <c r="G522" t="s">
        <v>25</v>
      </c>
      <c r="H522" s="1">
        <v>309594.52439999999</v>
      </c>
      <c r="I522" s="3">
        <v>730</v>
      </c>
      <c r="J522" s="3">
        <v>758328</v>
      </c>
      <c r="K522" s="3">
        <v>9416.02</v>
      </c>
      <c r="L522" s="2">
        <v>12.7</v>
      </c>
      <c r="M522" s="11">
        <v>14</v>
      </c>
      <c r="N522" s="3">
        <v>21</v>
      </c>
      <c r="O522" s="3">
        <v>147079</v>
      </c>
      <c r="P522" s="3">
        <v>743666</v>
      </c>
      <c r="Q522" s="10">
        <v>0</v>
      </c>
      <c r="R522" s="3">
        <f>(Таблица1[Размер кредита]-$AA$2)/$AA$3</f>
        <v>-1.2411115481956205E-10</v>
      </c>
      <c r="S522" s="3">
        <f>(Таблица1[Кредитный рейтинг]-$AA$7)/($AA$8-$AA$7)</f>
        <v>0.9720372836218375</v>
      </c>
      <c r="T522" s="3">
        <f>(Таблица1[Срок с последнего нарушения кредитного договора (мес,)]-$AA$12)/($AA$13-$AA$12)</f>
        <v>0.15909090909090909</v>
      </c>
      <c r="U522" s="3">
        <f>(Таблица1[Количество кредитных карт]-$AA$18)/($AA$19-$AA$18)</f>
        <v>0.47619047619047616</v>
      </c>
      <c r="V522" s="3">
        <f>(Таблица1[Число нарушений кредитных договоров]-$AA$23)/($AA$24-$AA$23)</f>
        <v>0</v>
      </c>
      <c r="W522" s="3">
        <f>Таблица1[[#This Row],[Годовой доход]]/12</f>
        <v>63194</v>
      </c>
      <c r="X522" s="3">
        <f>Таблица1[[#This Row],[Ежемесячный платеж]]/Таблица1[[#This Row],[Ежем доход]]</f>
        <v>0.14900180396873122</v>
      </c>
      <c r="Y522" s="3"/>
      <c r="Z522" s="3"/>
      <c r="AA522" s="3"/>
      <c r="AB522" s="3"/>
    </row>
    <row r="523" spans="1:28" x14ac:dyDescent="0.2">
      <c r="A523">
        <v>160</v>
      </c>
      <c r="B523" t="s">
        <v>202</v>
      </c>
      <c r="C523" t="s">
        <v>18</v>
      </c>
      <c r="D523" t="s">
        <v>19</v>
      </c>
      <c r="E523" t="s">
        <v>69</v>
      </c>
      <c r="F523" t="s">
        <v>33</v>
      </c>
      <c r="G523" t="s">
        <v>25</v>
      </c>
      <c r="H523" s="1">
        <v>254562</v>
      </c>
      <c r="I523" s="3">
        <v>738</v>
      </c>
      <c r="J523" s="3">
        <v>669123</v>
      </c>
      <c r="K523" s="3">
        <v>13549.66</v>
      </c>
      <c r="L523" s="2">
        <v>17.5</v>
      </c>
      <c r="M523" s="11">
        <v>35.265240640000002</v>
      </c>
      <c r="N523" s="3">
        <v>13</v>
      </c>
      <c r="O523" s="3">
        <v>261383</v>
      </c>
      <c r="P523" s="3">
        <v>743600</v>
      </c>
      <c r="Q523" s="10">
        <v>0</v>
      </c>
      <c r="R523" s="3">
        <f>(Таблица1[Размер кредита]-$AA$2)/$AA$3</f>
        <v>-0.3133156203299729</v>
      </c>
      <c r="S523" s="3">
        <f>(Таблица1[Кредитный рейтинг]-$AA$7)/($AA$8-$AA$7)</f>
        <v>0.9826897470039947</v>
      </c>
      <c r="T523" s="3">
        <f>(Таблица1[Срок с последнего нарушения кредитного договора (мес,)]-$AA$12)/($AA$13-$AA$12)</f>
        <v>0.40074137090909095</v>
      </c>
      <c r="U523" s="3">
        <f>(Таблица1[Количество кредитных карт]-$AA$18)/($AA$19-$AA$18)</f>
        <v>0.2857142857142857</v>
      </c>
      <c r="V523" s="3">
        <f>(Таблица1[Число нарушений кредитных договоров]-$AA$23)/($AA$24-$AA$23)</f>
        <v>0</v>
      </c>
      <c r="W523" s="3">
        <f>Таблица1[[#This Row],[Годовой доход]]/12</f>
        <v>55760.25</v>
      </c>
      <c r="X523" s="3">
        <f>Таблица1[[#This Row],[Ежемесячный платеж]]/Таблица1[[#This Row],[Ежем доход]]</f>
        <v>0.24299855183576113</v>
      </c>
      <c r="Y523" s="3"/>
      <c r="Z523" s="3"/>
      <c r="AA523" s="3"/>
      <c r="AB523" s="3"/>
    </row>
    <row r="524" spans="1:28" x14ac:dyDescent="0.2">
      <c r="A524">
        <v>1036</v>
      </c>
      <c r="B524" t="s">
        <v>1075</v>
      </c>
      <c r="C524" t="s">
        <v>18</v>
      </c>
      <c r="D524" t="s">
        <v>19</v>
      </c>
      <c r="E524" t="s">
        <v>30</v>
      </c>
      <c r="F524" t="s">
        <v>33</v>
      </c>
      <c r="G524" t="s">
        <v>25</v>
      </c>
      <c r="H524" s="1">
        <v>267608</v>
      </c>
      <c r="I524" s="3">
        <v>0</v>
      </c>
      <c r="J524" s="3">
        <v>1168044</v>
      </c>
      <c r="K524" s="3">
        <v>49354.59</v>
      </c>
      <c r="L524" s="2">
        <v>16.2</v>
      </c>
      <c r="M524" s="11">
        <v>16</v>
      </c>
      <c r="N524" s="3">
        <v>12</v>
      </c>
      <c r="O524" s="3">
        <v>374224</v>
      </c>
      <c r="P524" s="3">
        <v>743270</v>
      </c>
      <c r="Q524" s="10">
        <v>0</v>
      </c>
      <c r="R524" s="3">
        <f>(Таблица1[Размер кредита]-$AA$2)/$AA$3</f>
        <v>-0.23904107767051108</v>
      </c>
      <c r="S524" s="3">
        <f>(Таблица1[Кредитный рейтинг]-$AA$7)/($AA$8-$AA$7)</f>
        <v>0</v>
      </c>
      <c r="T524" s="3">
        <f>(Таблица1[Срок с последнего нарушения кредитного договора (мес,)]-$AA$12)/($AA$13-$AA$12)</f>
        <v>0.18181818181818182</v>
      </c>
      <c r="U524" s="3">
        <f>(Таблица1[Количество кредитных карт]-$AA$18)/($AA$19-$AA$18)</f>
        <v>0.26190476190476192</v>
      </c>
      <c r="V524" s="3">
        <f>(Таблица1[Число нарушений кредитных договоров]-$AA$23)/($AA$24-$AA$23)</f>
        <v>0</v>
      </c>
      <c r="W524" s="3">
        <f>Таблица1[[#This Row],[Годовой доход]]/12</f>
        <v>97337</v>
      </c>
      <c r="X524" s="3">
        <f>Таблица1[[#This Row],[Ежемесячный платеж]]/Таблица1[[#This Row],[Ежем доход]]</f>
        <v>0.50704860433339838</v>
      </c>
      <c r="Y524" s="3"/>
      <c r="Z524" s="3"/>
      <c r="AA524" s="3"/>
      <c r="AB524" s="3"/>
    </row>
    <row r="525" spans="1:28" x14ac:dyDescent="0.2">
      <c r="A525">
        <v>579</v>
      </c>
      <c r="B525" t="s">
        <v>620</v>
      </c>
      <c r="C525" t="s">
        <v>18</v>
      </c>
      <c r="D525" t="s">
        <v>29</v>
      </c>
      <c r="E525" t="s">
        <v>37</v>
      </c>
      <c r="F525" t="s">
        <v>33</v>
      </c>
      <c r="G525" t="s">
        <v>25</v>
      </c>
      <c r="H525" s="1">
        <v>304062</v>
      </c>
      <c r="I525" s="3">
        <v>636</v>
      </c>
      <c r="J525" s="3">
        <v>2344600</v>
      </c>
      <c r="K525" s="3">
        <v>9163.51</v>
      </c>
      <c r="L525" s="2">
        <v>14.8</v>
      </c>
      <c r="M525" s="11">
        <v>21</v>
      </c>
      <c r="N525" s="3">
        <v>15</v>
      </c>
      <c r="O525" s="3">
        <v>440838</v>
      </c>
      <c r="P525" s="3">
        <v>743006</v>
      </c>
      <c r="Q525" s="10">
        <v>0</v>
      </c>
      <c r="R525" s="3">
        <f>(Таблица1[Размер кредита]-$AA$2)/$AA$3</f>
        <v>-3.1498215635556263E-2</v>
      </c>
      <c r="S525" s="3">
        <f>(Таблица1[Кредитный рейтинг]-$AA$7)/($AA$8-$AA$7)</f>
        <v>0.84687083888149139</v>
      </c>
      <c r="T525" s="3">
        <f>(Таблица1[Срок с последнего нарушения кредитного договора (мес,)]-$AA$12)/($AA$13-$AA$12)</f>
        <v>0.23863636363636365</v>
      </c>
      <c r="U525" s="3">
        <f>(Таблица1[Количество кредитных карт]-$AA$18)/($AA$19-$AA$18)</f>
        <v>0.33333333333333331</v>
      </c>
      <c r="V525" s="3">
        <f>(Таблица1[Число нарушений кредитных договоров]-$AA$23)/($AA$24-$AA$23)</f>
        <v>0</v>
      </c>
      <c r="W525" s="3">
        <f>Таблица1[[#This Row],[Годовой доход]]/12</f>
        <v>195383.33333333334</v>
      </c>
      <c r="X525" s="3">
        <f>Таблица1[[#This Row],[Ежемесячный платеж]]/Таблица1[[#This Row],[Ежем доход]]</f>
        <v>4.6900162074554295E-2</v>
      </c>
      <c r="Y525" s="3"/>
      <c r="Z525" s="3"/>
      <c r="AA525" s="3"/>
      <c r="AB525" s="3"/>
    </row>
    <row r="526" spans="1:28" x14ac:dyDescent="0.2">
      <c r="A526">
        <v>66</v>
      </c>
      <c r="B526" t="s">
        <v>108</v>
      </c>
      <c r="C526" t="s">
        <v>35</v>
      </c>
      <c r="D526" t="s">
        <v>29</v>
      </c>
      <c r="E526" t="s">
        <v>69</v>
      </c>
      <c r="F526" t="s">
        <v>21</v>
      </c>
      <c r="G526" t="s">
        <v>25</v>
      </c>
      <c r="H526" s="1">
        <v>523908</v>
      </c>
      <c r="I526" s="3">
        <v>737</v>
      </c>
      <c r="J526" s="3">
        <v>1028774</v>
      </c>
      <c r="K526" s="3">
        <v>22632.99</v>
      </c>
      <c r="L526" s="2">
        <v>19.3</v>
      </c>
      <c r="M526" s="11">
        <v>35.265240640000002</v>
      </c>
      <c r="N526" s="3">
        <v>5</v>
      </c>
      <c r="O526" s="3">
        <v>474658</v>
      </c>
      <c r="P526" s="3">
        <v>742720</v>
      </c>
      <c r="Q526" s="10">
        <v>0</v>
      </c>
      <c r="R526" s="3">
        <f>(Таблица1[Размер кредита]-$AA$2)/$AA$3</f>
        <v>1.2201468177472461</v>
      </c>
      <c r="S526" s="3">
        <f>(Таблица1[Кредитный рейтинг]-$AA$7)/($AA$8-$AA$7)</f>
        <v>0.98135818908122507</v>
      </c>
      <c r="T526" s="3">
        <f>(Таблица1[Срок с последнего нарушения кредитного договора (мес,)]-$AA$12)/($AA$13-$AA$12)</f>
        <v>0.40074137090909095</v>
      </c>
      <c r="U526" s="3">
        <f>(Таблица1[Количество кредитных карт]-$AA$18)/($AA$19-$AA$18)</f>
        <v>9.5238095238095233E-2</v>
      </c>
      <c r="V526" s="3">
        <f>(Таблица1[Число нарушений кредитных договоров]-$AA$23)/($AA$24-$AA$23)</f>
        <v>0</v>
      </c>
      <c r="W526" s="3">
        <f>Таблица1[[#This Row],[Годовой доход]]/12</f>
        <v>85731.166666666672</v>
      </c>
      <c r="X526" s="3">
        <f>Таблица1[[#This Row],[Ежемесячный платеж]]/Таблица1[[#This Row],[Ежем доход]]</f>
        <v>0.26399955675396153</v>
      </c>
      <c r="Y526" s="3"/>
      <c r="Z526" s="3"/>
      <c r="AA526" s="3"/>
      <c r="AB526" s="3"/>
    </row>
    <row r="527" spans="1:28" x14ac:dyDescent="0.2">
      <c r="A527">
        <v>1870</v>
      </c>
      <c r="B527" t="s">
        <v>1907</v>
      </c>
      <c r="C527" t="s">
        <v>18</v>
      </c>
      <c r="D527" t="s">
        <v>19</v>
      </c>
      <c r="E527" t="s">
        <v>63</v>
      </c>
      <c r="F527" t="s">
        <v>21</v>
      </c>
      <c r="G527" t="s">
        <v>25</v>
      </c>
      <c r="H527" s="1">
        <v>772024</v>
      </c>
      <c r="I527" s="3">
        <v>723</v>
      </c>
      <c r="J527" s="3">
        <v>2908748</v>
      </c>
      <c r="K527" s="3">
        <v>34662.65</v>
      </c>
      <c r="L527" s="2">
        <v>12</v>
      </c>
      <c r="M527" s="11">
        <v>35.265240640000002</v>
      </c>
      <c r="N527" s="3">
        <v>17</v>
      </c>
      <c r="O527" s="3">
        <v>572812</v>
      </c>
      <c r="P527" s="3">
        <v>741070</v>
      </c>
      <c r="Q527" s="10">
        <v>1</v>
      </c>
      <c r="R527" s="3">
        <f>(Таблица1[Размер кредита]-$AA$2)/$AA$3</f>
        <v>2.6327409022555264</v>
      </c>
      <c r="S527" s="3">
        <f>(Таблица1[Кредитный рейтинг]-$AA$7)/($AA$8-$AA$7)</f>
        <v>0.96271637816245004</v>
      </c>
      <c r="T527" s="3">
        <f>(Таблица1[Срок с последнего нарушения кредитного договора (мес,)]-$AA$12)/($AA$13-$AA$12)</f>
        <v>0.40074137090909095</v>
      </c>
      <c r="U527" s="3">
        <f>(Таблица1[Количество кредитных карт]-$AA$18)/($AA$19-$AA$18)</f>
        <v>0.38095238095238093</v>
      </c>
      <c r="V527" s="3">
        <f>(Таблица1[Число нарушений кредитных договоров]-$AA$23)/($AA$24-$AA$23)</f>
        <v>0.14285714285714285</v>
      </c>
      <c r="W527" s="3">
        <f>Таблица1[[#This Row],[Годовой доход]]/12</f>
        <v>242395.66666666666</v>
      </c>
      <c r="X527" s="3">
        <f>Таблица1[[#This Row],[Ежемесячный платеж]]/Таблица1[[#This Row],[Ежем доход]]</f>
        <v>0.14300028740887832</v>
      </c>
      <c r="Y527" s="3"/>
      <c r="Z527" s="3"/>
      <c r="AA527" s="3"/>
      <c r="AB527" s="3"/>
    </row>
    <row r="528" spans="1:28" x14ac:dyDescent="0.2">
      <c r="A528">
        <v>1343</v>
      </c>
      <c r="B528" t="s">
        <v>1382</v>
      </c>
      <c r="C528" t="s">
        <v>18</v>
      </c>
      <c r="D528" t="s">
        <v>19</v>
      </c>
      <c r="E528" t="s">
        <v>37</v>
      </c>
      <c r="F528" t="s">
        <v>21</v>
      </c>
      <c r="G528" t="s">
        <v>67</v>
      </c>
      <c r="H528" s="1">
        <v>309594.52439999999</v>
      </c>
      <c r="I528" s="3">
        <v>738</v>
      </c>
      <c r="J528" s="3">
        <v>2228586</v>
      </c>
      <c r="K528" s="3">
        <v>15804.39</v>
      </c>
      <c r="L528" s="2">
        <v>19.600000000000001</v>
      </c>
      <c r="M528" s="11">
        <v>35.265240640000002</v>
      </c>
      <c r="N528" s="3">
        <v>11</v>
      </c>
      <c r="O528" s="3">
        <v>168207</v>
      </c>
      <c r="P528" s="3">
        <v>740542</v>
      </c>
      <c r="Q528" s="10">
        <v>0</v>
      </c>
      <c r="R528" s="3">
        <f>(Таблица1[Размер кредита]-$AA$2)/$AA$3</f>
        <v>-1.2411115481956205E-10</v>
      </c>
      <c r="S528" s="3">
        <f>(Таблица1[Кредитный рейтинг]-$AA$7)/($AA$8-$AA$7)</f>
        <v>0.9826897470039947</v>
      </c>
      <c r="T528" s="3">
        <f>(Таблица1[Срок с последнего нарушения кредитного договора (мес,)]-$AA$12)/($AA$13-$AA$12)</f>
        <v>0.40074137090909095</v>
      </c>
      <c r="U528" s="3">
        <f>(Таблица1[Количество кредитных карт]-$AA$18)/($AA$19-$AA$18)</f>
        <v>0.23809523809523808</v>
      </c>
      <c r="V528" s="3">
        <f>(Таблица1[Число нарушений кредитных договоров]-$AA$23)/($AA$24-$AA$23)</f>
        <v>0</v>
      </c>
      <c r="W528" s="3">
        <f>Таблица1[[#This Row],[Годовой доход]]/12</f>
        <v>185715.5</v>
      </c>
      <c r="X528" s="3">
        <f>Таблица1[[#This Row],[Ежемесячный платеж]]/Таблица1[[#This Row],[Ежем доход]]</f>
        <v>8.5100005115351166E-2</v>
      </c>
      <c r="Y528" s="3"/>
      <c r="Z528" s="3"/>
      <c r="AA528" s="3"/>
      <c r="AB528" s="3"/>
    </row>
    <row r="529" spans="1:28" x14ac:dyDescent="0.2">
      <c r="A529">
        <v>365</v>
      </c>
      <c r="B529" t="s">
        <v>407</v>
      </c>
      <c r="C529" t="s">
        <v>18</v>
      </c>
      <c r="D529" t="s">
        <v>19</v>
      </c>
      <c r="E529" t="s">
        <v>52</v>
      </c>
      <c r="F529" t="s">
        <v>33</v>
      </c>
      <c r="G529" t="s">
        <v>25</v>
      </c>
      <c r="H529" s="1">
        <v>309594.52439999999</v>
      </c>
      <c r="I529" s="3">
        <v>738</v>
      </c>
      <c r="J529" s="3">
        <v>992256</v>
      </c>
      <c r="K529" s="3">
        <v>15793.37</v>
      </c>
      <c r="L529" s="2">
        <v>18.2</v>
      </c>
      <c r="M529" s="11">
        <v>14</v>
      </c>
      <c r="N529" s="3">
        <v>11</v>
      </c>
      <c r="O529" s="3">
        <v>348878</v>
      </c>
      <c r="P529" s="3">
        <v>738496</v>
      </c>
      <c r="Q529" s="10">
        <v>0</v>
      </c>
      <c r="R529" s="3">
        <f>(Таблица1[Размер кредита]-$AA$2)/$AA$3</f>
        <v>-1.2411115481956205E-10</v>
      </c>
      <c r="S529" s="3">
        <f>(Таблица1[Кредитный рейтинг]-$AA$7)/($AA$8-$AA$7)</f>
        <v>0.9826897470039947</v>
      </c>
      <c r="T529" s="3">
        <f>(Таблица1[Срок с последнего нарушения кредитного договора (мес,)]-$AA$12)/($AA$13-$AA$12)</f>
        <v>0.15909090909090909</v>
      </c>
      <c r="U529" s="3">
        <f>(Таблица1[Количество кредитных карт]-$AA$18)/($AA$19-$AA$18)</f>
        <v>0.23809523809523808</v>
      </c>
      <c r="V529" s="3">
        <f>(Таблица1[Число нарушений кредитных договоров]-$AA$23)/($AA$24-$AA$23)</f>
        <v>0</v>
      </c>
      <c r="W529" s="3">
        <f>Таблица1[[#This Row],[Годовой доход]]/12</f>
        <v>82688</v>
      </c>
      <c r="X529" s="3">
        <f>Таблица1[[#This Row],[Ежемесячный платеж]]/Таблица1[[#This Row],[Ежем доход]]</f>
        <v>0.19099954044117648</v>
      </c>
      <c r="Y529" s="3"/>
      <c r="Z529" s="3"/>
      <c r="AA529" s="3"/>
      <c r="AB529" s="3"/>
    </row>
    <row r="530" spans="1:28" x14ac:dyDescent="0.2">
      <c r="A530">
        <v>1154</v>
      </c>
      <c r="B530" t="s">
        <v>1193</v>
      </c>
      <c r="C530" t="s">
        <v>18</v>
      </c>
      <c r="D530" t="s">
        <v>19</v>
      </c>
      <c r="E530" t="s">
        <v>50</v>
      </c>
      <c r="F530" t="s">
        <v>33</v>
      </c>
      <c r="G530" t="s">
        <v>25</v>
      </c>
      <c r="H530" s="1">
        <v>201146</v>
      </c>
      <c r="I530" s="3">
        <v>702</v>
      </c>
      <c r="J530" s="3">
        <v>778297</v>
      </c>
      <c r="K530" s="3">
        <v>16279.2</v>
      </c>
      <c r="L530" s="2">
        <v>10</v>
      </c>
      <c r="M530" s="11">
        <v>35.265240640000002</v>
      </c>
      <c r="N530" s="3">
        <v>14</v>
      </c>
      <c r="O530" s="3">
        <v>350512</v>
      </c>
      <c r="P530" s="3">
        <v>737924</v>
      </c>
      <c r="Q530" s="10">
        <v>0</v>
      </c>
      <c r="R530" s="3">
        <f>(Таблица1[Размер кредита]-$AA$2)/$AA$3</f>
        <v>-0.61742791304021449</v>
      </c>
      <c r="S530" s="3">
        <f>(Таблица1[Кредитный рейтинг]-$AA$7)/($AA$8-$AA$7)</f>
        <v>0.93475366178428765</v>
      </c>
      <c r="T530" s="3">
        <f>(Таблица1[Срок с последнего нарушения кредитного договора (мес,)]-$AA$12)/($AA$13-$AA$12)</f>
        <v>0.40074137090909095</v>
      </c>
      <c r="U530" s="3">
        <f>(Таблица1[Количество кредитных карт]-$AA$18)/($AA$19-$AA$18)</f>
        <v>0.30952380952380953</v>
      </c>
      <c r="V530" s="3">
        <f>(Таблица1[Число нарушений кредитных договоров]-$AA$23)/($AA$24-$AA$23)</f>
        <v>0</v>
      </c>
      <c r="W530" s="3">
        <f>Таблица1[[#This Row],[Годовой доход]]/12</f>
        <v>64858.083333333336</v>
      </c>
      <c r="X530" s="3">
        <f>Таблица1[[#This Row],[Ежемесячный платеж]]/Таблица1[[#This Row],[Ежем доход]]</f>
        <v>0.25099724141298246</v>
      </c>
      <c r="Y530" s="3"/>
      <c r="Z530" s="3"/>
      <c r="AA530" s="3"/>
      <c r="AB530" s="3"/>
    </row>
    <row r="531" spans="1:28" x14ac:dyDescent="0.2">
      <c r="A531">
        <v>1772</v>
      </c>
      <c r="B531" t="s">
        <v>1810</v>
      </c>
      <c r="C531" t="s">
        <v>18</v>
      </c>
      <c r="D531" t="s">
        <v>19</v>
      </c>
      <c r="E531" t="s">
        <v>30</v>
      </c>
      <c r="F531" t="s">
        <v>33</v>
      </c>
      <c r="G531" t="s">
        <v>67</v>
      </c>
      <c r="H531" s="1">
        <v>267388</v>
      </c>
      <c r="I531" s="3">
        <v>745</v>
      </c>
      <c r="J531" s="3">
        <v>2309184</v>
      </c>
      <c r="K531" s="3">
        <v>20205.36</v>
      </c>
      <c r="L531" s="2">
        <v>9.8000000000000007</v>
      </c>
      <c r="M531" s="11">
        <v>35.265240640000002</v>
      </c>
      <c r="N531" s="3">
        <v>12</v>
      </c>
      <c r="O531" s="3">
        <v>80940</v>
      </c>
      <c r="P531" s="3">
        <v>737924</v>
      </c>
      <c r="Q531" s="10">
        <v>0</v>
      </c>
      <c r="R531" s="3">
        <f>(Таблица1[Размер кредита]-$AA$2)/$AA$3</f>
        <v>-0.24029359946915294</v>
      </c>
      <c r="S531" s="3">
        <f>(Таблица1[Кредитный рейтинг]-$AA$7)/($AA$8-$AA$7)</f>
        <v>0.99201065246338216</v>
      </c>
      <c r="T531" s="3">
        <f>(Таблица1[Срок с последнего нарушения кредитного договора (мес,)]-$AA$12)/($AA$13-$AA$12)</f>
        <v>0.40074137090909095</v>
      </c>
      <c r="U531" s="3">
        <f>(Таблица1[Количество кредитных карт]-$AA$18)/($AA$19-$AA$18)</f>
        <v>0.26190476190476192</v>
      </c>
      <c r="V531" s="3">
        <f>(Таблица1[Число нарушений кредитных договоров]-$AA$23)/($AA$24-$AA$23)</f>
        <v>0</v>
      </c>
      <c r="W531" s="3">
        <f>Таблица1[[#This Row],[Годовой доход]]/12</f>
        <v>192432</v>
      </c>
      <c r="X531" s="3">
        <f>Таблица1[[#This Row],[Ежемесячный платеж]]/Таблица1[[#This Row],[Ежем доход]]</f>
        <v>0.105</v>
      </c>
      <c r="Y531" s="3"/>
      <c r="Z531" s="3"/>
      <c r="AA531" s="3"/>
      <c r="AB531" s="3"/>
    </row>
    <row r="532" spans="1:28" x14ac:dyDescent="0.2">
      <c r="A532">
        <v>1274</v>
      </c>
      <c r="B532" t="s">
        <v>1313</v>
      </c>
      <c r="C532" t="s">
        <v>18</v>
      </c>
      <c r="D532" t="s">
        <v>19</v>
      </c>
      <c r="E532" t="s">
        <v>24</v>
      </c>
      <c r="F532" t="s">
        <v>27</v>
      </c>
      <c r="G532" t="s">
        <v>25</v>
      </c>
      <c r="H532" s="1">
        <v>108174</v>
      </c>
      <c r="I532" s="3">
        <v>750</v>
      </c>
      <c r="J532" s="3">
        <v>1603144</v>
      </c>
      <c r="K532" s="3">
        <v>10580.72</v>
      </c>
      <c r="L532" s="2">
        <v>37.799999999999997</v>
      </c>
      <c r="M532" s="11">
        <v>35.265240640000002</v>
      </c>
      <c r="N532" s="3">
        <v>7</v>
      </c>
      <c r="O532" s="3">
        <v>35017</v>
      </c>
      <c r="P532" s="3">
        <v>737154</v>
      </c>
      <c r="Q532" s="10">
        <v>0</v>
      </c>
      <c r="R532" s="3">
        <f>(Таблица1[Размер кредита]-$AA$2)/$AA$3</f>
        <v>-1.146743625146261</v>
      </c>
      <c r="S532" s="3">
        <f>(Таблица1[Кредитный рейтинг]-$AA$7)/($AA$8-$AA$7)</f>
        <v>0.99866844207723038</v>
      </c>
      <c r="T532" s="3">
        <f>(Таблица1[Срок с последнего нарушения кредитного договора (мес,)]-$AA$12)/($AA$13-$AA$12)</f>
        <v>0.40074137090909095</v>
      </c>
      <c r="U532" s="3">
        <f>(Таблица1[Количество кредитных карт]-$AA$18)/($AA$19-$AA$18)</f>
        <v>0.14285714285714285</v>
      </c>
      <c r="V532" s="3">
        <f>(Таблица1[Число нарушений кредитных договоров]-$AA$23)/($AA$24-$AA$23)</f>
        <v>0</v>
      </c>
      <c r="W532" s="3">
        <f>Таблица1[[#This Row],[Годовой доход]]/12</f>
        <v>133595.33333333334</v>
      </c>
      <c r="X532" s="3">
        <f>Таблица1[[#This Row],[Ежемесячный платеж]]/Таблица1[[#This Row],[Ежем доход]]</f>
        <v>7.9199772447141353E-2</v>
      </c>
      <c r="Y532" s="3"/>
      <c r="Z532" s="3"/>
      <c r="AA532" s="3"/>
      <c r="AB532" s="3"/>
    </row>
    <row r="533" spans="1:28" x14ac:dyDescent="0.2">
      <c r="A533">
        <v>1499</v>
      </c>
      <c r="B533" t="s">
        <v>1538</v>
      </c>
      <c r="C533" t="s">
        <v>35</v>
      </c>
      <c r="D533" t="s">
        <v>29</v>
      </c>
      <c r="E533" t="s">
        <v>20</v>
      </c>
      <c r="F533" t="s">
        <v>21</v>
      </c>
      <c r="G533" t="s">
        <v>25</v>
      </c>
      <c r="H533" s="1">
        <v>492536</v>
      </c>
      <c r="I533" s="3">
        <v>693</v>
      </c>
      <c r="J533" s="3">
        <v>1070707</v>
      </c>
      <c r="K533" s="3">
        <v>21146.43</v>
      </c>
      <c r="L533" s="2">
        <v>19.8</v>
      </c>
      <c r="M533" s="11">
        <v>10</v>
      </c>
      <c r="N533" s="3">
        <v>14</v>
      </c>
      <c r="O533" s="3">
        <v>479845</v>
      </c>
      <c r="P533" s="3">
        <v>736890</v>
      </c>
      <c r="Q533" s="10">
        <v>0</v>
      </c>
      <c r="R533" s="3">
        <f>(Таблица1[Размер кредита]-$AA$2)/$AA$3</f>
        <v>1.0415372092609181</v>
      </c>
      <c r="S533" s="3">
        <f>(Таблица1[Кредитный рейтинг]-$AA$7)/($AA$8-$AA$7)</f>
        <v>0.92276964047936083</v>
      </c>
      <c r="T533" s="3">
        <f>(Таблица1[Срок с последнего нарушения кредитного договора (мес,)]-$AA$12)/($AA$13-$AA$12)</f>
        <v>0.11363636363636363</v>
      </c>
      <c r="U533" s="3">
        <f>(Таблица1[Количество кредитных карт]-$AA$18)/($AA$19-$AA$18)</f>
        <v>0.30952380952380953</v>
      </c>
      <c r="V533" s="3">
        <f>(Таблица1[Число нарушений кредитных договоров]-$AA$23)/($AA$24-$AA$23)</f>
        <v>0</v>
      </c>
      <c r="W533" s="3">
        <f>Таблица1[[#This Row],[Годовой доход]]/12</f>
        <v>89225.583333333328</v>
      </c>
      <c r="X533" s="3">
        <f>Таблица1[[#This Row],[Ежемесячный платеж]]/Таблица1[[#This Row],[Ежем доход]]</f>
        <v>0.23699962734903202</v>
      </c>
      <c r="Y533" s="3"/>
      <c r="Z533" s="3"/>
      <c r="AA533" s="3"/>
      <c r="AB533" s="3"/>
    </row>
    <row r="534" spans="1:28" x14ac:dyDescent="0.2">
      <c r="A534">
        <v>1039</v>
      </c>
      <c r="B534" t="s">
        <v>1078</v>
      </c>
      <c r="C534" t="s">
        <v>35</v>
      </c>
      <c r="D534" t="s">
        <v>29</v>
      </c>
      <c r="E534" t="s">
        <v>47</v>
      </c>
      <c r="F534" t="s">
        <v>21</v>
      </c>
      <c r="G534" t="s">
        <v>70</v>
      </c>
      <c r="H534" s="1">
        <v>481470</v>
      </c>
      <c r="I534" s="3">
        <v>722</v>
      </c>
      <c r="J534" s="3">
        <v>717630</v>
      </c>
      <c r="K534" s="3">
        <v>13850.43</v>
      </c>
      <c r="L534" s="2">
        <v>18.5</v>
      </c>
      <c r="M534" s="11">
        <v>35.265240640000002</v>
      </c>
      <c r="N534" s="3">
        <v>13</v>
      </c>
      <c r="O534" s="3">
        <v>326097</v>
      </c>
      <c r="P534" s="3">
        <v>733172</v>
      </c>
      <c r="Q534" s="10">
        <v>0</v>
      </c>
      <c r="R534" s="3">
        <f>(Таблица1[Размер кредита]-$AA$2)/$AA$3</f>
        <v>0.97853536278923292</v>
      </c>
      <c r="S534" s="3">
        <f>(Таблица1[Кредитный рейтинг]-$AA$7)/($AA$8-$AA$7)</f>
        <v>0.96138482023968042</v>
      </c>
      <c r="T534" s="3">
        <f>(Таблица1[Срок с последнего нарушения кредитного договора (мес,)]-$AA$12)/($AA$13-$AA$12)</f>
        <v>0.40074137090909095</v>
      </c>
      <c r="U534" s="3">
        <f>(Таблица1[Количество кредитных карт]-$AA$18)/($AA$19-$AA$18)</f>
        <v>0.2857142857142857</v>
      </c>
      <c r="V534" s="3">
        <f>(Таблица1[Число нарушений кредитных договоров]-$AA$23)/($AA$24-$AA$23)</f>
        <v>0</v>
      </c>
      <c r="W534" s="3">
        <f>Таблица1[[#This Row],[Годовой доход]]/12</f>
        <v>59802.5</v>
      </c>
      <c r="X534" s="3">
        <f>Таблица1[[#This Row],[Ежемесячный платеж]]/Таблица1[[#This Row],[Ежем доход]]</f>
        <v>0.23160285941223194</v>
      </c>
      <c r="Y534" s="3"/>
      <c r="Z534" s="3"/>
      <c r="AA534" s="3"/>
      <c r="AB534" s="3"/>
    </row>
    <row r="535" spans="1:28" x14ac:dyDescent="0.2">
      <c r="A535">
        <v>1133</v>
      </c>
      <c r="B535" t="s">
        <v>1172</v>
      </c>
      <c r="C535" t="s">
        <v>18</v>
      </c>
      <c r="D535" t="s">
        <v>19</v>
      </c>
      <c r="E535" t="s">
        <v>24</v>
      </c>
      <c r="F535" t="s">
        <v>21</v>
      </c>
      <c r="G535" t="s">
        <v>25</v>
      </c>
      <c r="H535" s="1">
        <v>336798</v>
      </c>
      <c r="I535" s="3">
        <v>691</v>
      </c>
      <c r="J535" s="3">
        <v>1260441</v>
      </c>
      <c r="K535" s="3">
        <v>13129.57</v>
      </c>
      <c r="L535" s="2">
        <v>39.4</v>
      </c>
      <c r="M535" s="11">
        <v>38</v>
      </c>
      <c r="N535" s="3">
        <v>18</v>
      </c>
      <c r="O535" s="3">
        <v>124089</v>
      </c>
      <c r="P535" s="3">
        <v>733062</v>
      </c>
      <c r="Q535" s="10">
        <v>0</v>
      </c>
      <c r="R535" s="3">
        <f>(Таблица1[Размер кредита]-$AA$2)/$AA$3</f>
        <v>0.15487702800235126</v>
      </c>
      <c r="S535" s="3">
        <f>(Таблица1[Кредитный рейтинг]-$AA$7)/($AA$8-$AA$7)</f>
        <v>0.92010652463382159</v>
      </c>
      <c r="T535" s="3">
        <f>(Таблица1[Срок с последнего нарушения кредитного договора (мес,)]-$AA$12)/($AA$13-$AA$12)</f>
        <v>0.43181818181818182</v>
      </c>
      <c r="U535" s="3">
        <f>(Таблица1[Количество кредитных карт]-$AA$18)/($AA$19-$AA$18)</f>
        <v>0.40476190476190477</v>
      </c>
      <c r="V535" s="3">
        <f>(Таблица1[Число нарушений кредитных договоров]-$AA$23)/($AA$24-$AA$23)</f>
        <v>0</v>
      </c>
      <c r="W535" s="3">
        <f>Таблица1[[#This Row],[Годовой доход]]/12</f>
        <v>105036.75</v>
      </c>
      <c r="X535" s="3">
        <f>Таблица1[[#This Row],[Ежемесячный платеж]]/Таблица1[[#This Row],[Ежем доход]]</f>
        <v>0.12499977388866278</v>
      </c>
      <c r="Y535" s="3"/>
      <c r="Z535" s="3"/>
      <c r="AA535" s="3"/>
      <c r="AB535" s="3"/>
    </row>
    <row r="536" spans="1:28" x14ac:dyDescent="0.2">
      <c r="A536">
        <v>1863</v>
      </c>
      <c r="B536" t="s">
        <v>1900</v>
      </c>
      <c r="C536" t="s">
        <v>18</v>
      </c>
      <c r="D536" t="s">
        <v>19</v>
      </c>
      <c r="E536" t="s">
        <v>69</v>
      </c>
      <c r="F536" t="s">
        <v>33</v>
      </c>
      <c r="G536" t="s">
        <v>67</v>
      </c>
      <c r="H536" s="1">
        <v>262284</v>
      </c>
      <c r="I536" s="3">
        <v>738</v>
      </c>
      <c r="J536" s="3">
        <v>1653589</v>
      </c>
      <c r="K536" s="3">
        <v>19705.09</v>
      </c>
      <c r="L536" s="2">
        <v>9.3000000000000007</v>
      </c>
      <c r="M536" s="11">
        <v>35.265240640000002</v>
      </c>
      <c r="N536" s="3">
        <v>10</v>
      </c>
      <c r="O536" s="3">
        <v>389804</v>
      </c>
      <c r="P536" s="3">
        <v>732710</v>
      </c>
      <c r="Q536" s="10">
        <v>0</v>
      </c>
      <c r="R536" s="3">
        <f>(Таблица1[Размер кредита]-$AA$2)/$AA$3</f>
        <v>-0.26935210519764391</v>
      </c>
      <c r="S536" s="3">
        <f>(Таблица1[Кредитный рейтинг]-$AA$7)/($AA$8-$AA$7)</f>
        <v>0.9826897470039947</v>
      </c>
      <c r="T536" s="3">
        <f>(Таблица1[Срок с последнего нарушения кредитного договора (мес,)]-$AA$12)/($AA$13-$AA$12)</f>
        <v>0.40074137090909095</v>
      </c>
      <c r="U536" s="3">
        <f>(Таблица1[Количество кредитных карт]-$AA$18)/($AA$19-$AA$18)</f>
        <v>0.21428571428571427</v>
      </c>
      <c r="V536" s="3">
        <f>(Таблица1[Число нарушений кредитных договоров]-$AA$23)/($AA$24-$AA$23)</f>
        <v>0</v>
      </c>
      <c r="W536" s="3">
        <f>Таблица1[[#This Row],[Годовой доход]]/12</f>
        <v>137799.08333333334</v>
      </c>
      <c r="X536" s="3">
        <f>Таблица1[[#This Row],[Ежемесячный платеж]]/Таблица1[[#This Row],[Ежем доход]]</f>
        <v>0.14299870161206926</v>
      </c>
      <c r="Y536" s="3"/>
      <c r="Z536" s="3"/>
      <c r="AA536" s="3"/>
      <c r="AB536" s="3"/>
    </row>
    <row r="537" spans="1:28" x14ac:dyDescent="0.2">
      <c r="A537">
        <v>417</v>
      </c>
      <c r="B537" t="s">
        <v>459</v>
      </c>
      <c r="C537" t="s">
        <v>18</v>
      </c>
      <c r="D537" t="s">
        <v>19</v>
      </c>
      <c r="E537" t="s">
        <v>52</v>
      </c>
      <c r="F537" t="s">
        <v>33</v>
      </c>
      <c r="G537" t="s">
        <v>25</v>
      </c>
      <c r="H537" s="1">
        <v>500302</v>
      </c>
      <c r="I537" s="3">
        <v>0</v>
      </c>
      <c r="J537" s="3">
        <v>1168044</v>
      </c>
      <c r="K537" s="3">
        <v>13520.59</v>
      </c>
      <c r="L537" s="2">
        <v>15</v>
      </c>
      <c r="M537" s="11">
        <v>35.265240640000002</v>
      </c>
      <c r="N537" s="3">
        <v>8</v>
      </c>
      <c r="O537" s="3">
        <v>232142</v>
      </c>
      <c r="P537" s="3">
        <v>732424</v>
      </c>
      <c r="Q537" s="10">
        <v>0</v>
      </c>
      <c r="R537" s="3">
        <f>(Таблица1[Размер кредита]-$AA$2)/$AA$3</f>
        <v>1.0857512287529754</v>
      </c>
      <c r="S537" s="3">
        <f>(Таблица1[Кредитный рейтинг]-$AA$7)/($AA$8-$AA$7)</f>
        <v>0</v>
      </c>
      <c r="T537" s="3">
        <f>(Таблица1[Срок с последнего нарушения кредитного договора (мес,)]-$AA$12)/($AA$13-$AA$12)</f>
        <v>0.40074137090909095</v>
      </c>
      <c r="U537" s="3">
        <f>(Таблица1[Количество кредитных карт]-$AA$18)/($AA$19-$AA$18)</f>
        <v>0.16666666666666666</v>
      </c>
      <c r="V537" s="3">
        <f>(Таблица1[Число нарушений кредитных договоров]-$AA$23)/($AA$24-$AA$23)</f>
        <v>0</v>
      </c>
      <c r="W537" s="3">
        <f>Таблица1[[#This Row],[Годовой доход]]/12</f>
        <v>97337</v>
      </c>
      <c r="X537" s="3">
        <f>Таблица1[[#This Row],[Ежемесячный платеж]]/Таблица1[[#This Row],[Ежем доход]]</f>
        <v>0.13890493851259028</v>
      </c>
      <c r="Y537" s="3"/>
      <c r="Z537" s="3"/>
      <c r="AA537" s="3"/>
      <c r="AB537" s="3"/>
    </row>
    <row r="538" spans="1:28" x14ac:dyDescent="0.2">
      <c r="A538">
        <v>333</v>
      </c>
      <c r="B538" t="s">
        <v>375</v>
      </c>
      <c r="C538" t="s">
        <v>18</v>
      </c>
      <c r="D538" t="s">
        <v>19</v>
      </c>
      <c r="E538" t="s">
        <v>69</v>
      </c>
      <c r="F538" t="s">
        <v>21</v>
      </c>
      <c r="G538" t="s">
        <v>25</v>
      </c>
      <c r="H538" s="1">
        <v>309594.52439999999</v>
      </c>
      <c r="I538" s="3">
        <v>704</v>
      </c>
      <c r="J538" s="3">
        <v>1160862</v>
      </c>
      <c r="K538" s="3">
        <v>25442.14</v>
      </c>
      <c r="L538" s="2">
        <v>14.8</v>
      </c>
      <c r="M538" s="11">
        <v>13</v>
      </c>
      <c r="N538" s="3">
        <v>9</v>
      </c>
      <c r="O538" s="3">
        <v>607202</v>
      </c>
      <c r="P538" s="3">
        <v>730092</v>
      </c>
      <c r="Q538" s="10">
        <v>0</v>
      </c>
      <c r="R538" s="3">
        <f>(Таблица1[Размер кредита]-$AA$2)/$AA$3</f>
        <v>-1.2411115481956205E-10</v>
      </c>
      <c r="S538" s="3">
        <f>(Таблица1[Кредитный рейтинг]-$AA$7)/($AA$8-$AA$7)</f>
        <v>0.93741677762982689</v>
      </c>
      <c r="T538" s="3">
        <f>(Таблица1[Срок с последнего нарушения кредитного договора (мес,)]-$AA$12)/($AA$13-$AA$12)</f>
        <v>0.14772727272727273</v>
      </c>
      <c r="U538" s="3">
        <f>(Таблица1[Количество кредитных карт]-$AA$18)/($AA$19-$AA$18)</f>
        <v>0.19047619047619047</v>
      </c>
      <c r="V538" s="3">
        <f>(Таблица1[Число нарушений кредитных договоров]-$AA$23)/($AA$24-$AA$23)</f>
        <v>0</v>
      </c>
      <c r="W538" s="3">
        <f>Таблица1[[#This Row],[Годовой доход]]/12</f>
        <v>96738.5</v>
      </c>
      <c r="X538" s="3">
        <f>Таблица1[[#This Row],[Ежемесячный платеж]]/Таблица1[[#This Row],[Ежем доход]]</f>
        <v>0.2629991161740155</v>
      </c>
      <c r="Y538" s="3"/>
      <c r="Z538" s="3"/>
      <c r="AA538" s="3"/>
      <c r="AB538" s="3"/>
    </row>
    <row r="539" spans="1:28" x14ac:dyDescent="0.2">
      <c r="A539">
        <v>1043</v>
      </c>
      <c r="B539" t="s">
        <v>1082</v>
      </c>
      <c r="C539" t="s">
        <v>35</v>
      </c>
      <c r="D539" t="s">
        <v>29</v>
      </c>
      <c r="E539" t="s">
        <v>24</v>
      </c>
      <c r="F539" t="s">
        <v>21</v>
      </c>
      <c r="G539" t="s">
        <v>25</v>
      </c>
      <c r="H539" s="1">
        <v>769230</v>
      </c>
      <c r="I539" s="3">
        <v>738</v>
      </c>
      <c r="J539" s="3">
        <v>2694257</v>
      </c>
      <c r="K539" s="3">
        <v>10081.02</v>
      </c>
      <c r="L539" s="2">
        <v>27.1</v>
      </c>
      <c r="M539" s="11">
        <v>38</v>
      </c>
      <c r="N539" s="3">
        <v>6</v>
      </c>
      <c r="O539" s="3">
        <v>210349</v>
      </c>
      <c r="P539" s="3">
        <v>727056</v>
      </c>
      <c r="Q539" s="10">
        <v>0</v>
      </c>
      <c r="R539" s="3">
        <f>(Таблица1[Размер кредита]-$AA$2)/$AA$3</f>
        <v>2.6168338754127749</v>
      </c>
      <c r="S539" s="3">
        <f>(Таблица1[Кредитный рейтинг]-$AA$7)/($AA$8-$AA$7)</f>
        <v>0.9826897470039947</v>
      </c>
      <c r="T539" s="3">
        <f>(Таблица1[Срок с последнего нарушения кредитного договора (мес,)]-$AA$12)/($AA$13-$AA$12)</f>
        <v>0.43181818181818182</v>
      </c>
      <c r="U539" s="3">
        <f>(Таблица1[Количество кредитных карт]-$AA$18)/($AA$19-$AA$18)</f>
        <v>0.11904761904761904</v>
      </c>
      <c r="V539" s="3">
        <f>(Таблица1[Число нарушений кредитных договоров]-$AA$23)/($AA$24-$AA$23)</f>
        <v>0</v>
      </c>
      <c r="W539" s="3">
        <f>Таблица1[[#This Row],[Годовой доход]]/12</f>
        <v>224521.41666666666</v>
      </c>
      <c r="X539" s="3">
        <f>Таблица1[[#This Row],[Ежемесячный платеж]]/Таблица1[[#This Row],[Ежем доход]]</f>
        <v>4.4900037375796002E-2</v>
      </c>
      <c r="Y539" s="3"/>
      <c r="Z539" s="3"/>
      <c r="AA539" s="3"/>
      <c r="AB539" s="3"/>
    </row>
    <row r="540" spans="1:28" x14ac:dyDescent="0.2">
      <c r="A540">
        <v>407</v>
      </c>
      <c r="B540" t="s">
        <v>449</v>
      </c>
      <c r="C540" t="s">
        <v>35</v>
      </c>
      <c r="D540" t="s">
        <v>29</v>
      </c>
      <c r="E540" t="s">
        <v>24</v>
      </c>
      <c r="F540" t="s">
        <v>21</v>
      </c>
      <c r="G540" t="s">
        <v>22</v>
      </c>
      <c r="H540" s="1">
        <v>539176</v>
      </c>
      <c r="I540" s="3">
        <v>712</v>
      </c>
      <c r="J540" s="3">
        <v>1154801</v>
      </c>
      <c r="K540" s="3">
        <v>14338.54</v>
      </c>
      <c r="L540" s="2">
        <v>13.9</v>
      </c>
      <c r="M540" s="11">
        <v>35.265240640000002</v>
      </c>
      <c r="N540" s="3">
        <v>7</v>
      </c>
      <c r="O540" s="3">
        <v>256025</v>
      </c>
      <c r="P540" s="3">
        <v>726594</v>
      </c>
      <c r="Q540" s="10">
        <v>0</v>
      </c>
      <c r="R540" s="3">
        <f>(Таблица1[Размер кредита]-$AA$2)/$AA$3</f>
        <v>1.3070718305729905</v>
      </c>
      <c r="S540" s="3">
        <f>(Таблица1[Кредитный рейтинг]-$AA$7)/($AA$8-$AA$7)</f>
        <v>0.94806924101198398</v>
      </c>
      <c r="T540" s="3">
        <f>(Таблица1[Срок с последнего нарушения кредитного договора (мес,)]-$AA$12)/($AA$13-$AA$12)</f>
        <v>0.40074137090909095</v>
      </c>
      <c r="U540" s="3">
        <f>(Таблица1[Количество кредитных карт]-$AA$18)/($AA$19-$AA$18)</f>
        <v>0.14285714285714285</v>
      </c>
      <c r="V540" s="3">
        <f>(Таблица1[Число нарушений кредитных договоров]-$AA$23)/($AA$24-$AA$23)</f>
        <v>0</v>
      </c>
      <c r="W540" s="3">
        <f>Таблица1[[#This Row],[Годовой доход]]/12</f>
        <v>96233.416666666672</v>
      </c>
      <c r="X540" s="3">
        <f>Таблица1[[#This Row],[Ежемесячный платеж]]/Таблица1[[#This Row],[Ежем доход]]</f>
        <v>0.14899751558926602</v>
      </c>
      <c r="Y540" s="3"/>
      <c r="Z540" s="3"/>
      <c r="AA540" s="3"/>
      <c r="AB540" s="3"/>
    </row>
    <row r="541" spans="1:28" x14ac:dyDescent="0.2">
      <c r="A541">
        <v>1271</v>
      </c>
      <c r="B541" t="s">
        <v>1310</v>
      </c>
      <c r="C541" t="s">
        <v>18</v>
      </c>
      <c r="D541" t="s">
        <v>19</v>
      </c>
      <c r="E541" t="s">
        <v>24</v>
      </c>
      <c r="F541" t="s">
        <v>21</v>
      </c>
      <c r="G541" t="s">
        <v>25</v>
      </c>
      <c r="H541" s="1">
        <v>313456</v>
      </c>
      <c r="I541" s="3">
        <v>710</v>
      </c>
      <c r="J541" s="3">
        <v>932482</v>
      </c>
      <c r="K541" s="3">
        <v>20980.75</v>
      </c>
      <c r="L541" s="2">
        <v>17.899999999999999</v>
      </c>
      <c r="M541" s="11">
        <v>34</v>
      </c>
      <c r="N541" s="3">
        <v>7</v>
      </c>
      <c r="O541" s="3">
        <v>527554</v>
      </c>
      <c r="P541" s="3">
        <v>725494</v>
      </c>
      <c r="Q541" s="10">
        <v>0</v>
      </c>
      <c r="R541" s="3">
        <f>(Таблица1[Размер кредита]-$AA$2)/$AA$3</f>
        <v>2.1984465166450799E-2</v>
      </c>
      <c r="S541" s="3">
        <f>(Таблица1[Кредитный рейтинг]-$AA$7)/($AA$8-$AA$7)</f>
        <v>0.94540612516644473</v>
      </c>
      <c r="T541" s="3">
        <f>(Таблица1[Срок с последнего нарушения кредитного договора (мес,)]-$AA$12)/($AA$13-$AA$12)</f>
        <v>0.38636363636363635</v>
      </c>
      <c r="U541" s="3">
        <f>(Таблица1[Количество кредитных карт]-$AA$18)/($AA$19-$AA$18)</f>
        <v>0.14285714285714285</v>
      </c>
      <c r="V541" s="3">
        <f>(Таблица1[Число нарушений кредитных договоров]-$AA$23)/($AA$24-$AA$23)</f>
        <v>0</v>
      </c>
      <c r="W541" s="3">
        <f>Таблица1[[#This Row],[Годовой доход]]/12</f>
        <v>77706.833333333328</v>
      </c>
      <c r="X541" s="3">
        <f>Таблица1[[#This Row],[Ежемесячный платеж]]/Таблица1[[#This Row],[Ежем доход]]</f>
        <v>0.26999877745629408</v>
      </c>
      <c r="Y541" s="3"/>
      <c r="Z541" s="3"/>
      <c r="AA541" s="3"/>
      <c r="AB541" s="3"/>
    </row>
    <row r="542" spans="1:28" x14ac:dyDescent="0.2">
      <c r="A542">
        <v>341</v>
      </c>
      <c r="B542" t="s">
        <v>383</v>
      </c>
      <c r="C542" t="s">
        <v>18</v>
      </c>
      <c r="D542" t="s">
        <v>19</v>
      </c>
      <c r="E542" t="s">
        <v>37</v>
      </c>
      <c r="F542" t="s">
        <v>21</v>
      </c>
      <c r="G542" t="s">
        <v>25</v>
      </c>
      <c r="H542" s="1">
        <v>88198</v>
      </c>
      <c r="I542" s="3">
        <v>741</v>
      </c>
      <c r="J542" s="3">
        <v>825968</v>
      </c>
      <c r="K542" s="3">
        <v>3407.08</v>
      </c>
      <c r="L542" s="2">
        <v>14.2</v>
      </c>
      <c r="M542" s="11">
        <v>35.265240640000002</v>
      </c>
      <c r="N542" s="3">
        <v>9</v>
      </c>
      <c r="O542" s="3">
        <v>112727</v>
      </c>
      <c r="P542" s="3">
        <v>725098</v>
      </c>
      <c r="Q542" s="10">
        <v>0</v>
      </c>
      <c r="R542" s="3">
        <f>(Таблица1[Размер кредита]-$AA$2)/$AA$3</f>
        <v>-1.2604726044629411</v>
      </c>
      <c r="S542" s="3">
        <f>(Таблица1[Кредитный рейтинг]-$AA$7)/($AA$8-$AA$7)</f>
        <v>0.98668442077230356</v>
      </c>
      <c r="T542" s="3">
        <f>(Таблица1[Срок с последнего нарушения кредитного договора (мес,)]-$AA$12)/($AA$13-$AA$12)</f>
        <v>0.40074137090909095</v>
      </c>
      <c r="U542" s="3">
        <f>(Таблица1[Количество кредитных карт]-$AA$18)/($AA$19-$AA$18)</f>
        <v>0.19047619047619047</v>
      </c>
      <c r="V542" s="3">
        <f>(Таблица1[Число нарушений кредитных договоров]-$AA$23)/($AA$24-$AA$23)</f>
        <v>0</v>
      </c>
      <c r="W542" s="3">
        <f>Таблица1[[#This Row],[Годовой доход]]/12</f>
        <v>68830.666666666672</v>
      </c>
      <c r="X542" s="3">
        <f>Таблица1[[#This Row],[Ежемесячный платеж]]/Таблица1[[#This Row],[Ежем доход]]</f>
        <v>4.9499447920500546E-2</v>
      </c>
      <c r="Y542" s="3"/>
      <c r="Z542" s="3"/>
      <c r="AA542" s="3"/>
      <c r="AB542" s="3"/>
    </row>
    <row r="543" spans="1:28" x14ac:dyDescent="0.2">
      <c r="A543">
        <v>120</v>
      </c>
      <c r="B543" t="s">
        <v>162</v>
      </c>
      <c r="C543" t="s">
        <v>18</v>
      </c>
      <c r="D543" t="s">
        <v>19</v>
      </c>
      <c r="E543" t="s">
        <v>24</v>
      </c>
      <c r="F543" t="s">
        <v>21</v>
      </c>
      <c r="G543" t="s">
        <v>25</v>
      </c>
      <c r="H543" s="1">
        <v>309594.52439999999</v>
      </c>
      <c r="I543" s="3">
        <v>709</v>
      </c>
      <c r="J543" s="3">
        <v>1806083</v>
      </c>
      <c r="K543" s="3">
        <v>29348.92</v>
      </c>
      <c r="L543" s="2">
        <v>16.100000000000001</v>
      </c>
      <c r="M543" s="11">
        <v>25</v>
      </c>
      <c r="N543" s="3">
        <v>22</v>
      </c>
      <c r="O543" s="3">
        <v>492556</v>
      </c>
      <c r="P543" s="3">
        <v>724680</v>
      </c>
      <c r="Q543" s="10">
        <v>0</v>
      </c>
      <c r="R543" s="3">
        <f>(Таблица1[Размер кредита]-$AA$2)/$AA$3</f>
        <v>-1.2411115481956205E-10</v>
      </c>
      <c r="S543" s="3">
        <f>(Таблица1[Кредитный рейтинг]-$AA$7)/($AA$8-$AA$7)</f>
        <v>0.94407456724367511</v>
      </c>
      <c r="T543" s="3">
        <f>(Таблица1[Срок с последнего нарушения кредитного договора (мес,)]-$AA$12)/($AA$13-$AA$12)</f>
        <v>0.28409090909090912</v>
      </c>
      <c r="U543" s="3">
        <f>(Таблица1[Количество кредитных карт]-$AA$18)/($AA$19-$AA$18)</f>
        <v>0.5</v>
      </c>
      <c r="V543" s="3">
        <f>(Таблица1[Число нарушений кредитных договоров]-$AA$23)/($AA$24-$AA$23)</f>
        <v>0</v>
      </c>
      <c r="W543" s="3">
        <f>Таблица1[[#This Row],[Годовой доход]]/12</f>
        <v>150506.91666666666</v>
      </c>
      <c r="X543" s="3">
        <f>Таблица1[[#This Row],[Ежемесячный платеж]]/Таблица1[[#This Row],[Ежем доход]]</f>
        <v>0.19500047340017043</v>
      </c>
      <c r="Y543" s="3"/>
      <c r="Z543" s="3"/>
      <c r="AA543" s="3"/>
      <c r="AB543" s="3"/>
    </row>
    <row r="544" spans="1:28" x14ac:dyDescent="0.2">
      <c r="A544">
        <v>1961</v>
      </c>
      <c r="B544" t="s">
        <v>1997</v>
      </c>
      <c r="C544" t="s">
        <v>18</v>
      </c>
      <c r="D544" t="s">
        <v>19</v>
      </c>
      <c r="E544" t="s">
        <v>30</v>
      </c>
      <c r="F544" t="s">
        <v>33</v>
      </c>
      <c r="G544" t="s">
        <v>25</v>
      </c>
      <c r="H544" s="1">
        <v>309594.52439999999</v>
      </c>
      <c r="I544" s="3">
        <v>717</v>
      </c>
      <c r="J544" s="3">
        <v>2315872</v>
      </c>
      <c r="K544" s="3">
        <v>13605.71</v>
      </c>
      <c r="L544" s="2">
        <v>15.2</v>
      </c>
      <c r="M544" s="11">
        <v>35.265240640000002</v>
      </c>
      <c r="N544" s="3">
        <v>10</v>
      </c>
      <c r="O544" s="3">
        <v>480738</v>
      </c>
      <c r="P544" s="3">
        <v>722920</v>
      </c>
      <c r="Q544" s="10">
        <v>0</v>
      </c>
      <c r="R544" s="3">
        <f>(Таблица1[Размер кредита]-$AA$2)/$AA$3</f>
        <v>-1.2411115481956205E-10</v>
      </c>
      <c r="S544" s="3">
        <f>(Таблица1[Кредитный рейтинг]-$AA$7)/($AA$8-$AA$7)</f>
        <v>0.9547270306258322</v>
      </c>
      <c r="T544" s="3">
        <f>(Таблица1[Срок с последнего нарушения кредитного договора (мес,)]-$AA$12)/($AA$13-$AA$12)</f>
        <v>0.40074137090909095</v>
      </c>
      <c r="U544" s="3">
        <f>(Таблица1[Количество кредитных карт]-$AA$18)/($AA$19-$AA$18)</f>
        <v>0.21428571428571427</v>
      </c>
      <c r="V544" s="3">
        <f>(Таблица1[Число нарушений кредитных договоров]-$AA$23)/($AA$24-$AA$23)</f>
        <v>0</v>
      </c>
      <c r="W544" s="3">
        <f>Таблица1[[#This Row],[Годовой доход]]/12</f>
        <v>192989.33333333334</v>
      </c>
      <c r="X544" s="3">
        <f>Таблица1[[#This Row],[Ежемесячный платеж]]/Таблица1[[#This Row],[Ежем доход]]</f>
        <v>7.0499803097925959E-2</v>
      </c>
      <c r="Y544" s="3"/>
      <c r="Z544" s="3"/>
      <c r="AA544" s="3"/>
      <c r="AB544" s="3"/>
    </row>
    <row r="545" spans="1:28" x14ac:dyDescent="0.2">
      <c r="A545">
        <v>1013</v>
      </c>
      <c r="B545" t="s">
        <v>1052</v>
      </c>
      <c r="C545" t="s">
        <v>18</v>
      </c>
      <c r="D545" t="s">
        <v>19</v>
      </c>
      <c r="E545" t="s">
        <v>20</v>
      </c>
      <c r="F545" t="s">
        <v>33</v>
      </c>
      <c r="G545" t="s">
        <v>25</v>
      </c>
      <c r="H545" s="1">
        <v>335720</v>
      </c>
      <c r="I545" s="3">
        <v>728</v>
      </c>
      <c r="J545" s="3">
        <v>966435</v>
      </c>
      <c r="K545" s="3">
        <v>9181.18</v>
      </c>
      <c r="L545" s="2">
        <v>8.6999999999999993</v>
      </c>
      <c r="M545" s="11">
        <v>30</v>
      </c>
      <c r="N545" s="3">
        <v>12</v>
      </c>
      <c r="O545" s="3">
        <v>226974</v>
      </c>
      <c r="P545" s="3">
        <v>722018</v>
      </c>
      <c r="Q545" s="10">
        <v>0</v>
      </c>
      <c r="R545" s="3">
        <f>(Таблица1[Размер кредита]-$AA$2)/$AA$3</f>
        <v>0.14873967118900619</v>
      </c>
      <c r="S545" s="3">
        <f>(Таблица1[Кредитный рейтинг]-$AA$7)/($AA$8-$AA$7)</f>
        <v>0.96937416777629826</v>
      </c>
      <c r="T545" s="3">
        <f>(Таблица1[Срок с последнего нарушения кредитного договора (мес,)]-$AA$12)/($AA$13-$AA$12)</f>
        <v>0.34090909090909088</v>
      </c>
      <c r="U545" s="3">
        <f>(Таблица1[Количество кредитных карт]-$AA$18)/($AA$19-$AA$18)</f>
        <v>0.26190476190476192</v>
      </c>
      <c r="V545" s="3">
        <f>(Таблица1[Число нарушений кредитных договоров]-$AA$23)/($AA$24-$AA$23)</f>
        <v>0</v>
      </c>
      <c r="W545" s="3">
        <f>Таблица1[[#This Row],[Годовой доход]]/12</f>
        <v>80536.25</v>
      </c>
      <c r="X545" s="3">
        <f>Таблица1[[#This Row],[Ежемесячный платеж]]/Таблица1[[#This Row],[Ежем доход]]</f>
        <v>0.11400058979652021</v>
      </c>
      <c r="Y545" s="3"/>
      <c r="Z545" s="3"/>
      <c r="AA545" s="3"/>
      <c r="AB545" s="3"/>
    </row>
    <row r="546" spans="1:28" x14ac:dyDescent="0.2">
      <c r="A546">
        <v>842</v>
      </c>
      <c r="B546" t="s">
        <v>883</v>
      </c>
      <c r="C546" t="s">
        <v>18</v>
      </c>
      <c r="D546" t="s">
        <v>19</v>
      </c>
      <c r="E546" t="s">
        <v>63</v>
      </c>
      <c r="F546" t="s">
        <v>27</v>
      </c>
      <c r="G546" t="s">
        <v>25</v>
      </c>
      <c r="H546" s="1">
        <v>65912</v>
      </c>
      <c r="I546" s="3">
        <v>732</v>
      </c>
      <c r="J546" s="3">
        <v>948575</v>
      </c>
      <c r="K546" s="3">
        <v>4956.34</v>
      </c>
      <c r="L546" s="2">
        <v>15.4</v>
      </c>
      <c r="M546" s="11">
        <v>15</v>
      </c>
      <c r="N546" s="3">
        <v>8</v>
      </c>
      <c r="O546" s="3">
        <v>159486</v>
      </c>
      <c r="P546" s="3">
        <v>721402</v>
      </c>
      <c r="Q546" s="10">
        <v>0</v>
      </c>
      <c r="R546" s="3">
        <f>(Таблица1[Размер кредита]-$AA$2)/$AA$3</f>
        <v>-1.3873530626653607</v>
      </c>
      <c r="S546" s="3">
        <f>(Таблица1[Кредитный рейтинг]-$AA$7)/($AA$8-$AA$7)</f>
        <v>0.97470039946737685</v>
      </c>
      <c r="T546" s="3">
        <f>(Таблица1[Срок с последнего нарушения кредитного договора (мес,)]-$AA$12)/($AA$13-$AA$12)</f>
        <v>0.17045454545454544</v>
      </c>
      <c r="U546" s="3">
        <f>(Таблица1[Количество кредитных карт]-$AA$18)/($AA$19-$AA$18)</f>
        <v>0.16666666666666666</v>
      </c>
      <c r="V546" s="3">
        <f>(Таблица1[Число нарушений кредитных договоров]-$AA$23)/($AA$24-$AA$23)</f>
        <v>0</v>
      </c>
      <c r="W546" s="3">
        <f>Таблица1[[#This Row],[Годовой доход]]/12</f>
        <v>79047.916666666672</v>
      </c>
      <c r="X546" s="3">
        <f>Таблица1[[#This Row],[Ежемесячный платеж]]/Таблица1[[#This Row],[Ежем доход]]</f>
        <v>6.2700450676014013E-2</v>
      </c>
      <c r="Y546" s="3"/>
      <c r="Z546" s="3"/>
      <c r="AA546" s="3"/>
      <c r="AB546" s="3"/>
    </row>
    <row r="547" spans="1:28" x14ac:dyDescent="0.2">
      <c r="A547">
        <v>149</v>
      </c>
      <c r="B547" t="s">
        <v>191</v>
      </c>
      <c r="C547" t="s">
        <v>18</v>
      </c>
      <c r="D547" t="s">
        <v>19</v>
      </c>
      <c r="E547" t="s">
        <v>69</v>
      </c>
      <c r="F547" t="s">
        <v>21</v>
      </c>
      <c r="G547" t="s">
        <v>67</v>
      </c>
      <c r="H547" s="1">
        <v>259116</v>
      </c>
      <c r="I547" s="3">
        <v>0</v>
      </c>
      <c r="J547" s="3">
        <v>1168044</v>
      </c>
      <c r="K547" s="3">
        <v>21678.81</v>
      </c>
      <c r="L547" s="2">
        <v>31.4</v>
      </c>
      <c r="M547" s="11">
        <v>35.265240640000002</v>
      </c>
      <c r="N547" s="3">
        <v>9</v>
      </c>
      <c r="O547" s="3">
        <v>254030</v>
      </c>
      <c r="P547" s="3">
        <v>720918</v>
      </c>
      <c r="Q547" s="10">
        <v>0</v>
      </c>
      <c r="R547" s="3">
        <f>(Таблица1[Размер кредита]-$AA$2)/$AA$3</f>
        <v>-0.28738841909808654</v>
      </c>
      <c r="S547" s="3">
        <f>(Таблица1[Кредитный рейтинг]-$AA$7)/($AA$8-$AA$7)</f>
        <v>0</v>
      </c>
      <c r="T547" s="3">
        <f>(Таблица1[Срок с последнего нарушения кредитного договора (мес,)]-$AA$12)/($AA$13-$AA$12)</f>
        <v>0.40074137090909095</v>
      </c>
      <c r="U547" s="3">
        <f>(Таблица1[Количество кредитных карт]-$AA$18)/($AA$19-$AA$18)</f>
        <v>0.19047619047619047</v>
      </c>
      <c r="V547" s="3">
        <f>(Таблица1[Число нарушений кредитных договоров]-$AA$23)/($AA$24-$AA$23)</f>
        <v>0</v>
      </c>
      <c r="W547" s="3">
        <f>Таблица1[[#This Row],[Годовой доход]]/12</f>
        <v>97337</v>
      </c>
      <c r="X547" s="3">
        <f>Таблица1[[#This Row],[Ежемесячный платеж]]/Таблица1[[#This Row],[Ежем доход]]</f>
        <v>0.222719109896545</v>
      </c>
      <c r="Y547" s="3"/>
      <c r="Z547" s="3"/>
      <c r="AA547" s="3"/>
      <c r="AB547" s="3"/>
    </row>
    <row r="548" spans="1:28" x14ac:dyDescent="0.2">
      <c r="A548">
        <v>621</v>
      </c>
      <c r="B548" t="s">
        <v>662</v>
      </c>
      <c r="C548" t="s">
        <v>35</v>
      </c>
      <c r="D548" t="s">
        <v>19</v>
      </c>
      <c r="E548" t="s">
        <v>24</v>
      </c>
      <c r="F548" t="s">
        <v>33</v>
      </c>
      <c r="G548" t="s">
        <v>25</v>
      </c>
      <c r="H548" s="1">
        <v>215776</v>
      </c>
      <c r="I548" s="3">
        <v>729</v>
      </c>
      <c r="J548" s="3">
        <v>1583992</v>
      </c>
      <c r="K548" s="3">
        <v>14783.9</v>
      </c>
      <c r="L548" s="2">
        <v>10.5</v>
      </c>
      <c r="M548" s="11">
        <v>29</v>
      </c>
      <c r="N548" s="3">
        <v>5</v>
      </c>
      <c r="O548" s="3">
        <v>447564</v>
      </c>
      <c r="P548" s="3">
        <v>720764</v>
      </c>
      <c r="Q548" s="10">
        <v>0</v>
      </c>
      <c r="R548" s="3">
        <f>(Таблица1[Размер кредита]-$AA$2)/$AA$3</f>
        <v>-0.53413521343053139</v>
      </c>
      <c r="S548" s="3">
        <f>(Таблица1[Кредитный рейтинг]-$AA$7)/($AA$8-$AA$7)</f>
        <v>0.97070572569906788</v>
      </c>
      <c r="T548" s="3">
        <f>(Таблица1[Срок с последнего нарушения кредитного договора (мес,)]-$AA$12)/($AA$13-$AA$12)</f>
        <v>0.32954545454545453</v>
      </c>
      <c r="U548" s="3">
        <f>(Таблица1[Количество кредитных карт]-$AA$18)/($AA$19-$AA$18)</f>
        <v>9.5238095238095233E-2</v>
      </c>
      <c r="V548" s="3">
        <f>(Таблица1[Число нарушений кредитных договоров]-$AA$23)/($AA$24-$AA$23)</f>
        <v>0</v>
      </c>
      <c r="W548" s="3">
        <f>Таблица1[[#This Row],[Годовой доход]]/12</f>
        <v>131999.33333333334</v>
      </c>
      <c r="X548" s="3">
        <f>Таблица1[[#This Row],[Ежемесячный платеж]]/Таблица1[[#This Row],[Ежем доход]]</f>
        <v>0.11199980807983878</v>
      </c>
      <c r="Y548" s="3"/>
      <c r="Z548" s="3"/>
      <c r="AA548" s="3"/>
      <c r="AB548" s="3"/>
    </row>
    <row r="549" spans="1:28" x14ac:dyDescent="0.2">
      <c r="A549">
        <v>648</v>
      </c>
      <c r="B549" t="s">
        <v>689</v>
      </c>
      <c r="C549" t="s">
        <v>18</v>
      </c>
      <c r="D549" t="s">
        <v>19</v>
      </c>
      <c r="E549" t="s">
        <v>24</v>
      </c>
      <c r="F549" t="s">
        <v>33</v>
      </c>
      <c r="G549" t="s">
        <v>25</v>
      </c>
      <c r="H549" s="1">
        <v>309594.52439999999</v>
      </c>
      <c r="I549" s="3">
        <v>745</v>
      </c>
      <c r="J549" s="3">
        <v>491036</v>
      </c>
      <c r="K549" s="3">
        <v>2459.36</v>
      </c>
      <c r="L549" s="2">
        <v>13.7</v>
      </c>
      <c r="M549" s="11">
        <v>35.265240640000002</v>
      </c>
      <c r="N549" s="3">
        <v>14</v>
      </c>
      <c r="O549" s="3">
        <v>81472</v>
      </c>
      <c r="P549" s="3">
        <v>720126</v>
      </c>
      <c r="Q549" s="10">
        <v>1</v>
      </c>
      <c r="R549" s="3">
        <f>(Таблица1[Размер кредита]-$AA$2)/$AA$3</f>
        <v>-1.2411115481956205E-10</v>
      </c>
      <c r="S549" s="3">
        <f>(Таблица1[Кредитный рейтинг]-$AA$7)/($AA$8-$AA$7)</f>
        <v>0.99201065246338216</v>
      </c>
      <c r="T549" s="3">
        <f>(Таблица1[Срок с последнего нарушения кредитного договора (мес,)]-$AA$12)/($AA$13-$AA$12)</f>
        <v>0.40074137090909095</v>
      </c>
      <c r="U549" s="3">
        <f>(Таблица1[Количество кредитных карт]-$AA$18)/($AA$19-$AA$18)</f>
        <v>0.30952380952380953</v>
      </c>
      <c r="V549" s="3">
        <f>(Таблица1[Число нарушений кредитных договоров]-$AA$23)/($AA$24-$AA$23)</f>
        <v>0.14285714285714285</v>
      </c>
      <c r="W549" s="3">
        <f>Таблица1[[#This Row],[Годовой доход]]/12</f>
        <v>40919.666666666664</v>
      </c>
      <c r="X549" s="3">
        <f>Таблица1[[#This Row],[Ежемесячный платеж]]/Таблица1[[#This Row],[Ежем доход]]</f>
        <v>6.0102151369757009E-2</v>
      </c>
      <c r="Y549" s="3"/>
      <c r="Z549" s="3"/>
      <c r="AA549" s="3"/>
      <c r="AB549" s="3"/>
    </row>
    <row r="550" spans="1:28" x14ac:dyDescent="0.2">
      <c r="A550">
        <v>335</v>
      </c>
      <c r="B550" t="s">
        <v>377</v>
      </c>
      <c r="C550" t="s">
        <v>18</v>
      </c>
      <c r="D550" t="s">
        <v>19</v>
      </c>
      <c r="E550" t="s">
        <v>30</v>
      </c>
      <c r="F550" t="s">
        <v>33</v>
      </c>
      <c r="G550" t="s">
        <v>25</v>
      </c>
      <c r="H550" s="1">
        <v>332222</v>
      </c>
      <c r="I550" s="3">
        <v>746</v>
      </c>
      <c r="J550" s="3">
        <v>891119</v>
      </c>
      <c r="K550" s="3">
        <v>11733.07</v>
      </c>
      <c r="L550" s="2">
        <v>23.8</v>
      </c>
      <c r="M550" s="11">
        <v>42</v>
      </c>
      <c r="N550" s="3">
        <v>9</v>
      </c>
      <c r="O550" s="3">
        <v>293683</v>
      </c>
      <c r="P550" s="3">
        <v>717420</v>
      </c>
      <c r="Q550" s="10">
        <v>0</v>
      </c>
      <c r="R550" s="3">
        <f>(Таблица1[Размер кредита]-$AA$2)/$AA$3</f>
        <v>0.12882457459060073</v>
      </c>
      <c r="S550" s="3">
        <f>(Таблица1[Кредитный рейтинг]-$AA$7)/($AA$8-$AA$7)</f>
        <v>0.99334221038615178</v>
      </c>
      <c r="T550" s="3">
        <f>(Таблица1[Срок с последнего нарушения кредитного договора (мес,)]-$AA$12)/($AA$13-$AA$12)</f>
        <v>0.47727272727272729</v>
      </c>
      <c r="U550" s="3">
        <f>(Таблица1[Количество кредитных карт]-$AA$18)/($AA$19-$AA$18)</f>
        <v>0.19047619047619047</v>
      </c>
      <c r="V550" s="3">
        <f>(Таблица1[Число нарушений кредитных договоров]-$AA$23)/($AA$24-$AA$23)</f>
        <v>0</v>
      </c>
      <c r="W550" s="3">
        <f>Таблица1[[#This Row],[Годовой доход]]/12</f>
        <v>74259.916666666672</v>
      </c>
      <c r="X550" s="3">
        <f>Таблица1[[#This Row],[Ежемесячный платеж]]/Таблица1[[#This Row],[Ежем доход]]</f>
        <v>0.15800004264301398</v>
      </c>
      <c r="Y550" s="3"/>
      <c r="Z550" s="3"/>
      <c r="AA550" s="3"/>
      <c r="AB550" s="3"/>
    </row>
    <row r="551" spans="1:28" x14ac:dyDescent="0.2">
      <c r="A551">
        <v>1635</v>
      </c>
      <c r="B551" t="s">
        <v>1673</v>
      </c>
      <c r="C551" t="s">
        <v>18</v>
      </c>
      <c r="D551" t="s">
        <v>29</v>
      </c>
      <c r="E551" t="s">
        <v>52</v>
      </c>
      <c r="F551" t="s">
        <v>33</v>
      </c>
      <c r="G551" t="s">
        <v>67</v>
      </c>
      <c r="H551" s="1">
        <v>323840</v>
      </c>
      <c r="I551" s="3">
        <v>672</v>
      </c>
      <c r="J551" s="3">
        <v>1277161</v>
      </c>
      <c r="K551" s="3">
        <v>15112.98</v>
      </c>
      <c r="L551" s="2">
        <v>8.5</v>
      </c>
      <c r="M551" s="11">
        <v>35.265240640000002</v>
      </c>
      <c r="N551" s="3">
        <v>10</v>
      </c>
      <c r="O551" s="3">
        <v>292220</v>
      </c>
      <c r="P551" s="3">
        <v>716870</v>
      </c>
      <c r="Q551" s="10">
        <v>0</v>
      </c>
      <c r="R551" s="3">
        <f>(Таблица1[Размер кредита]-$AA$2)/$AA$3</f>
        <v>8.1103494062346196E-2</v>
      </c>
      <c r="S551" s="3">
        <f>(Таблица1[Кредитный рейтинг]-$AA$7)/($AA$8-$AA$7)</f>
        <v>0.89480692410119844</v>
      </c>
      <c r="T551" s="3">
        <f>(Таблица1[Срок с последнего нарушения кредитного договора (мес,)]-$AA$12)/($AA$13-$AA$12)</f>
        <v>0.40074137090909095</v>
      </c>
      <c r="U551" s="3">
        <f>(Таблица1[Количество кредитных карт]-$AA$18)/($AA$19-$AA$18)</f>
        <v>0.21428571428571427</v>
      </c>
      <c r="V551" s="3">
        <f>(Таблица1[Число нарушений кредитных договоров]-$AA$23)/($AA$24-$AA$23)</f>
        <v>0</v>
      </c>
      <c r="W551" s="3">
        <f>Таблица1[[#This Row],[Годовой доход]]/12</f>
        <v>106430.08333333333</v>
      </c>
      <c r="X551" s="3">
        <f>Таблица1[[#This Row],[Ежемесячный платеж]]/Таблица1[[#This Row],[Ежем доход]]</f>
        <v>0.14199913714872284</v>
      </c>
      <c r="Y551" s="3"/>
      <c r="Z551" s="3"/>
      <c r="AA551" s="3"/>
      <c r="AB551" s="3"/>
    </row>
    <row r="552" spans="1:28" x14ac:dyDescent="0.2">
      <c r="A552">
        <v>1569</v>
      </c>
      <c r="B552" t="s">
        <v>1608</v>
      </c>
      <c r="C552" t="s">
        <v>18</v>
      </c>
      <c r="D552" t="s">
        <v>19</v>
      </c>
      <c r="E552" t="s">
        <v>69</v>
      </c>
      <c r="F552" t="s">
        <v>33</v>
      </c>
      <c r="G552" t="s">
        <v>25</v>
      </c>
      <c r="H552" s="1">
        <v>244310</v>
      </c>
      <c r="I552" s="3">
        <v>743</v>
      </c>
      <c r="J552" s="3">
        <v>1216361</v>
      </c>
      <c r="K552" s="3">
        <v>24732.49</v>
      </c>
      <c r="L552" s="2">
        <v>28</v>
      </c>
      <c r="M552" s="11">
        <v>44</v>
      </c>
      <c r="N552" s="3">
        <v>19</v>
      </c>
      <c r="O552" s="3">
        <v>334267</v>
      </c>
      <c r="P552" s="3">
        <v>716760</v>
      </c>
      <c r="Q552" s="10">
        <v>0</v>
      </c>
      <c r="R552" s="3">
        <f>(Таблица1[Размер кредита]-$AA$2)/$AA$3</f>
        <v>-0.37168313614668319</v>
      </c>
      <c r="S552" s="3">
        <f>(Таблица1[Кредитный рейтинг]-$AA$7)/($AA$8-$AA$7)</f>
        <v>0.98934753661784292</v>
      </c>
      <c r="T552" s="3">
        <f>(Таблица1[Срок с последнего нарушения кредитного договора (мес,)]-$AA$12)/($AA$13-$AA$12)</f>
        <v>0.5</v>
      </c>
      <c r="U552" s="3">
        <f>(Таблица1[Количество кредитных карт]-$AA$18)/($AA$19-$AA$18)</f>
        <v>0.42857142857142855</v>
      </c>
      <c r="V552" s="3">
        <f>(Таблица1[Число нарушений кредитных договоров]-$AA$23)/($AA$24-$AA$23)</f>
        <v>0</v>
      </c>
      <c r="W552" s="3">
        <f>Таблица1[[#This Row],[Годовой доход]]/12</f>
        <v>101363.41666666667</v>
      </c>
      <c r="X552" s="3">
        <f>Таблица1[[#This Row],[Ежемесячный платеж]]/Таблица1[[#This Row],[Ежем доход]]</f>
        <v>0.24399818803792625</v>
      </c>
      <c r="Y552" s="3"/>
      <c r="Z552" s="3"/>
      <c r="AA552" s="3"/>
      <c r="AB552" s="3"/>
    </row>
    <row r="553" spans="1:28" x14ac:dyDescent="0.2">
      <c r="A553">
        <v>932</v>
      </c>
      <c r="B553" t="s">
        <v>973</v>
      </c>
      <c r="C553" t="s">
        <v>35</v>
      </c>
      <c r="D553" t="s">
        <v>19</v>
      </c>
      <c r="E553" t="s">
        <v>24</v>
      </c>
      <c r="F553" t="s">
        <v>33</v>
      </c>
      <c r="G553" t="s">
        <v>25</v>
      </c>
      <c r="H553" s="1">
        <v>171644</v>
      </c>
      <c r="I553" s="3">
        <v>748</v>
      </c>
      <c r="J553" s="3">
        <v>1111728</v>
      </c>
      <c r="K553" s="3">
        <v>26959.48</v>
      </c>
      <c r="L553" s="2">
        <v>17.2</v>
      </c>
      <c r="M553" s="11">
        <v>36</v>
      </c>
      <c r="N553" s="3">
        <v>10</v>
      </c>
      <c r="O553" s="3">
        <v>183844</v>
      </c>
      <c r="P553" s="3">
        <v>716738</v>
      </c>
      <c r="Q553" s="10">
        <v>0</v>
      </c>
      <c r="R553" s="3">
        <f>(Таблица1[Размер кредита]-$AA$2)/$AA$3</f>
        <v>-0.78539108623808673</v>
      </c>
      <c r="S553" s="3">
        <f>(Таблица1[Кредитный рейтинг]-$AA$7)/($AA$8-$AA$7)</f>
        <v>0.99600532623169102</v>
      </c>
      <c r="T553" s="3">
        <f>(Таблица1[Срок с последнего нарушения кредитного договора (мес,)]-$AA$12)/($AA$13-$AA$12)</f>
        <v>0.40909090909090912</v>
      </c>
      <c r="U553" s="3">
        <f>(Таблица1[Количество кредитных карт]-$AA$18)/($AA$19-$AA$18)</f>
        <v>0.21428571428571427</v>
      </c>
      <c r="V553" s="3">
        <f>(Таблица1[Число нарушений кредитных договоров]-$AA$23)/($AA$24-$AA$23)</f>
        <v>0</v>
      </c>
      <c r="W553" s="3">
        <f>Таблица1[[#This Row],[Годовой доход]]/12</f>
        <v>92644</v>
      </c>
      <c r="X553" s="3">
        <f>Таблица1[[#This Row],[Ежемесячный платеж]]/Таблица1[[#This Row],[Ежем доход]]</f>
        <v>0.29100082034454472</v>
      </c>
      <c r="Y553" s="3"/>
      <c r="Z553" s="3"/>
      <c r="AA553" s="3"/>
      <c r="AB553" s="3"/>
    </row>
    <row r="554" spans="1:28" x14ac:dyDescent="0.2">
      <c r="A554">
        <v>272</v>
      </c>
      <c r="B554" t="s">
        <v>314</v>
      </c>
      <c r="C554" t="s">
        <v>18</v>
      </c>
      <c r="D554" t="s">
        <v>19</v>
      </c>
      <c r="E554" t="s">
        <v>24</v>
      </c>
      <c r="F554" t="s">
        <v>21</v>
      </c>
      <c r="G554" t="s">
        <v>25</v>
      </c>
      <c r="H554" s="1">
        <v>430100</v>
      </c>
      <c r="I554" s="3">
        <v>739</v>
      </c>
      <c r="J554" s="3">
        <v>1448655</v>
      </c>
      <c r="K554" s="3">
        <v>23782.11</v>
      </c>
      <c r="L554" s="2">
        <v>15.4</v>
      </c>
      <c r="M554" s="11">
        <v>35.265240640000002</v>
      </c>
      <c r="N554" s="3">
        <v>13</v>
      </c>
      <c r="O554" s="3">
        <v>400178</v>
      </c>
      <c r="P554" s="3">
        <v>716188</v>
      </c>
      <c r="Q554" s="10">
        <v>0</v>
      </c>
      <c r="R554" s="3">
        <f>(Таблица1[Размер кредита]-$AA$2)/$AA$3</f>
        <v>0.68607152280636052</v>
      </c>
      <c r="S554" s="3">
        <f>(Таблица1[Кредитный рейтинг]-$AA$7)/($AA$8-$AA$7)</f>
        <v>0.98402130492676432</v>
      </c>
      <c r="T554" s="3">
        <f>(Таблица1[Срок с последнего нарушения кредитного договора (мес,)]-$AA$12)/($AA$13-$AA$12)</f>
        <v>0.40074137090909095</v>
      </c>
      <c r="U554" s="3">
        <f>(Таблица1[Количество кредитных карт]-$AA$18)/($AA$19-$AA$18)</f>
        <v>0.2857142857142857</v>
      </c>
      <c r="V554" s="3">
        <f>(Таблица1[Число нарушений кредитных договоров]-$AA$23)/($AA$24-$AA$23)</f>
        <v>0</v>
      </c>
      <c r="W554" s="3">
        <f>Таблица1[[#This Row],[Годовой доход]]/12</f>
        <v>120721.25</v>
      </c>
      <c r="X554" s="3">
        <f>Таблица1[[#This Row],[Ежемесячный платеж]]/Таблица1[[#This Row],[Ежем доход]]</f>
        <v>0.1970001967342121</v>
      </c>
      <c r="Y554" s="3"/>
      <c r="Z554" s="3"/>
      <c r="AA554" s="3"/>
      <c r="AB554" s="3"/>
    </row>
    <row r="555" spans="1:28" x14ac:dyDescent="0.2">
      <c r="A555">
        <v>1138</v>
      </c>
      <c r="B555" t="s">
        <v>1177</v>
      </c>
      <c r="C555" t="s">
        <v>35</v>
      </c>
      <c r="D555" t="s">
        <v>29</v>
      </c>
      <c r="E555" t="s">
        <v>24</v>
      </c>
      <c r="F555" t="s">
        <v>21</v>
      </c>
      <c r="G555" t="s">
        <v>25</v>
      </c>
      <c r="H555" s="1">
        <v>348172</v>
      </c>
      <c r="I555" s="3">
        <v>0</v>
      </c>
      <c r="J555" s="3">
        <v>1168044</v>
      </c>
      <c r="K555" s="3">
        <v>4044.15</v>
      </c>
      <c r="L555" s="2">
        <v>22.7</v>
      </c>
      <c r="M555" s="11">
        <v>8</v>
      </c>
      <c r="N555" s="3">
        <v>5</v>
      </c>
      <c r="O555" s="3">
        <v>160607</v>
      </c>
      <c r="P555" s="3">
        <v>715242</v>
      </c>
      <c r="Q555" s="10">
        <v>0</v>
      </c>
      <c r="R555" s="3">
        <f>(Таблица1[Размер кредита]-$AA$2)/$AA$3</f>
        <v>0.21963240499213499</v>
      </c>
      <c r="S555" s="3">
        <f>(Таблица1[Кредитный рейтинг]-$AA$7)/($AA$8-$AA$7)</f>
        <v>0</v>
      </c>
      <c r="T555" s="3">
        <f>(Таблица1[Срок с последнего нарушения кредитного договора (мес,)]-$AA$12)/($AA$13-$AA$12)</f>
        <v>9.0909090909090912E-2</v>
      </c>
      <c r="U555" s="3">
        <f>(Таблица1[Количество кредитных карт]-$AA$18)/($AA$19-$AA$18)</f>
        <v>9.5238095238095233E-2</v>
      </c>
      <c r="V555" s="3">
        <f>(Таблица1[Число нарушений кредитных договоров]-$AA$23)/($AA$24-$AA$23)</f>
        <v>0</v>
      </c>
      <c r="W555" s="3">
        <f>Таблица1[[#This Row],[Годовой доход]]/12</f>
        <v>97337</v>
      </c>
      <c r="X555" s="3">
        <f>Таблица1[[#This Row],[Ежемесячный платеж]]/Таблица1[[#This Row],[Ежем доход]]</f>
        <v>4.1547921139957054E-2</v>
      </c>
      <c r="Y555" s="3"/>
      <c r="Z555" s="3"/>
      <c r="AA555" s="3"/>
      <c r="AB555" s="3"/>
    </row>
    <row r="556" spans="1:28" x14ac:dyDescent="0.2">
      <c r="A556">
        <v>152</v>
      </c>
      <c r="B556" t="s">
        <v>194</v>
      </c>
      <c r="C556" t="s">
        <v>18</v>
      </c>
      <c r="D556" t="s">
        <v>19</v>
      </c>
      <c r="E556" t="s">
        <v>47</v>
      </c>
      <c r="F556" t="s">
        <v>27</v>
      </c>
      <c r="G556" t="s">
        <v>25</v>
      </c>
      <c r="H556" s="1">
        <v>87846</v>
      </c>
      <c r="I556" s="3">
        <v>736</v>
      </c>
      <c r="J556" s="3">
        <v>625879</v>
      </c>
      <c r="K556" s="3">
        <v>6988.96</v>
      </c>
      <c r="L556" s="2">
        <v>50.1</v>
      </c>
      <c r="M556" s="11">
        <v>56</v>
      </c>
      <c r="N556" s="3">
        <v>16</v>
      </c>
      <c r="O556" s="3">
        <v>96330</v>
      </c>
      <c r="P556" s="3">
        <v>714978</v>
      </c>
      <c r="Q556" s="10">
        <v>0</v>
      </c>
      <c r="R556" s="3">
        <f>(Таблица1[Размер кредита]-$AA$2)/$AA$3</f>
        <v>-1.262476639340768</v>
      </c>
      <c r="S556" s="3">
        <f>(Таблица1[Кредитный рейтинг]-$AA$7)/($AA$8-$AA$7)</f>
        <v>0.98002663115845534</v>
      </c>
      <c r="T556" s="3">
        <f>(Таблица1[Срок с последнего нарушения кредитного договора (мес,)]-$AA$12)/($AA$13-$AA$12)</f>
        <v>0.63636363636363635</v>
      </c>
      <c r="U556" s="3">
        <f>(Таблица1[Количество кредитных карт]-$AA$18)/($AA$19-$AA$18)</f>
        <v>0.35714285714285715</v>
      </c>
      <c r="V556" s="3">
        <f>(Таблица1[Число нарушений кредитных договоров]-$AA$23)/($AA$24-$AA$23)</f>
        <v>0</v>
      </c>
      <c r="W556" s="3">
        <f>Таблица1[[#This Row],[Годовой доход]]/12</f>
        <v>52156.583333333336</v>
      </c>
      <c r="X556" s="3">
        <f>Таблица1[[#This Row],[Ежемесячный платеж]]/Таблица1[[#This Row],[Ежем доход]]</f>
        <v>0.13399957499772319</v>
      </c>
      <c r="Y556" s="3"/>
      <c r="Z556" s="3"/>
      <c r="AA556" s="3"/>
      <c r="AB556" s="3"/>
    </row>
    <row r="557" spans="1:28" x14ac:dyDescent="0.2">
      <c r="A557">
        <v>1356</v>
      </c>
      <c r="B557" t="s">
        <v>1395</v>
      </c>
      <c r="C557" t="s">
        <v>18</v>
      </c>
      <c r="D557" t="s">
        <v>19</v>
      </c>
      <c r="E557" t="s">
        <v>47</v>
      </c>
      <c r="F557" t="s">
        <v>21</v>
      </c>
      <c r="G557" t="s">
        <v>25</v>
      </c>
      <c r="H557" s="1">
        <v>153362</v>
      </c>
      <c r="I557" s="3">
        <v>746</v>
      </c>
      <c r="J557" s="3">
        <v>1892210</v>
      </c>
      <c r="K557" s="3">
        <v>19174.419999999998</v>
      </c>
      <c r="L557" s="2">
        <v>31.7</v>
      </c>
      <c r="M557" s="11">
        <v>18</v>
      </c>
      <c r="N557" s="3">
        <v>8</v>
      </c>
      <c r="O557" s="3">
        <v>468806</v>
      </c>
      <c r="P557" s="3">
        <v>714252</v>
      </c>
      <c r="Q557" s="10">
        <v>0</v>
      </c>
      <c r="R557" s="3">
        <f>(Таблица1[Размер кредита]-$AA$2)/$AA$3</f>
        <v>-0.88947564770522469</v>
      </c>
      <c r="S557" s="3">
        <f>(Таблица1[Кредитный рейтинг]-$AA$7)/($AA$8-$AA$7)</f>
        <v>0.99334221038615178</v>
      </c>
      <c r="T557" s="3">
        <f>(Таблица1[Срок с последнего нарушения кредитного договора (мес,)]-$AA$12)/($AA$13-$AA$12)</f>
        <v>0.20454545454545456</v>
      </c>
      <c r="U557" s="3">
        <f>(Таблица1[Количество кредитных карт]-$AA$18)/($AA$19-$AA$18)</f>
        <v>0.16666666666666666</v>
      </c>
      <c r="V557" s="3">
        <f>(Таблица1[Число нарушений кредитных договоров]-$AA$23)/($AA$24-$AA$23)</f>
        <v>0</v>
      </c>
      <c r="W557" s="3">
        <f>Таблица1[[#This Row],[Годовой доход]]/12</f>
        <v>157684.16666666666</v>
      </c>
      <c r="X557" s="3">
        <f>Таблица1[[#This Row],[Ежемесячный платеж]]/Таблица1[[#This Row],[Ежем доход]]</f>
        <v>0.12160016065870066</v>
      </c>
      <c r="Y557" s="3"/>
      <c r="Z557" s="3"/>
      <c r="AA557" s="3"/>
      <c r="AB557" s="3"/>
    </row>
    <row r="558" spans="1:28" x14ac:dyDescent="0.2">
      <c r="A558">
        <v>1198</v>
      </c>
      <c r="B558" t="s">
        <v>1237</v>
      </c>
      <c r="C558" t="s">
        <v>18</v>
      </c>
      <c r="D558" t="s">
        <v>19</v>
      </c>
      <c r="E558" t="s">
        <v>41</v>
      </c>
      <c r="F558" t="s">
        <v>33</v>
      </c>
      <c r="G558" t="s">
        <v>25</v>
      </c>
      <c r="H558" s="1">
        <v>309594.52439999999</v>
      </c>
      <c r="I558" s="3">
        <v>741</v>
      </c>
      <c r="J558" s="3">
        <v>1652316</v>
      </c>
      <c r="K558" s="3">
        <v>29879.21</v>
      </c>
      <c r="L558" s="2">
        <v>13.7</v>
      </c>
      <c r="M558" s="11">
        <v>35.265240640000002</v>
      </c>
      <c r="N558" s="3">
        <v>14</v>
      </c>
      <c r="O558" s="3">
        <v>286520</v>
      </c>
      <c r="P558" s="3">
        <v>713482</v>
      </c>
      <c r="Q558" s="10">
        <v>0</v>
      </c>
      <c r="R558" s="3">
        <f>(Таблица1[Размер кредита]-$AA$2)/$AA$3</f>
        <v>-1.2411115481956205E-10</v>
      </c>
      <c r="S558" s="3">
        <f>(Таблица1[Кредитный рейтинг]-$AA$7)/($AA$8-$AA$7)</f>
        <v>0.98668442077230356</v>
      </c>
      <c r="T558" s="3">
        <f>(Таблица1[Срок с последнего нарушения кредитного договора (мес,)]-$AA$12)/($AA$13-$AA$12)</f>
        <v>0.40074137090909095</v>
      </c>
      <c r="U558" s="3">
        <f>(Таблица1[Количество кредитных карт]-$AA$18)/($AA$19-$AA$18)</f>
        <v>0.30952380952380953</v>
      </c>
      <c r="V558" s="3">
        <f>(Таблица1[Число нарушений кредитных договоров]-$AA$23)/($AA$24-$AA$23)</f>
        <v>0</v>
      </c>
      <c r="W558" s="3">
        <f>Таблица1[[#This Row],[Годовой доход]]/12</f>
        <v>137693</v>
      </c>
      <c r="X558" s="3">
        <f>Таблица1[[#This Row],[Ежемесячный платеж]]/Таблица1[[#This Row],[Ежем доход]]</f>
        <v>0.2169987581068028</v>
      </c>
      <c r="Y558" s="3"/>
      <c r="Z558" s="3"/>
      <c r="AA558" s="3"/>
      <c r="AB558" s="3"/>
    </row>
    <row r="559" spans="1:28" x14ac:dyDescent="0.2">
      <c r="A559">
        <v>700</v>
      </c>
      <c r="B559" t="s">
        <v>741</v>
      </c>
      <c r="C559" t="s">
        <v>35</v>
      </c>
      <c r="D559" t="s">
        <v>29</v>
      </c>
      <c r="E559" t="s">
        <v>20</v>
      </c>
      <c r="F559" t="s">
        <v>21</v>
      </c>
      <c r="G559" t="s">
        <v>25</v>
      </c>
      <c r="H559" s="1">
        <v>787336</v>
      </c>
      <c r="I559" s="3">
        <v>0</v>
      </c>
      <c r="J559" s="3">
        <v>1168044</v>
      </c>
      <c r="K559" s="3">
        <v>17259.03</v>
      </c>
      <c r="L559" s="2">
        <v>19.3</v>
      </c>
      <c r="M559" s="11">
        <v>25</v>
      </c>
      <c r="N559" s="3">
        <v>8</v>
      </c>
      <c r="O559" s="3">
        <v>282055</v>
      </c>
      <c r="P559" s="3">
        <v>713064</v>
      </c>
      <c r="Q559" s="10">
        <v>0</v>
      </c>
      <c r="R559" s="3">
        <f>(Таблица1[Размер кредита]-$AA$2)/$AA$3</f>
        <v>2.7199164194409993</v>
      </c>
      <c r="S559" s="3">
        <f>(Таблица1[Кредитный рейтинг]-$AA$7)/($AA$8-$AA$7)</f>
        <v>0</v>
      </c>
      <c r="T559" s="3">
        <f>(Таблица1[Срок с последнего нарушения кредитного договора (мес,)]-$AA$12)/($AA$13-$AA$12)</f>
        <v>0.28409090909090912</v>
      </c>
      <c r="U559" s="3">
        <f>(Таблица1[Количество кредитных карт]-$AA$18)/($AA$19-$AA$18)</f>
        <v>0.16666666666666666</v>
      </c>
      <c r="V559" s="3">
        <f>(Таблица1[Число нарушений кредитных договоров]-$AA$23)/($AA$24-$AA$23)</f>
        <v>0</v>
      </c>
      <c r="W559" s="3">
        <f>Таблица1[[#This Row],[Годовой доход]]/12</f>
        <v>97337</v>
      </c>
      <c r="X559" s="3">
        <f>Таблица1[[#This Row],[Ежемесячный платеж]]/Таблица1[[#This Row],[Ежем доход]]</f>
        <v>0.17731212180363068</v>
      </c>
      <c r="Y559" s="3"/>
      <c r="Z559" s="3"/>
      <c r="AA559" s="3"/>
      <c r="AB559" s="3"/>
    </row>
    <row r="560" spans="1:28" x14ac:dyDescent="0.2">
      <c r="A560">
        <v>810</v>
      </c>
      <c r="B560" t="s">
        <v>851</v>
      </c>
      <c r="C560" t="s">
        <v>18</v>
      </c>
      <c r="D560" t="s">
        <v>19</v>
      </c>
      <c r="E560" t="s">
        <v>32</v>
      </c>
      <c r="F560" t="s">
        <v>33</v>
      </c>
      <c r="G560" t="s">
        <v>25</v>
      </c>
      <c r="H560" s="1">
        <v>309594.52439999999</v>
      </c>
      <c r="I560" s="3">
        <v>748</v>
      </c>
      <c r="J560" s="3">
        <v>1576411</v>
      </c>
      <c r="K560" s="3">
        <v>26404.68</v>
      </c>
      <c r="L560" s="2">
        <v>15</v>
      </c>
      <c r="M560" s="11">
        <v>35.265240640000002</v>
      </c>
      <c r="N560" s="3">
        <v>15</v>
      </c>
      <c r="O560" s="3">
        <v>310118</v>
      </c>
      <c r="P560" s="3">
        <v>712492</v>
      </c>
      <c r="Q560" s="10">
        <v>0</v>
      </c>
      <c r="R560" s="3">
        <f>(Таблица1[Размер кредита]-$AA$2)/$AA$3</f>
        <v>-1.2411115481956205E-10</v>
      </c>
      <c r="S560" s="3">
        <f>(Таблица1[Кредитный рейтинг]-$AA$7)/($AA$8-$AA$7)</f>
        <v>0.99600532623169102</v>
      </c>
      <c r="T560" s="3">
        <f>(Таблица1[Срок с последнего нарушения кредитного договора (мес,)]-$AA$12)/($AA$13-$AA$12)</f>
        <v>0.40074137090909095</v>
      </c>
      <c r="U560" s="3">
        <f>(Таблица1[Количество кредитных карт]-$AA$18)/($AA$19-$AA$18)</f>
        <v>0.33333333333333331</v>
      </c>
      <c r="V560" s="3">
        <f>(Таблица1[Число нарушений кредитных договоров]-$AA$23)/($AA$24-$AA$23)</f>
        <v>0</v>
      </c>
      <c r="W560" s="3">
        <f>Таблица1[[#This Row],[Годовой доход]]/12</f>
        <v>131367.58333333334</v>
      </c>
      <c r="X560" s="3">
        <f>Таблица1[[#This Row],[Ежемесячный платеж]]/Таблица1[[#This Row],[Ежем доход]]</f>
        <v>0.20099844520242499</v>
      </c>
      <c r="Y560" s="3"/>
      <c r="Z560" s="3"/>
      <c r="AA560" s="3"/>
      <c r="AB560" s="3"/>
    </row>
    <row r="561" spans="1:28" x14ac:dyDescent="0.2">
      <c r="A561">
        <v>721</v>
      </c>
      <c r="B561" t="s">
        <v>762</v>
      </c>
      <c r="C561" t="s">
        <v>18</v>
      </c>
      <c r="D561" t="s">
        <v>19</v>
      </c>
      <c r="E561" t="s">
        <v>24</v>
      </c>
      <c r="F561" t="s">
        <v>33</v>
      </c>
      <c r="G561" t="s">
        <v>25</v>
      </c>
      <c r="H561" s="1">
        <v>393668</v>
      </c>
      <c r="I561" s="3">
        <v>0</v>
      </c>
      <c r="J561" s="3">
        <v>1168044</v>
      </c>
      <c r="K561" s="3">
        <v>30908.44</v>
      </c>
      <c r="L561" s="2">
        <v>17.600000000000001</v>
      </c>
      <c r="M561" s="11">
        <v>35.265240640000002</v>
      </c>
      <c r="N561" s="3">
        <v>15</v>
      </c>
      <c r="O561" s="3">
        <v>492290</v>
      </c>
      <c r="P561" s="3">
        <v>708994</v>
      </c>
      <c r="Q561" s="10">
        <v>0</v>
      </c>
      <c r="R561" s="3">
        <f>(Таблица1[Размер кредита]-$AA$2)/$AA$3</f>
        <v>0.47865391295126991</v>
      </c>
      <c r="S561" s="3">
        <f>(Таблица1[Кредитный рейтинг]-$AA$7)/($AA$8-$AA$7)</f>
        <v>0</v>
      </c>
      <c r="T561" s="3">
        <f>(Таблица1[Срок с последнего нарушения кредитного договора (мес,)]-$AA$12)/($AA$13-$AA$12)</f>
        <v>0.40074137090909095</v>
      </c>
      <c r="U561" s="3">
        <f>(Таблица1[Количество кредитных карт]-$AA$18)/($AA$19-$AA$18)</f>
        <v>0.33333333333333331</v>
      </c>
      <c r="V561" s="3">
        <f>(Таблица1[Число нарушений кредитных договоров]-$AA$23)/($AA$24-$AA$23)</f>
        <v>0</v>
      </c>
      <c r="W561" s="3">
        <f>Таблица1[[#This Row],[Годовой доход]]/12</f>
        <v>97337</v>
      </c>
      <c r="X561" s="3">
        <f>Таблица1[[#This Row],[Ежемесячный платеж]]/Таблица1[[#This Row],[Ежем доход]]</f>
        <v>0.31754050361116531</v>
      </c>
      <c r="Y561" s="3"/>
      <c r="Z561" s="3"/>
      <c r="AA561" s="3"/>
      <c r="AB561" s="3"/>
    </row>
    <row r="562" spans="1:28" x14ac:dyDescent="0.2">
      <c r="A562">
        <v>39</v>
      </c>
      <c r="B562" t="s">
        <v>79</v>
      </c>
      <c r="C562" t="s">
        <v>35</v>
      </c>
      <c r="D562" t="s">
        <v>19</v>
      </c>
      <c r="E562" t="s">
        <v>20</v>
      </c>
      <c r="F562" t="s">
        <v>21</v>
      </c>
      <c r="G562" t="s">
        <v>25</v>
      </c>
      <c r="H562" s="1">
        <v>259842</v>
      </c>
      <c r="I562" s="3">
        <v>0</v>
      </c>
      <c r="J562" s="3">
        <v>1168044</v>
      </c>
      <c r="K562" s="3">
        <v>11792.73</v>
      </c>
      <c r="L562" s="2">
        <v>20.6</v>
      </c>
      <c r="M562" s="11">
        <v>34</v>
      </c>
      <c r="N562" s="3">
        <v>9</v>
      </c>
      <c r="O562" s="3">
        <v>401584</v>
      </c>
      <c r="P562" s="3">
        <v>708818</v>
      </c>
      <c r="Q562" s="10">
        <v>0</v>
      </c>
      <c r="R562" s="3">
        <f>(Таблица1[Размер кредита]-$AA$2)/$AA$3</f>
        <v>-0.28325509716256847</v>
      </c>
      <c r="S562" s="3">
        <f>(Таблица1[Кредитный рейтинг]-$AA$7)/($AA$8-$AA$7)</f>
        <v>0</v>
      </c>
      <c r="T562" s="3">
        <f>(Таблица1[Срок с последнего нарушения кредитного договора (мес,)]-$AA$12)/($AA$13-$AA$12)</f>
        <v>0.38636363636363635</v>
      </c>
      <c r="U562" s="3">
        <f>(Таблица1[Количество кредитных карт]-$AA$18)/($AA$19-$AA$18)</f>
        <v>0.19047619047619047</v>
      </c>
      <c r="V562" s="3">
        <f>(Таблица1[Число нарушений кредитных договоров]-$AA$23)/($AA$24-$AA$23)</f>
        <v>0</v>
      </c>
      <c r="W562" s="3">
        <f>Таблица1[[#This Row],[Годовой доход]]/12</f>
        <v>97337</v>
      </c>
      <c r="X562" s="3">
        <f>Таблица1[[#This Row],[Ежемесячный платеж]]/Таблица1[[#This Row],[Ежем доход]]</f>
        <v>0.12115362092523911</v>
      </c>
      <c r="Y562" s="3"/>
      <c r="Z562" s="3"/>
      <c r="AA562" s="3"/>
      <c r="AB562" s="3"/>
    </row>
    <row r="563" spans="1:28" x14ac:dyDescent="0.2">
      <c r="A563">
        <v>446</v>
      </c>
      <c r="B563" t="s">
        <v>487</v>
      </c>
      <c r="C563" t="s">
        <v>18</v>
      </c>
      <c r="D563" t="s">
        <v>19</v>
      </c>
      <c r="E563" t="s">
        <v>63</v>
      </c>
      <c r="F563" t="s">
        <v>21</v>
      </c>
      <c r="G563" t="s">
        <v>25</v>
      </c>
      <c r="H563" s="1">
        <v>134596</v>
      </c>
      <c r="I563" s="3">
        <v>723</v>
      </c>
      <c r="J563" s="3">
        <v>1356201</v>
      </c>
      <c r="K563" s="3">
        <v>18308.78</v>
      </c>
      <c r="L563" s="2">
        <v>21.5</v>
      </c>
      <c r="M563" s="11">
        <v>10</v>
      </c>
      <c r="N563" s="3">
        <v>19</v>
      </c>
      <c r="O563" s="3">
        <v>286596</v>
      </c>
      <c r="P563" s="3">
        <v>707586</v>
      </c>
      <c r="Q563" s="10">
        <v>0</v>
      </c>
      <c r="R563" s="3">
        <f>(Таблица1[Размер кредита]-$AA$2)/$AA$3</f>
        <v>-0.99631575712937459</v>
      </c>
      <c r="S563" s="3">
        <f>(Таблица1[Кредитный рейтинг]-$AA$7)/($AA$8-$AA$7)</f>
        <v>0.96271637816245004</v>
      </c>
      <c r="T563" s="3">
        <f>(Таблица1[Срок с последнего нарушения кредитного договора (мес,)]-$AA$12)/($AA$13-$AA$12)</f>
        <v>0.11363636363636363</v>
      </c>
      <c r="U563" s="3">
        <f>(Таблица1[Количество кредитных карт]-$AA$18)/($AA$19-$AA$18)</f>
        <v>0.42857142857142855</v>
      </c>
      <c r="V563" s="3">
        <f>(Таблица1[Число нарушений кредитных договоров]-$AA$23)/($AA$24-$AA$23)</f>
        <v>0</v>
      </c>
      <c r="W563" s="3">
        <f>Таблица1[[#This Row],[Годовой доход]]/12</f>
        <v>113016.75</v>
      </c>
      <c r="X563" s="3">
        <f>Таблица1[[#This Row],[Ежемесячный платеж]]/Таблица1[[#This Row],[Ежем доход]]</f>
        <v>0.16200058840835538</v>
      </c>
      <c r="Y563" s="3"/>
      <c r="Z563" s="3"/>
      <c r="AA563" s="3"/>
      <c r="AB563" s="3"/>
    </row>
    <row r="564" spans="1:28" x14ac:dyDescent="0.2">
      <c r="A564">
        <v>1327</v>
      </c>
      <c r="B564" t="s">
        <v>1366</v>
      </c>
      <c r="C564" t="s">
        <v>18</v>
      </c>
      <c r="D564" t="s">
        <v>19</v>
      </c>
      <c r="E564" t="s">
        <v>52</v>
      </c>
      <c r="F564" t="s">
        <v>21</v>
      </c>
      <c r="G564" t="s">
        <v>25</v>
      </c>
      <c r="H564" s="1">
        <v>449680</v>
      </c>
      <c r="I564" s="3">
        <v>739</v>
      </c>
      <c r="J564" s="3">
        <v>1747620</v>
      </c>
      <c r="K564" s="3">
        <v>36263.21</v>
      </c>
      <c r="L564" s="2">
        <v>9.9</v>
      </c>
      <c r="M564" s="11">
        <v>45</v>
      </c>
      <c r="N564" s="3">
        <v>15</v>
      </c>
      <c r="O564" s="3">
        <v>313405</v>
      </c>
      <c r="P564" s="3">
        <v>707388</v>
      </c>
      <c r="Q564" s="10">
        <v>0</v>
      </c>
      <c r="R564" s="3">
        <f>(Таблица1[Размер кредита]-$AA$2)/$AA$3</f>
        <v>0.79754596288548529</v>
      </c>
      <c r="S564" s="3">
        <f>(Таблица1[Кредитный рейтинг]-$AA$7)/($AA$8-$AA$7)</f>
        <v>0.98402130492676432</v>
      </c>
      <c r="T564" s="3">
        <f>(Таблица1[Срок с последнего нарушения кредитного договора (мес,)]-$AA$12)/($AA$13-$AA$12)</f>
        <v>0.51136363636363635</v>
      </c>
      <c r="U564" s="3">
        <f>(Таблица1[Количество кредитных карт]-$AA$18)/($AA$19-$AA$18)</f>
        <v>0.33333333333333331</v>
      </c>
      <c r="V564" s="3">
        <f>(Таблица1[Число нарушений кредитных договоров]-$AA$23)/($AA$24-$AA$23)</f>
        <v>0</v>
      </c>
      <c r="W564" s="3">
        <f>Таблица1[[#This Row],[Годовой доход]]/12</f>
        <v>145635</v>
      </c>
      <c r="X564" s="3">
        <f>Таблица1[[#This Row],[Ежемесячный платеж]]/Таблица1[[#This Row],[Ежем доход]]</f>
        <v>0.2490006523157208</v>
      </c>
      <c r="Y564" s="3"/>
      <c r="Z564" s="3"/>
      <c r="AA564" s="3"/>
      <c r="AB564" s="3"/>
    </row>
    <row r="565" spans="1:28" x14ac:dyDescent="0.2">
      <c r="A565">
        <v>1917</v>
      </c>
      <c r="B565" t="s">
        <v>1953</v>
      </c>
      <c r="C565" t="s">
        <v>35</v>
      </c>
      <c r="D565" t="s">
        <v>19</v>
      </c>
      <c r="E565" t="s">
        <v>24</v>
      </c>
      <c r="F565" t="s">
        <v>33</v>
      </c>
      <c r="G565" t="s">
        <v>25</v>
      </c>
      <c r="H565" s="1">
        <v>556292</v>
      </c>
      <c r="I565" s="3">
        <v>729</v>
      </c>
      <c r="J565" s="3">
        <v>1683400</v>
      </c>
      <c r="K565" s="3">
        <v>24830.34</v>
      </c>
      <c r="L565" s="2">
        <v>19.899999999999999</v>
      </c>
      <c r="M565" s="11">
        <v>51</v>
      </c>
      <c r="N565" s="3">
        <v>8</v>
      </c>
      <c r="O565" s="3">
        <v>483968</v>
      </c>
      <c r="P565" s="3">
        <v>706684</v>
      </c>
      <c r="Q565" s="10">
        <v>0</v>
      </c>
      <c r="R565" s="3">
        <f>(Таблица1[Размер кредита]-$AA$2)/$AA$3</f>
        <v>1.4045180265073267</v>
      </c>
      <c r="S565" s="3">
        <f>(Таблица1[Кредитный рейтинг]-$AA$7)/($AA$8-$AA$7)</f>
        <v>0.97070572569906788</v>
      </c>
      <c r="T565" s="3">
        <f>(Таблица1[Срок с последнего нарушения кредитного договора (мес,)]-$AA$12)/($AA$13-$AA$12)</f>
        <v>0.57954545454545459</v>
      </c>
      <c r="U565" s="3">
        <f>(Таблица1[Количество кредитных карт]-$AA$18)/($AA$19-$AA$18)</f>
        <v>0.16666666666666666</v>
      </c>
      <c r="V565" s="3">
        <f>(Таблица1[Число нарушений кредитных договоров]-$AA$23)/($AA$24-$AA$23)</f>
        <v>0</v>
      </c>
      <c r="W565" s="3">
        <f>Таблица1[[#This Row],[Годовой доход]]/12</f>
        <v>140283.33333333334</v>
      </c>
      <c r="X565" s="3">
        <f>Таблица1[[#This Row],[Ежемесячный платеж]]/Таблица1[[#This Row],[Ежем доход]]</f>
        <v>0.17700135440180587</v>
      </c>
      <c r="Y565" s="3"/>
      <c r="Z565" s="3"/>
      <c r="AA565" s="3"/>
      <c r="AB565" s="3"/>
    </row>
    <row r="566" spans="1:28" x14ac:dyDescent="0.2">
      <c r="A566">
        <v>242</v>
      </c>
      <c r="B566" t="s">
        <v>284</v>
      </c>
      <c r="C566" t="s">
        <v>18</v>
      </c>
      <c r="D566" t="s">
        <v>19</v>
      </c>
      <c r="E566" t="s">
        <v>32</v>
      </c>
      <c r="F566" t="s">
        <v>33</v>
      </c>
      <c r="G566" t="s">
        <v>2038</v>
      </c>
      <c r="H566" s="1">
        <v>77132</v>
      </c>
      <c r="I566" s="3">
        <v>657</v>
      </c>
      <c r="J566" s="3">
        <v>2093762</v>
      </c>
      <c r="K566" s="3">
        <v>47284.160000000003</v>
      </c>
      <c r="L566" s="2">
        <v>15.9</v>
      </c>
      <c r="M566" s="11">
        <v>81</v>
      </c>
      <c r="N566" s="3">
        <v>13</v>
      </c>
      <c r="O566" s="3">
        <v>588449</v>
      </c>
      <c r="P566" s="3">
        <v>703142</v>
      </c>
      <c r="Q566" s="10">
        <v>0</v>
      </c>
      <c r="R566" s="3">
        <f>(Таблица1[Размер кредита]-$AA$2)/$AA$3</f>
        <v>-1.3234744509346263</v>
      </c>
      <c r="S566" s="3">
        <f>(Таблица1[Кредитный рейтинг]-$AA$7)/($AA$8-$AA$7)</f>
        <v>0.87483355525965378</v>
      </c>
      <c r="T566" s="3">
        <f>(Таблица1[Срок с последнего нарушения кредитного договора (мес,)]-$AA$12)/($AA$13-$AA$12)</f>
        <v>0.92045454545454541</v>
      </c>
      <c r="U566" s="3">
        <f>(Таблица1[Количество кредитных карт]-$AA$18)/($AA$19-$AA$18)</f>
        <v>0.2857142857142857</v>
      </c>
      <c r="V566" s="3">
        <f>(Таблица1[Число нарушений кредитных договоров]-$AA$23)/($AA$24-$AA$23)</f>
        <v>0</v>
      </c>
      <c r="W566" s="3">
        <f>Таблица1[[#This Row],[Годовой доход]]/12</f>
        <v>174480.16666666666</v>
      </c>
      <c r="X566" s="3">
        <f>Таблица1[[#This Row],[Ежемесячный платеж]]/Таблица1[[#This Row],[Ежем доход]]</f>
        <v>0.27100019964064687</v>
      </c>
      <c r="Y566" s="3"/>
      <c r="Z566" s="3"/>
      <c r="AA566" s="3"/>
      <c r="AB566" s="3"/>
    </row>
    <row r="567" spans="1:28" x14ac:dyDescent="0.2">
      <c r="A567">
        <v>1682</v>
      </c>
      <c r="B567" t="s">
        <v>1720</v>
      </c>
      <c r="C567" t="s">
        <v>18</v>
      </c>
      <c r="D567" t="s">
        <v>29</v>
      </c>
      <c r="E567" t="s">
        <v>50</v>
      </c>
      <c r="F567" t="s">
        <v>33</v>
      </c>
      <c r="G567" t="s">
        <v>25</v>
      </c>
      <c r="H567" s="1">
        <v>352880</v>
      </c>
      <c r="I567" s="3">
        <v>670</v>
      </c>
      <c r="J567" s="3">
        <v>1055868</v>
      </c>
      <c r="K567" s="3">
        <v>28772.46</v>
      </c>
      <c r="L567" s="2">
        <v>16.5</v>
      </c>
      <c r="M567" s="11">
        <v>35.265240640000002</v>
      </c>
      <c r="N567" s="3">
        <v>9</v>
      </c>
      <c r="O567" s="3">
        <v>348764</v>
      </c>
      <c r="P567" s="3">
        <v>702328</v>
      </c>
      <c r="Q567" s="10">
        <v>0</v>
      </c>
      <c r="R567" s="3">
        <f>(Таблица1[Размер кредита]-$AA$2)/$AA$3</f>
        <v>0.24643637148307063</v>
      </c>
      <c r="S567" s="3">
        <f>(Таблица1[Кредитный рейтинг]-$AA$7)/($AA$8-$AA$7)</f>
        <v>0.89214380825565909</v>
      </c>
      <c r="T567" s="3">
        <f>(Таблица1[Срок с последнего нарушения кредитного договора (мес,)]-$AA$12)/($AA$13-$AA$12)</f>
        <v>0.40074137090909095</v>
      </c>
      <c r="U567" s="3">
        <f>(Таблица1[Количество кредитных карт]-$AA$18)/($AA$19-$AA$18)</f>
        <v>0.19047619047619047</v>
      </c>
      <c r="V567" s="3">
        <f>(Таблица1[Число нарушений кредитных договоров]-$AA$23)/($AA$24-$AA$23)</f>
        <v>0</v>
      </c>
      <c r="W567" s="3">
        <f>Таблица1[[#This Row],[Годовой доход]]/12</f>
        <v>87989</v>
      </c>
      <c r="X567" s="3">
        <f>Таблица1[[#This Row],[Ежемесячный платеж]]/Таблица1[[#This Row],[Ежем доход]]</f>
        <v>0.32700064780824872</v>
      </c>
      <c r="Y567" s="3"/>
      <c r="Z567" s="3"/>
      <c r="AA567" s="3"/>
      <c r="AB567" s="3"/>
    </row>
    <row r="568" spans="1:28" x14ac:dyDescent="0.2">
      <c r="A568">
        <v>1427</v>
      </c>
      <c r="B568" t="s">
        <v>1466</v>
      </c>
      <c r="C568" t="s">
        <v>18</v>
      </c>
      <c r="D568" t="s">
        <v>29</v>
      </c>
      <c r="E568" t="s">
        <v>30</v>
      </c>
      <c r="F568" t="s">
        <v>21</v>
      </c>
      <c r="G568" t="s">
        <v>25</v>
      </c>
      <c r="H568" s="1">
        <v>249480</v>
      </c>
      <c r="I568" s="3">
        <v>708</v>
      </c>
      <c r="J568" s="3">
        <v>1124154</v>
      </c>
      <c r="K568" s="3">
        <v>7925.28</v>
      </c>
      <c r="L568" s="2">
        <v>14.9</v>
      </c>
      <c r="M568" s="11">
        <v>15</v>
      </c>
      <c r="N568" s="3">
        <v>5</v>
      </c>
      <c r="O568" s="3">
        <v>160569</v>
      </c>
      <c r="P568" s="3">
        <v>701580</v>
      </c>
      <c r="Q568" s="10">
        <v>0</v>
      </c>
      <c r="R568" s="3">
        <f>(Таблица1[Размер кредита]-$AA$2)/$AA$3</f>
        <v>-0.34224887387859965</v>
      </c>
      <c r="S568" s="3">
        <f>(Таблица1[Кредитный рейтинг]-$AA$7)/($AA$8-$AA$7)</f>
        <v>0.94274300932090549</v>
      </c>
      <c r="T568" s="3">
        <f>(Таблица1[Срок с последнего нарушения кредитного договора (мес,)]-$AA$12)/($AA$13-$AA$12)</f>
        <v>0.17045454545454544</v>
      </c>
      <c r="U568" s="3">
        <f>(Таблица1[Количество кредитных карт]-$AA$18)/($AA$19-$AA$18)</f>
        <v>9.5238095238095233E-2</v>
      </c>
      <c r="V568" s="3">
        <f>(Таблица1[Число нарушений кредитных договоров]-$AA$23)/($AA$24-$AA$23)</f>
        <v>0</v>
      </c>
      <c r="W568" s="3">
        <f>Таблица1[[#This Row],[Годовой доход]]/12</f>
        <v>93679.5</v>
      </c>
      <c r="X568" s="3">
        <f>Таблица1[[#This Row],[Ежемесячный платеж]]/Таблица1[[#This Row],[Ежем доход]]</f>
        <v>8.4599939154243992E-2</v>
      </c>
      <c r="Y568" s="3"/>
      <c r="Z568" s="3"/>
      <c r="AA568" s="3"/>
      <c r="AB568" s="3"/>
    </row>
    <row r="569" spans="1:28" x14ac:dyDescent="0.2">
      <c r="A569">
        <v>1857</v>
      </c>
      <c r="B569" t="s">
        <v>1894</v>
      </c>
      <c r="C569" t="s">
        <v>18</v>
      </c>
      <c r="D569" t="s">
        <v>19</v>
      </c>
      <c r="E569" t="s">
        <v>30</v>
      </c>
      <c r="F569" t="s">
        <v>27</v>
      </c>
      <c r="G569" t="s">
        <v>25</v>
      </c>
      <c r="H569" s="1">
        <v>77506</v>
      </c>
      <c r="I569" s="3">
        <v>0</v>
      </c>
      <c r="J569" s="3">
        <v>1168044</v>
      </c>
      <c r="K569" s="3">
        <v>26428.62</v>
      </c>
      <c r="L569" s="2">
        <v>23</v>
      </c>
      <c r="M569" s="11">
        <v>51</v>
      </c>
      <c r="N569" s="3">
        <v>9</v>
      </c>
      <c r="O569" s="3">
        <v>393167</v>
      </c>
      <c r="P569" s="3">
        <v>701448</v>
      </c>
      <c r="Q569" s="10">
        <v>0</v>
      </c>
      <c r="R569" s="3">
        <f>(Таблица1[Размер кредита]-$AA$2)/$AA$3</f>
        <v>-1.3213451638769351</v>
      </c>
      <c r="S569" s="3">
        <f>(Таблица1[Кредитный рейтинг]-$AA$7)/($AA$8-$AA$7)</f>
        <v>0</v>
      </c>
      <c r="T569" s="3">
        <f>(Таблица1[Срок с последнего нарушения кредитного договора (мес,)]-$AA$12)/($AA$13-$AA$12)</f>
        <v>0.57954545454545459</v>
      </c>
      <c r="U569" s="3">
        <f>(Таблица1[Количество кредитных карт]-$AA$18)/($AA$19-$AA$18)</f>
        <v>0.19047619047619047</v>
      </c>
      <c r="V569" s="3">
        <f>(Таблица1[Число нарушений кредитных договоров]-$AA$23)/($AA$24-$AA$23)</f>
        <v>0</v>
      </c>
      <c r="W569" s="3">
        <f>Таблица1[[#This Row],[Годовой доход]]/12</f>
        <v>97337</v>
      </c>
      <c r="X569" s="3">
        <f>Таблица1[[#This Row],[Ежемесячный платеж]]/Таблица1[[#This Row],[Ежем доход]]</f>
        <v>0.27151668943978136</v>
      </c>
      <c r="Y569" s="3"/>
      <c r="Z569" s="3"/>
      <c r="AA569" s="3"/>
      <c r="AB569" s="3"/>
    </row>
    <row r="570" spans="1:28" x14ac:dyDescent="0.2">
      <c r="A570">
        <v>503</v>
      </c>
      <c r="B570" t="s">
        <v>544</v>
      </c>
      <c r="C570" t="s">
        <v>35</v>
      </c>
      <c r="D570" t="s">
        <v>29</v>
      </c>
      <c r="E570" t="s">
        <v>24</v>
      </c>
      <c r="F570" t="s">
        <v>33</v>
      </c>
      <c r="G570" t="s">
        <v>22</v>
      </c>
      <c r="H570" s="1">
        <v>445632</v>
      </c>
      <c r="I570" s="3">
        <v>680</v>
      </c>
      <c r="J570" s="3">
        <v>877059</v>
      </c>
      <c r="K570" s="3">
        <v>12205.6</v>
      </c>
      <c r="L570" s="2">
        <v>33.5</v>
      </c>
      <c r="M570" s="11">
        <v>12</v>
      </c>
      <c r="N570" s="3">
        <v>9</v>
      </c>
      <c r="O570" s="3">
        <v>344584</v>
      </c>
      <c r="P570" s="3">
        <v>701206</v>
      </c>
      <c r="Q570" s="10">
        <v>0</v>
      </c>
      <c r="R570" s="3">
        <f>(Таблица1[Размер кредита]-$AA$2)/$AA$3</f>
        <v>0.7744995617904753</v>
      </c>
      <c r="S570" s="3">
        <f>(Таблица1[Кредитный рейтинг]-$AA$7)/($AA$8-$AA$7)</f>
        <v>0.90545938748335553</v>
      </c>
      <c r="T570" s="3">
        <f>(Таблица1[Срок с последнего нарушения кредитного договора (мес,)]-$AA$12)/($AA$13-$AA$12)</f>
        <v>0.13636363636363635</v>
      </c>
      <c r="U570" s="3">
        <f>(Таблица1[Количество кредитных карт]-$AA$18)/($AA$19-$AA$18)</f>
        <v>0.19047619047619047</v>
      </c>
      <c r="V570" s="3">
        <f>(Таблица1[Число нарушений кредитных договоров]-$AA$23)/($AA$24-$AA$23)</f>
        <v>0</v>
      </c>
      <c r="W570" s="3">
        <f>Таблица1[[#This Row],[Годовой доход]]/12</f>
        <v>73088.25</v>
      </c>
      <c r="X570" s="3">
        <f>Таблица1[[#This Row],[Ежемесячный платеж]]/Таблица1[[#This Row],[Ежем доход]]</f>
        <v>0.16699811529212971</v>
      </c>
      <c r="Y570" s="3"/>
      <c r="Z570" s="3"/>
      <c r="AA570" s="3"/>
      <c r="AB570" s="3"/>
    </row>
    <row r="571" spans="1:28" x14ac:dyDescent="0.2">
      <c r="A571">
        <v>1648</v>
      </c>
      <c r="B571" t="s">
        <v>1686</v>
      </c>
      <c r="C571" t="s">
        <v>18</v>
      </c>
      <c r="D571" t="s">
        <v>19</v>
      </c>
      <c r="E571" t="s">
        <v>24</v>
      </c>
      <c r="F571" t="s">
        <v>21</v>
      </c>
      <c r="G571" t="s">
        <v>67</v>
      </c>
      <c r="H571" s="1">
        <v>108240</v>
      </c>
      <c r="I571" s="3">
        <v>721</v>
      </c>
      <c r="J571" s="3">
        <v>1458136</v>
      </c>
      <c r="K571" s="3">
        <v>24788.35</v>
      </c>
      <c r="L571" s="2">
        <v>19.7</v>
      </c>
      <c r="M571" s="11">
        <v>23</v>
      </c>
      <c r="N571" s="3">
        <v>10</v>
      </c>
      <c r="O571" s="3">
        <v>162070</v>
      </c>
      <c r="P571" s="3">
        <v>700260</v>
      </c>
      <c r="Q571" s="10">
        <v>0</v>
      </c>
      <c r="R571" s="3">
        <f>(Таблица1[Размер кредита]-$AA$2)/$AA$3</f>
        <v>-1.1463678686066685</v>
      </c>
      <c r="S571" s="3">
        <f>(Таблица1[Кредитный рейтинг]-$AA$7)/($AA$8-$AA$7)</f>
        <v>0.96005326231691079</v>
      </c>
      <c r="T571" s="3">
        <f>(Таблица1[Срок с последнего нарушения кредитного договора (мес,)]-$AA$12)/($AA$13-$AA$12)</f>
        <v>0.26136363636363635</v>
      </c>
      <c r="U571" s="3">
        <f>(Таблица1[Количество кредитных карт]-$AA$18)/($AA$19-$AA$18)</f>
        <v>0.21428571428571427</v>
      </c>
      <c r="V571" s="3">
        <f>(Таблица1[Число нарушений кредитных договоров]-$AA$23)/($AA$24-$AA$23)</f>
        <v>0</v>
      </c>
      <c r="W571" s="3">
        <f>Таблица1[[#This Row],[Годовой доход]]/12</f>
        <v>121511.33333333333</v>
      </c>
      <c r="X571" s="3">
        <f>Таблица1[[#This Row],[Ежемесячный платеж]]/Таблица1[[#This Row],[Ежем доход]]</f>
        <v>0.20400031272803085</v>
      </c>
      <c r="Y571" s="3"/>
      <c r="Z571" s="3"/>
      <c r="AA571" s="3"/>
      <c r="AB571" s="3"/>
    </row>
    <row r="572" spans="1:28" x14ac:dyDescent="0.2">
      <c r="A572">
        <v>1661</v>
      </c>
      <c r="B572" t="s">
        <v>1699</v>
      </c>
      <c r="C572" t="s">
        <v>18</v>
      </c>
      <c r="D572" t="s">
        <v>19</v>
      </c>
      <c r="E572" t="s">
        <v>20</v>
      </c>
      <c r="F572" t="s">
        <v>21</v>
      </c>
      <c r="G572" t="s">
        <v>25</v>
      </c>
      <c r="H572" s="1">
        <v>197472</v>
      </c>
      <c r="I572" s="3">
        <v>720</v>
      </c>
      <c r="J572" s="3">
        <v>909530</v>
      </c>
      <c r="K572" s="3">
        <v>17357.07</v>
      </c>
      <c r="L572" s="2">
        <v>17.100000000000001</v>
      </c>
      <c r="M572" s="11">
        <v>35.265240640000002</v>
      </c>
      <c r="N572" s="3">
        <v>18</v>
      </c>
      <c r="O572" s="3">
        <v>448647</v>
      </c>
      <c r="P572" s="3">
        <v>700128</v>
      </c>
      <c r="Q572" s="10">
        <v>0</v>
      </c>
      <c r="R572" s="3">
        <f>(Таблица1[Размер кредита]-$AA$2)/$AA$3</f>
        <v>-0.63834502707753338</v>
      </c>
      <c r="S572" s="3">
        <f>(Таблица1[Кредитный рейтинг]-$AA$7)/($AA$8-$AA$7)</f>
        <v>0.95872170439414117</v>
      </c>
      <c r="T572" s="3">
        <f>(Таблица1[Срок с последнего нарушения кредитного договора (мес,)]-$AA$12)/($AA$13-$AA$12)</f>
        <v>0.40074137090909095</v>
      </c>
      <c r="U572" s="3">
        <f>(Таблица1[Количество кредитных карт]-$AA$18)/($AA$19-$AA$18)</f>
        <v>0.40476190476190477</v>
      </c>
      <c r="V572" s="3">
        <f>(Таблица1[Число нарушений кредитных договоров]-$AA$23)/($AA$24-$AA$23)</f>
        <v>0</v>
      </c>
      <c r="W572" s="3">
        <f>Таблица1[[#This Row],[Годовой доход]]/12</f>
        <v>75794.166666666672</v>
      </c>
      <c r="X572" s="3">
        <f>Таблица1[[#This Row],[Ежемесячный платеж]]/Таблица1[[#This Row],[Ежем доход]]</f>
        <v>0.22900271568832253</v>
      </c>
      <c r="Y572" s="3"/>
      <c r="Z572" s="3"/>
      <c r="AA572" s="3"/>
      <c r="AB572" s="3"/>
    </row>
    <row r="573" spans="1:28" x14ac:dyDescent="0.2">
      <c r="A573">
        <v>1691</v>
      </c>
      <c r="B573" t="s">
        <v>1729</v>
      </c>
      <c r="C573" t="s">
        <v>18</v>
      </c>
      <c r="D573" t="s">
        <v>19</v>
      </c>
      <c r="E573" t="s">
        <v>24</v>
      </c>
      <c r="F573" t="s">
        <v>21</v>
      </c>
      <c r="G573" t="s">
        <v>25</v>
      </c>
      <c r="H573" s="1">
        <v>472450</v>
      </c>
      <c r="I573" s="3">
        <v>747</v>
      </c>
      <c r="J573" s="3">
        <v>1398913</v>
      </c>
      <c r="K573" s="3">
        <v>17952.72</v>
      </c>
      <c r="L573" s="2">
        <v>23.8</v>
      </c>
      <c r="M573" s="11">
        <v>4</v>
      </c>
      <c r="N573" s="3">
        <v>11</v>
      </c>
      <c r="O573" s="3">
        <v>110523</v>
      </c>
      <c r="P573" s="3">
        <v>699248</v>
      </c>
      <c r="Q573" s="10">
        <v>0</v>
      </c>
      <c r="R573" s="3">
        <f>(Таблица1[Размер кредита]-$AA$2)/$AA$3</f>
        <v>0.92718196904491701</v>
      </c>
      <c r="S573" s="3">
        <f>(Таблица1[Кредитный рейтинг]-$AA$7)/($AA$8-$AA$7)</f>
        <v>0.9946737683089214</v>
      </c>
      <c r="T573" s="3">
        <f>(Таблица1[Срок с последнего нарушения кредитного договора (мес,)]-$AA$12)/($AA$13-$AA$12)</f>
        <v>4.5454545454545456E-2</v>
      </c>
      <c r="U573" s="3">
        <f>(Таблица1[Количество кредитных карт]-$AA$18)/($AA$19-$AA$18)</f>
        <v>0.23809523809523808</v>
      </c>
      <c r="V573" s="3">
        <f>(Таблица1[Число нарушений кредитных договоров]-$AA$23)/($AA$24-$AA$23)</f>
        <v>0</v>
      </c>
      <c r="W573" s="3">
        <f>Таблица1[[#This Row],[Годовой доход]]/12</f>
        <v>116576.08333333333</v>
      </c>
      <c r="X573" s="3">
        <f>Таблица1[[#This Row],[Ежемесячный платеж]]/Таблица1[[#This Row],[Ежем доход]]</f>
        <v>0.15400002716394803</v>
      </c>
      <c r="Y573" s="3"/>
      <c r="Z573" s="3"/>
      <c r="AA573" s="3"/>
      <c r="AB573" s="3"/>
    </row>
    <row r="574" spans="1:28" x14ac:dyDescent="0.2">
      <c r="A574">
        <v>771</v>
      </c>
      <c r="B574" t="s">
        <v>812</v>
      </c>
      <c r="C574" t="s">
        <v>18</v>
      </c>
      <c r="D574" t="s">
        <v>29</v>
      </c>
      <c r="E574" t="s">
        <v>30</v>
      </c>
      <c r="F574" t="s">
        <v>21</v>
      </c>
      <c r="G574" t="s">
        <v>25</v>
      </c>
      <c r="H574" s="1">
        <v>309594.52439999999</v>
      </c>
      <c r="I574" s="3">
        <v>612</v>
      </c>
      <c r="J574" s="3">
        <v>2279544</v>
      </c>
      <c r="K574" s="3">
        <v>50339.93</v>
      </c>
      <c r="L574" s="2">
        <v>26.3</v>
      </c>
      <c r="M574" s="11">
        <v>54</v>
      </c>
      <c r="N574" s="3">
        <v>18</v>
      </c>
      <c r="O574" s="3">
        <v>533672</v>
      </c>
      <c r="P574" s="3">
        <v>698258</v>
      </c>
      <c r="Q574" s="10">
        <v>0</v>
      </c>
      <c r="R574" s="3">
        <f>(Таблица1[Размер кредита]-$AA$2)/$AA$3</f>
        <v>-1.2411115481956205E-10</v>
      </c>
      <c r="S574" s="3">
        <f>(Таблица1[Кредитный рейтинг]-$AA$7)/($AA$8-$AA$7)</f>
        <v>0.81491344873501992</v>
      </c>
      <c r="T574" s="3">
        <f>(Таблица1[Срок с последнего нарушения кредитного договора (мес,)]-$AA$12)/($AA$13-$AA$12)</f>
        <v>0.61363636363636365</v>
      </c>
      <c r="U574" s="3">
        <f>(Таблица1[Количество кредитных карт]-$AA$18)/($AA$19-$AA$18)</f>
        <v>0.40476190476190477</v>
      </c>
      <c r="V574" s="3">
        <f>(Таблица1[Число нарушений кредитных договоров]-$AA$23)/($AA$24-$AA$23)</f>
        <v>0</v>
      </c>
      <c r="W574" s="3">
        <f>Таблица1[[#This Row],[Годовой доход]]/12</f>
        <v>189962</v>
      </c>
      <c r="X574" s="3">
        <f>Таблица1[[#This Row],[Ежемесячный платеж]]/Таблица1[[#This Row],[Ежем доход]]</f>
        <v>0.26500000000000001</v>
      </c>
      <c r="Y574" s="3"/>
      <c r="Z574" s="3"/>
      <c r="AA574" s="3"/>
      <c r="AB574" s="3"/>
    </row>
    <row r="575" spans="1:28" x14ac:dyDescent="0.2">
      <c r="A575">
        <v>569</v>
      </c>
      <c r="B575" t="s">
        <v>610</v>
      </c>
      <c r="C575" t="s">
        <v>18</v>
      </c>
      <c r="D575" t="s">
        <v>19</v>
      </c>
      <c r="E575" t="s">
        <v>24</v>
      </c>
      <c r="F575" t="s">
        <v>33</v>
      </c>
      <c r="G575" t="s">
        <v>25</v>
      </c>
      <c r="H575" s="1">
        <v>156090</v>
      </c>
      <c r="I575" s="3">
        <v>706</v>
      </c>
      <c r="J575" s="3">
        <v>1872260</v>
      </c>
      <c r="K575" s="3">
        <v>25275.51</v>
      </c>
      <c r="L575" s="2">
        <v>18.5</v>
      </c>
      <c r="M575" s="11">
        <v>12</v>
      </c>
      <c r="N575" s="3">
        <v>8</v>
      </c>
      <c r="O575" s="3">
        <v>541386</v>
      </c>
      <c r="P575" s="3">
        <v>698060</v>
      </c>
      <c r="Q575" s="10">
        <v>0</v>
      </c>
      <c r="R575" s="3">
        <f>(Таблица1[Размер кредита]-$AA$2)/$AA$3</f>
        <v>-0.87394437740206565</v>
      </c>
      <c r="S575" s="3">
        <f>(Таблица1[Кредитный рейтинг]-$AA$7)/($AA$8-$AA$7)</f>
        <v>0.94007989347536614</v>
      </c>
      <c r="T575" s="3">
        <f>(Таблица1[Срок с последнего нарушения кредитного договора (мес,)]-$AA$12)/($AA$13-$AA$12)</f>
        <v>0.13636363636363635</v>
      </c>
      <c r="U575" s="3">
        <f>(Таблица1[Количество кредитных карт]-$AA$18)/($AA$19-$AA$18)</f>
        <v>0.16666666666666666</v>
      </c>
      <c r="V575" s="3">
        <f>(Таблица1[Число нарушений кредитных договоров]-$AA$23)/($AA$24-$AA$23)</f>
        <v>0</v>
      </c>
      <c r="W575" s="3">
        <f>Таблица1[[#This Row],[Годовой доход]]/12</f>
        <v>156021.66666666666</v>
      </c>
      <c r="X575" s="3">
        <f>Таблица1[[#This Row],[Ежемесячный платеж]]/Таблица1[[#This Row],[Ежем доход]]</f>
        <v>0.16200000000000001</v>
      </c>
      <c r="Y575" s="3"/>
      <c r="Z575" s="3"/>
      <c r="AA575" s="3"/>
      <c r="AB575" s="3"/>
    </row>
    <row r="576" spans="1:28" x14ac:dyDescent="0.2">
      <c r="A576">
        <v>552</v>
      </c>
      <c r="B576" t="s">
        <v>593</v>
      </c>
      <c r="C576" t="s">
        <v>18</v>
      </c>
      <c r="D576" t="s">
        <v>19</v>
      </c>
      <c r="E576" t="s">
        <v>47</v>
      </c>
      <c r="F576" t="s">
        <v>27</v>
      </c>
      <c r="G576" t="s">
        <v>75</v>
      </c>
      <c r="H576" s="1">
        <v>131560</v>
      </c>
      <c r="I576" s="3">
        <v>740</v>
      </c>
      <c r="J576" s="3">
        <v>1488479</v>
      </c>
      <c r="K576" s="3">
        <v>36467.65</v>
      </c>
      <c r="L576" s="2">
        <v>21.9</v>
      </c>
      <c r="M576" s="11">
        <v>35.265240640000002</v>
      </c>
      <c r="N576" s="3">
        <v>25</v>
      </c>
      <c r="O576" s="3">
        <v>295317</v>
      </c>
      <c r="P576" s="3">
        <v>697818</v>
      </c>
      <c r="Q576" s="10">
        <v>0</v>
      </c>
      <c r="R576" s="3">
        <f>(Таблица1[Размер кредита]-$AA$2)/$AA$3</f>
        <v>-1.0136005579506322</v>
      </c>
      <c r="S576" s="3">
        <f>(Таблица1[Кредитный рейтинг]-$AA$7)/($AA$8-$AA$7)</f>
        <v>0.98535286284953394</v>
      </c>
      <c r="T576" s="3">
        <f>(Таблица1[Срок с последнего нарушения кредитного договора (мес,)]-$AA$12)/($AA$13-$AA$12)</f>
        <v>0.40074137090909095</v>
      </c>
      <c r="U576" s="3">
        <f>(Таблица1[Количество кредитных карт]-$AA$18)/($AA$19-$AA$18)</f>
        <v>0.5714285714285714</v>
      </c>
      <c r="V576" s="3">
        <f>(Таблица1[Число нарушений кредитных договоров]-$AA$23)/($AA$24-$AA$23)</f>
        <v>0</v>
      </c>
      <c r="W576" s="3">
        <f>Таблица1[[#This Row],[Годовой доход]]/12</f>
        <v>124039.91666666667</v>
      </c>
      <c r="X576" s="3">
        <f>Таблица1[[#This Row],[Ежемесячный платеж]]/Таблица1[[#This Row],[Ежем доход]]</f>
        <v>0.29399931070576069</v>
      </c>
      <c r="Y576" s="3"/>
      <c r="Z576" s="3"/>
      <c r="AA576" s="3"/>
      <c r="AB576" s="3"/>
    </row>
    <row r="577" spans="1:28" x14ac:dyDescent="0.2">
      <c r="A577">
        <v>1912</v>
      </c>
      <c r="B577" t="s">
        <v>1948</v>
      </c>
      <c r="C577" t="s">
        <v>18</v>
      </c>
      <c r="D577" t="s">
        <v>29</v>
      </c>
      <c r="E577" t="s">
        <v>47</v>
      </c>
      <c r="F577" t="s">
        <v>33</v>
      </c>
      <c r="G577" t="s">
        <v>25</v>
      </c>
      <c r="H577" s="1">
        <v>358688</v>
      </c>
      <c r="I577" s="3">
        <v>721</v>
      </c>
      <c r="J577" s="3">
        <v>1770173</v>
      </c>
      <c r="K577" s="3">
        <v>36288.29</v>
      </c>
      <c r="L577" s="2">
        <v>13.9</v>
      </c>
      <c r="M577" s="11">
        <v>35.265240640000002</v>
      </c>
      <c r="N577" s="3">
        <v>14</v>
      </c>
      <c r="O577" s="3">
        <v>160816</v>
      </c>
      <c r="P577" s="3">
        <v>694826</v>
      </c>
      <c r="Q577" s="10">
        <v>0</v>
      </c>
      <c r="R577" s="3">
        <f>(Таблица1[Размер кредита]-$AA$2)/$AA$3</f>
        <v>0.2795029469672155</v>
      </c>
      <c r="S577" s="3">
        <f>(Таблица1[Кредитный рейтинг]-$AA$7)/($AA$8-$AA$7)</f>
        <v>0.96005326231691079</v>
      </c>
      <c r="T577" s="3">
        <f>(Таблица1[Срок с последнего нарушения кредитного договора (мес,)]-$AA$12)/($AA$13-$AA$12)</f>
        <v>0.40074137090909095</v>
      </c>
      <c r="U577" s="3">
        <f>(Таблица1[Количество кредитных карт]-$AA$18)/($AA$19-$AA$18)</f>
        <v>0.30952380952380953</v>
      </c>
      <c r="V577" s="3">
        <f>(Таблица1[Число нарушений кредитных договоров]-$AA$23)/($AA$24-$AA$23)</f>
        <v>0</v>
      </c>
      <c r="W577" s="3">
        <f>Таблица1[[#This Row],[Годовой доход]]/12</f>
        <v>147514.41666666666</v>
      </c>
      <c r="X577" s="3">
        <f>Таблица1[[#This Row],[Ежемесячный платеж]]/Таблица1[[#This Row],[Ежем доход]]</f>
        <v>0.24599826118690096</v>
      </c>
      <c r="Y577" s="3"/>
      <c r="Z577" s="3"/>
      <c r="AA577" s="3"/>
      <c r="AB577" s="3"/>
    </row>
    <row r="578" spans="1:28" x14ac:dyDescent="0.2">
      <c r="A578">
        <v>135</v>
      </c>
      <c r="B578" t="s">
        <v>177</v>
      </c>
      <c r="C578" t="s">
        <v>35</v>
      </c>
      <c r="D578" t="s">
        <v>29</v>
      </c>
      <c r="E578" t="s">
        <v>24</v>
      </c>
      <c r="F578" t="s">
        <v>33</v>
      </c>
      <c r="G578" t="s">
        <v>25</v>
      </c>
      <c r="H578" s="1">
        <v>552882</v>
      </c>
      <c r="I578" s="3">
        <v>686</v>
      </c>
      <c r="J578" s="3">
        <v>1262151</v>
      </c>
      <c r="K578" s="3">
        <v>23770.71</v>
      </c>
      <c r="L578" s="2">
        <v>23.4</v>
      </c>
      <c r="M578" s="11">
        <v>48</v>
      </c>
      <c r="N578" s="3">
        <v>13</v>
      </c>
      <c r="O578" s="3">
        <v>299706</v>
      </c>
      <c r="P578" s="3">
        <v>694056</v>
      </c>
      <c r="Q578" s="10">
        <v>0</v>
      </c>
      <c r="R578" s="3">
        <f>(Таблица1[Размер кредита]-$AA$2)/$AA$3</f>
        <v>1.3851039386283779</v>
      </c>
      <c r="S578" s="3">
        <f>(Таблица1[Кредитный рейтинг]-$AA$7)/($AA$8-$AA$7)</f>
        <v>0.91344873501997337</v>
      </c>
      <c r="T578" s="3">
        <f>(Таблица1[Срок с последнего нарушения кредитного договора (мес,)]-$AA$12)/($AA$13-$AA$12)</f>
        <v>0.54545454545454541</v>
      </c>
      <c r="U578" s="3">
        <f>(Таблица1[Количество кредитных карт]-$AA$18)/($AA$19-$AA$18)</f>
        <v>0.2857142857142857</v>
      </c>
      <c r="V578" s="3">
        <f>(Таблица1[Число нарушений кредитных договоров]-$AA$23)/($AA$24-$AA$23)</f>
        <v>0</v>
      </c>
      <c r="W578" s="3">
        <f>Таблица1[[#This Row],[Годовой доход]]/12</f>
        <v>105179.25</v>
      </c>
      <c r="X578" s="3">
        <f>Таблица1[[#This Row],[Ежемесячный платеж]]/Таблица1[[#This Row],[Ежем доход]]</f>
        <v>0.22600189676195637</v>
      </c>
      <c r="Y578" s="3"/>
      <c r="Z578" s="3"/>
      <c r="AA578" s="3"/>
      <c r="AB578" s="3"/>
    </row>
    <row r="579" spans="1:28" x14ac:dyDescent="0.2">
      <c r="A579">
        <v>1720</v>
      </c>
      <c r="B579" t="s">
        <v>1758</v>
      </c>
      <c r="C579" t="s">
        <v>18</v>
      </c>
      <c r="D579" t="s">
        <v>19</v>
      </c>
      <c r="E579" t="s">
        <v>50</v>
      </c>
      <c r="F579" t="s">
        <v>21</v>
      </c>
      <c r="G579" t="s">
        <v>25</v>
      </c>
      <c r="H579" s="1">
        <v>404404</v>
      </c>
      <c r="I579" s="3">
        <v>748</v>
      </c>
      <c r="J579" s="3">
        <v>2522364</v>
      </c>
      <c r="K579" s="3">
        <v>6852.54</v>
      </c>
      <c r="L579" s="2">
        <v>24.9</v>
      </c>
      <c r="M579" s="11">
        <v>35.265240640000002</v>
      </c>
      <c r="N579" s="3">
        <v>6</v>
      </c>
      <c r="O579" s="3">
        <v>270370</v>
      </c>
      <c r="P579" s="3">
        <v>692648</v>
      </c>
      <c r="Q579" s="10">
        <v>0</v>
      </c>
      <c r="R579" s="3">
        <f>(Таблица1[Размер кредита]-$AA$2)/$AA$3</f>
        <v>0.53977697672499225</v>
      </c>
      <c r="S579" s="3">
        <f>(Таблица1[Кредитный рейтинг]-$AA$7)/($AA$8-$AA$7)</f>
        <v>0.99600532623169102</v>
      </c>
      <c r="T579" s="3">
        <f>(Таблица1[Срок с последнего нарушения кредитного договора (мес,)]-$AA$12)/($AA$13-$AA$12)</f>
        <v>0.40074137090909095</v>
      </c>
      <c r="U579" s="3">
        <f>(Таблица1[Количество кредитных карт]-$AA$18)/($AA$19-$AA$18)</f>
        <v>0.11904761904761904</v>
      </c>
      <c r="V579" s="3">
        <f>(Таблица1[Число нарушений кредитных договоров]-$AA$23)/($AA$24-$AA$23)</f>
        <v>0</v>
      </c>
      <c r="W579" s="3">
        <f>Таблица1[[#This Row],[Годовой доход]]/12</f>
        <v>210197</v>
      </c>
      <c r="X579" s="3">
        <f>Таблица1[[#This Row],[Ежемесячный платеж]]/Таблица1[[#This Row],[Ежем доход]]</f>
        <v>3.2600560426647385E-2</v>
      </c>
      <c r="Y579" s="3"/>
      <c r="Z579" s="3"/>
      <c r="AA579" s="3"/>
      <c r="AB579" s="3"/>
    </row>
    <row r="580" spans="1:28" x14ac:dyDescent="0.2">
      <c r="A580">
        <v>886</v>
      </c>
      <c r="B580" t="s">
        <v>927</v>
      </c>
      <c r="C580" t="s">
        <v>18</v>
      </c>
      <c r="D580" t="s">
        <v>19</v>
      </c>
      <c r="E580" t="s">
        <v>20</v>
      </c>
      <c r="F580" t="s">
        <v>21</v>
      </c>
      <c r="G580" t="s">
        <v>22</v>
      </c>
      <c r="H580" s="1">
        <v>181346</v>
      </c>
      <c r="I580" s="3">
        <v>0</v>
      </c>
      <c r="J580" s="3">
        <v>1168044</v>
      </c>
      <c r="K580" s="3">
        <v>34339.65</v>
      </c>
      <c r="L580" s="2">
        <v>20.3</v>
      </c>
      <c r="M580" s="11">
        <v>35.265240640000002</v>
      </c>
      <c r="N580" s="3">
        <v>23</v>
      </c>
      <c r="O580" s="3">
        <v>365921</v>
      </c>
      <c r="P580" s="3">
        <v>692318</v>
      </c>
      <c r="Q580" s="10">
        <v>0</v>
      </c>
      <c r="R580" s="3">
        <f>(Таблица1[Размер кредита]-$AA$2)/$AA$3</f>
        <v>-0.73015487491798114</v>
      </c>
      <c r="S580" s="3">
        <f>(Таблица1[Кредитный рейтинг]-$AA$7)/($AA$8-$AA$7)</f>
        <v>0</v>
      </c>
      <c r="T580" s="3">
        <f>(Таблица1[Срок с последнего нарушения кредитного договора (мес,)]-$AA$12)/($AA$13-$AA$12)</f>
        <v>0.40074137090909095</v>
      </c>
      <c r="U580" s="3">
        <f>(Таблица1[Количество кредитных карт]-$AA$18)/($AA$19-$AA$18)</f>
        <v>0.52380952380952384</v>
      </c>
      <c r="V580" s="3">
        <f>(Таблица1[Число нарушений кредитных договоров]-$AA$23)/($AA$24-$AA$23)</f>
        <v>0</v>
      </c>
      <c r="W580" s="3">
        <f>Таблица1[[#This Row],[Годовой доход]]/12</f>
        <v>97337</v>
      </c>
      <c r="X580" s="3">
        <f>Таблица1[[#This Row],[Ежемесячный платеж]]/Таблица1[[#This Row],[Ежем доход]]</f>
        <v>0.35279133320320127</v>
      </c>
      <c r="Y580" s="3"/>
      <c r="Z580" s="3"/>
      <c r="AA580" s="3"/>
      <c r="AB580" s="3"/>
    </row>
    <row r="581" spans="1:28" x14ac:dyDescent="0.2">
      <c r="A581">
        <v>676</v>
      </c>
      <c r="B581" t="s">
        <v>717</v>
      </c>
      <c r="C581" t="s">
        <v>18</v>
      </c>
      <c r="D581" t="s">
        <v>29</v>
      </c>
      <c r="E581" t="s">
        <v>41</v>
      </c>
      <c r="F581" t="s">
        <v>33</v>
      </c>
      <c r="G581" t="s">
        <v>25</v>
      </c>
      <c r="H581" s="1">
        <v>329120</v>
      </c>
      <c r="I581" s="3">
        <v>0</v>
      </c>
      <c r="J581" s="3">
        <v>1168044</v>
      </c>
      <c r="K581" s="3">
        <v>20890.88</v>
      </c>
      <c r="L581" s="2">
        <v>10.8</v>
      </c>
      <c r="M581" s="11">
        <v>35.265240640000002</v>
      </c>
      <c r="N581" s="3">
        <v>13</v>
      </c>
      <c r="O581" s="3">
        <v>246373</v>
      </c>
      <c r="P581" s="3">
        <v>690734</v>
      </c>
      <c r="Q581" s="10">
        <v>0</v>
      </c>
      <c r="R581" s="3">
        <f>(Таблица1[Размер кредита]-$AA$2)/$AA$3</f>
        <v>0.11116401722975064</v>
      </c>
      <c r="S581" s="3">
        <f>(Таблица1[Кредитный рейтинг]-$AA$7)/($AA$8-$AA$7)</f>
        <v>0</v>
      </c>
      <c r="T581" s="3">
        <f>(Таблица1[Срок с последнего нарушения кредитного договора (мес,)]-$AA$12)/($AA$13-$AA$12)</f>
        <v>0.40074137090909095</v>
      </c>
      <c r="U581" s="3">
        <f>(Таблица1[Количество кредитных карт]-$AA$18)/($AA$19-$AA$18)</f>
        <v>0.2857142857142857</v>
      </c>
      <c r="V581" s="3">
        <f>(Таблица1[Число нарушений кредитных договоров]-$AA$23)/($AA$24-$AA$23)</f>
        <v>0</v>
      </c>
      <c r="W581" s="3">
        <f>Таблица1[[#This Row],[Годовой доход]]/12</f>
        <v>97337</v>
      </c>
      <c r="X581" s="3">
        <f>Таблица1[[#This Row],[Ежемесячный платеж]]/Таблица1[[#This Row],[Ежем доход]]</f>
        <v>0.21462424360726137</v>
      </c>
      <c r="Y581" s="3"/>
      <c r="Z581" s="3"/>
      <c r="AA581" s="3"/>
      <c r="AB581" s="3"/>
    </row>
    <row r="582" spans="1:28" x14ac:dyDescent="0.2">
      <c r="A582">
        <v>702</v>
      </c>
      <c r="B582" t="s">
        <v>743</v>
      </c>
      <c r="C582" t="s">
        <v>18</v>
      </c>
      <c r="D582" t="s">
        <v>19</v>
      </c>
      <c r="E582" t="s">
        <v>30</v>
      </c>
      <c r="F582" t="s">
        <v>21</v>
      </c>
      <c r="G582" t="s">
        <v>25</v>
      </c>
      <c r="H582" s="1">
        <v>449768</v>
      </c>
      <c r="I582" s="3">
        <v>737</v>
      </c>
      <c r="J582" s="3">
        <v>2913270</v>
      </c>
      <c r="K582" s="3">
        <v>23913.02</v>
      </c>
      <c r="L582" s="2">
        <v>23.4</v>
      </c>
      <c r="M582" s="11">
        <v>22</v>
      </c>
      <c r="N582" s="3">
        <v>11</v>
      </c>
      <c r="O582" s="3">
        <v>499681</v>
      </c>
      <c r="P582" s="3">
        <v>690448</v>
      </c>
      <c r="Q582" s="10">
        <v>0</v>
      </c>
      <c r="R582" s="3">
        <f>(Таблица1[Размер кредита]-$AA$2)/$AA$3</f>
        <v>0.79804697160494209</v>
      </c>
      <c r="S582" s="3">
        <f>(Таблица1[Кредитный рейтинг]-$AA$7)/($AA$8-$AA$7)</f>
        <v>0.98135818908122507</v>
      </c>
      <c r="T582" s="3">
        <f>(Таблица1[Срок с последнего нарушения кредитного договора (мес,)]-$AA$12)/($AA$13-$AA$12)</f>
        <v>0.25</v>
      </c>
      <c r="U582" s="3">
        <f>(Таблица1[Количество кредитных карт]-$AA$18)/($AA$19-$AA$18)</f>
        <v>0.23809523809523808</v>
      </c>
      <c r="V582" s="3">
        <f>(Таблица1[Число нарушений кредитных договоров]-$AA$23)/($AA$24-$AA$23)</f>
        <v>0</v>
      </c>
      <c r="W582" s="3">
        <f>Таблица1[[#This Row],[Годовой доход]]/12</f>
        <v>242772.5</v>
      </c>
      <c r="X582" s="3">
        <f>Таблица1[[#This Row],[Ежемесячный платеж]]/Таблица1[[#This Row],[Ежем доход]]</f>
        <v>9.8499706515359026E-2</v>
      </c>
      <c r="Y582" s="3"/>
      <c r="Z582" s="3"/>
      <c r="AA582" s="3"/>
      <c r="AB582" s="3"/>
    </row>
    <row r="583" spans="1:28" x14ac:dyDescent="0.2">
      <c r="A583">
        <v>1886</v>
      </c>
      <c r="B583" t="s">
        <v>1922</v>
      </c>
      <c r="C583" t="s">
        <v>18</v>
      </c>
      <c r="D583" t="s">
        <v>19</v>
      </c>
      <c r="E583" t="s">
        <v>37</v>
      </c>
      <c r="F583" t="s">
        <v>21</v>
      </c>
      <c r="G583" t="s">
        <v>25</v>
      </c>
      <c r="H583" s="1">
        <v>240328</v>
      </c>
      <c r="I583" s="3">
        <v>696</v>
      </c>
      <c r="J583" s="3">
        <v>1124496</v>
      </c>
      <c r="K583" s="3">
        <v>29611.69</v>
      </c>
      <c r="L583" s="2">
        <v>17.2</v>
      </c>
      <c r="M583" s="11">
        <v>2</v>
      </c>
      <c r="N583" s="3">
        <v>13</v>
      </c>
      <c r="O583" s="3">
        <v>294728</v>
      </c>
      <c r="P583" s="3">
        <v>689436</v>
      </c>
      <c r="Q583" s="10">
        <v>0</v>
      </c>
      <c r="R583" s="3">
        <f>(Таблица1[Размер кредита]-$AA$2)/$AA$3</f>
        <v>-0.3943537807021007</v>
      </c>
      <c r="S583" s="3">
        <f>(Таблица1[Кредитный рейтинг]-$AA$7)/($AA$8-$AA$7)</f>
        <v>0.92676431424766981</v>
      </c>
      <c r="T583" s="3">
        <f>(Таблица1[Срок с последнего нарушения кредитного договора (мес,)]-$AA$12)/($AA$13-$AA$12)</f>
        <v>2.2727272727272728E-2</v>
      </c>
      <c r="U583" s="3">
        <f>(Таблица1[Количество кредитных карт]-$AA$18)/($AA$19-$AA$18)</f>
        <v>0.2857142857142857</v>
      </c>
      <c r="V583" s="3">
        <f>(Таблица1[Число нарушений кредитных договоров]-$AA$23)/($AA$24-$AA$23)</f>
        <v>0</v>
      </c>
      <c r="W583" s="3">
        <f>Таблица1[[#This Row],[Годовой доход]]/12</f>
        <v>93708</v>
      </c>
      <c r="X583" s="3">
        <f>Таблица1[[#This Row],[Ежемесячный платеж]]/Таблица1[[#This Row],[Ежем доход]]</f>
        <v>0.31599959448499593</v>
      </c>
      <c r="Y583" s="3"/>
      <c r="Z583" s="3"/>
      <c r="AA583" s="3"/>
      <c r="AB583" s="3"/>
    </row>
    <row r="584" spans="1:28" x14ac:dyDescent="0.2">
      <c r="A584">
        <v>1109</v>
      </c>
      <c r="B584" t="s">
        <v>1148</v>
      </c>
      <c r="C584" t="s">
        <v>18</v>
      </c>
      <c r="D584" t="s">
        <v>19</v>
      </c>
      <c r="E584" t="s">
        <v>24</v>
      </c>
      <c r="F584" t="s">
        <v>21</v>
      </c>
      <c r="G584" t="s">
        <v>25</v>
      </c>
      <c r="H584" s="1">
        <v>111364</v>
      </c>
      <c r="I584" s="3">
        <v>732</v>
      </c>
      <c r="J584" s="3">
        <v>1250200</v>
      </c>
      <c r="K584" s="3">
        <v>23336.75</v>
      </c>
      <c r="L584" s="2">
        <v>19.8</v>
      </c>
      <c r="M584" s="11">
        <v>35.265240640000002</v>
      </c>
      <c r="N584" s="3">
        <v>21</v>
      </c>
      <c r="O584" s="3">
        <v>280193</v>
      </c>
      <c r="P584" s="3">
        <v>688820</v>
      </c>
      <c r="Q584" s="10">
        <v>1</v>
      </c>
      <c r="R584" s="3">
        <f>(Таблица1[Размер кредита]-$AA$2)/$AA$3</f>
        <v>-1.1285820590659541</v>
      </c>
      <c r="S584" s="3">
        <f>(Таблица1[Кредитный рейтинг]-$AA$7)/($AA$8-$AA$7)</f>
        <v>0.97470039946737685</v>
      </c>
      <c r="T584" s="3">
        <f>(Таблица1[Срок с последнего нарушения кредитного договора (мес,)]-$AA$12)/($AA$13-$AA$12)</f>
        <v>0.40074137090909095</v>
      </c>
      <c r="U584" s="3">
        <f>(Таблица1[Количество кредитных карт]-$AA$18)/($AA$19-$AA$18)</f>
        <v>0.47619047619047616</v>
      </c>
      <c r="V584" s="3">
        <f>(Таблица1[Число нарушений кредитных договоров]-$AA$23)/($AA$24-$AA$23)</f>
        <v>0.14285714285714285</v>
      </c>
      <c r="W584" s="3">
        <f>Таблица1[[#This Row],[Годовой доход]]/12</f>
        <v>104183.33333333333</v>
      </c>
      <c r="X584" s="3">
        <f>Таблица1[[#This Row],[Ежемесячный платеж]]/Таблица1[[#This Row],[Ежем доход]]</f>
        <v>0.2239969604863222</v>
      </c>
      <c r="Y584" s="3"/>
      <c r="Z584" s="3"/>
      <c r="AA584" s="3"/>
      <c r="AB584" s="3"/>
    </row>
    <row r="585" spans="1:28" x14ac:dyDescent="0.2">
      <c r="A585">
        <v>380</v>
      </c>
      <c r="B585" t="s">
        <v>422</v>
      </c>
      <c r="C585" t="s">
        <v>18</v>
      </c>
      <c r="D585" t="s">
        <v>19</v>
      </c>
      <c r="E585" t="s">
        <v>24</v>
      </c>
      <c r="F585" t="s">
        <v>33</v>
      </c>
      <c r="G585" t="s">
        <v>25</v>
      </c>
      <c r="H585" s="1">
        <v>309594.52439999999</v>
      </c>
      <c r="I585" s="3">
        <v>734</v>
      </c>
      <c r="J585" s="3">
        <v>652099</v>
      </c>
      <c r="K585" s="3">
        <v>15922</v>
      </c>
      <c r="L585" s="2">
        <v>13</v>
      </c>
      <c r="M585" s="11">
        <v>35.265240640000002</v>
      </c>
      <c r="N585" s="3">
        <v>15</v>
      </c>
      <c r="O585" s="3">
        <v>99788</v>
      </c>
      <c r="P585" s="3">
        <v>687786</v>
      </c>
      <c r="Q585" s="10">
        <v>1</v>
      </c>
      <c r="R585" s="3">
        <f>(Таблица1[Размер кредита]-$AA$2)/$AA$3</f>
        <v>-1.2411115481956205E-10</v>
      </c>
      <c r="S585" s="3">
        <f>(Таблица1[Кредитный рейтинг]-$AA$7)/($AA$8-$AA$7)</f>
        <v>0.9773635153129161</v>
      </c>
      <c r="T585" s="3">
        <f>(Таблица1[Срок с последнего нарушения кредитного договора (мес,)]-$AA$12)/($AA$13-$AA$12)</f>
        <v>0.40074137090909095</v>
      </c>
      <c r="U585" s="3">
        <f>(Таблица1[Количество кредитных карт]-$AA$18)/($AA$19-$AA$18)</f>
        <v>0.33333333333333331</v>
      </c>
      <c r="V585" s="3">
        <f>(Таблица1[Число нарушений кредитных договоров]-$AA$23)/($AA$24-$AA$23)</f>
        <v>0.14285714285714285</v>
      </c>
      <c r="W585" s="3">
        <f>Таблица1[[#This Row],[Годовой доход]]/12</f>
        <v>54341.583333333336</v>
      </c>
      <c r="X585" s="3">
        <f>Таблица1[[#This Row],[Ежемесячный платеж]]/Таблица1[[#This Row],[Ежем доход]]</f>
        <v>0.29299845575595118</v>
      </c>
      <c r="Y585" s="3"/>
      <c r="Z585" s="3"/>
      <c r="AA585" s="3"/>
      <c r="AB585" s="3"/>
    </row>
    <row r="586" spans="1:28" x14ac:dyDescent="0.2">
      <c r="A586">
        <v>1542</v>
      </c>
      <c r="B586" t="s">
        <v>1581</v>
      </c>
      <c r="C586" t="s">
        <v>18</v>
      </c>
      <c r="D586" t="s">
        <v>19</v>
      </c>
      <c r="E586" t="s">
        <v>47</v>
      </c>
      <c r="F586" t="s">
        <v>33</v>
      </c>
      <c r="G586" t="s">
        <v>25</v>
      </c>
      <c r="H586" s="1">
        <v>399630</v>
      </c>
      <c r="I586" s="3">
        <v>712</v>
      </c>
      <c r="J586" s="3">
        <v>1335985</v>
      </c>
      <c r="K586" s="3">
        <v>28946.5</v>
      </c>
      <c r="L586" s="2">
        <v>10.199999999999999</v>
      </c>
      <c r="M586" s="11">
        <v>35.265240640000002</v>
      </c>
      <c r="N586" s="3">
        <v>13</v>
      </c>
      <c r="O586" s="3">
        <v>579025</v>
      </c>
      <c r="P586" s="3">
        <v>687632</v>
      </c>
      <c r="Q586" s="10">
        <v>0</v>
      </c>
      <c r="R586" s="3">
        <f>(Таблица1[Размер кредита]-$AA$2)/$AA$3</f>
        <v>0.51259725369446407</v>
      </c>
      <c r="S586" s="3">
        <f>(Таблица1[Кредитный рейтинг]-$AA$7)/($AA$8-$AA$7)</f>
        <v>0.94806924101198398</v>
      </c>
      <c r="T586" s="3">
        <f>(Таблица1[Срок с последнего нарушения кредитного договора (мес,)]-$AA$12)/($AA$13-$AA$12)</f>
        <v>0.40074137090909095</v>
      </c>
      <c r="U586" s="3">
        <f>(Таблица1[Количество кредитных карт]-$AA$18)/($AA$19-$AA$18)</f>
        <v>0.2857142857142857</v>
      </c>
      <c r="V586" s="3">
        <f>(Таблица1[Число нарушений кредитных договоров]-$AA$23)/($AA$24-$AA$23)</f>
        <v>0</v>
      </c>
      <c r="W586" s="3">
        <f>Таблица1[[#This Row],[Годовой доход]]/12</f>
        <v>111332.08333333333</v>
      </c>
      <c r="X586" s="3">
        <f>Таблица1[[#This Row],[Ежемесячный платеж]]/Таблица1[[#This Row],[Ежем доход]]</f>
        <v>0.26000142217165612</v>
      </c>
      <c r="Y586" s="3"/>
      <c r="Z586" s="3"/>
      <c r="AA586" s="3"/>
      <c r="AB586" s="3"/>
    </row>
    <row r="587" spans="1:28" x14ac:dyDescent="0.2">
      <c r="A587">
        <v>371</v>
      </c>
      <c r="B587" t="s">
        <v>413</v>
      </c>
      <c r="C587" t="s">
        <v>18</v>
      </c>
      <c r="D587" t="s">
        <v>19</v>
      </c>
      <c r="E587" t="s">
        <v>24</v>
      </c>
      <c r="F587" t="s">
        <v>21</v>
      </c>
      <c r="G587" t="s">
        <v>22</v>
      </c>
      <c r="H587" s="1">
        <v>450384</v>
      </c>
      <c r="I587" s="3">
        <v>746</v>
      </c>
      <c r="J587" s="3">
        <v>1166904</v>
      </c>
      <c r="K587" s="3">
        <v>31506.37</v>
      </c>
      <c r="L587" s="2">
        <v>20.2</v>
      </c>
      <c r="M587" s="11">
        <v>35.265240640000002</v>
      </c>
      <c r="N587" s="3">
        <v>12</v>
      </c>
      <c r="O587" s="3">
        <v>332918</v>
      </c>
      <c r="P587" s="3">
        <v>687126</v>
      </c>
      <c r="Q587" s="10">
        <v>0</v>
      </c>
      <c r="R587" s="3">
        <f>(Таблица1[Размер кредита]-$AA$2)/$AA$3</f>
        <v>0.80155403264113922</v>
      </c>
      <c r="S587" s="3">
        <f>(Таблица1[Кредитный рейтинг]-$AA$7)/($AA$8-$AA$7)</f>
        <v>0.99334221038615178</v>
      </c>
      <c r="T587" s="3">
        <f>(Таблица1[Срок с последнего нарушения кредитного договора (мес,)]-$AA$12)/($AA$13-$AA$12)</f>
        <v>0.40074137090909095</v>
      </c>
      <c r="U587" s="3">
        <f>(Таблица1[Количество кредитных карт]-$AA$18)/($AA$19-$AA$18)</f>
        <v>0.26190476190476192</v>
      </c>
      <c r="V587" s="3">
        <f>(Таблица1[Число нарушений кредитных договоров]-$AA$23)/($AA$24-$AA$23)</f>
        <v>0</v>
      </c>
      <c r="W587" s="3">
        <f>Таблица1[[#This Row],[Годовой доход]]/12</f>
        <v>97242</v>
      </c>
      <c r="X587" s="3">
        <f>Таблица1[[#This Row],[Ежемесячный платеж]]/Таблица1[[#This Row],[Ежем доход]]</f>
        <v>0.32399960922235249</v>
      </c>
      <c r="Y587" s="3"/>
      <c r="Z587" s="3"/>
      <c r="AA587" s="3"/>
      <c r="AB587" s="3"/>
    </row>
    <row r="588" spans="1:28" x14ac:dyDescent="0.2">
      <c r="A588">
        <v>1758</v>
      </c>
      <c r="B588" t="s">
        <v>1796</v>
      </c>
      <c r="C588" t="s">
        <v>35</v>
      </c>
      <c r="D588" t="s">
        <v>19</v>
      </c>
      <c r="E588" t="s">
        <v>47</v>
      </c>
      <c r="F588" t="s">
        <v>33</v>
      </c>
      <c r="G588" t="s">
        <v>25</v>
      </c>
      <c r="H588" s="1">
        <v>313698</v>
      </c>
      <c r="I588" s="3">
        <v>747</v>
      </c>
      <c r="J588" s="3">
        <v>1411035</v>
      </c>
      <c r="K588" s="3">
        <v>19049.02</v>
      </c>
      <c r="L588" s="2">
        <v>22.5</v>
      </c>
      <c r="M588" s="11">
        <v>68</v>
      </c>
      <c r="N588" s="3">
        <v>18</v>
      </c>
      <c r="O588" s="3">
        <v>333830</v>
      </c>
      <c r="P588" s="3">
        <v>686576</v>
      </c>
      <c r="Q588" s="10">
        <v>1</v>
      </c>
      <c r="R588" s="3">
        <f>(Таблица1[Размер кредита]-$AA$2)/$AA$3</f>
        <v>2.3362239144956835E-2</v>
      </c>
      <c r="S588" s="3">
        <f>(Таблица1[Кредитный рейтинг]-$AA$7)/($AA$8-$AA$7)</f>
        <v>0.9946737683089214</v>
      </c>
      <c r="T588" s="3">
        <f>(Таблица1[Срок с последнего нарушения кредитного договора (мес,)]-$AA$12)/($AA$13-$AA$12)</f>
        <v>0.77272727272727271</v>
      </c>
      <c r="U588" s="3">
        <f>(Таблица1[Количество кредитных карт]-$AA$18)/($AA$19-$AA$18)</f>
        <v>0.40476190476190477</v>
      </c>
      <c r="V588" s="3">
        <f>(Таблица1[Число нарушений кредитных договоров]-$AA$23)/($AA$24-$AA$23)</f>
        <v>0.14285714285714285</v>
      </c>
      <c r="W588" s="3">
        <f>Таблица1[[#This Row],[Годовой доход]]/12</f>
        <v>117586.25</v>
      </c>
      <c r="X588" s="3">
        <f>Таблица1[[#This Row],[Ежемесячный платеж]]/Таблица1[[#This Row],[Ежем доход]]</f>
        <v>0.1620004039587962</v>
      </c>
      <c r="Y588" s="3"/>
      <c r="Z588" s="3"/>
      <c r="AA588" s="3"/>
      <c r="AB588" s="3"/>
    </row>
    <row r="589" spans="1:28" x14ac:dyDescent="0.2">
      <c r="A589">
        <v>96</v>
      </c>
      <c r="B589" t="s">
        <v>138</v>
      </c>
      <c r="C589" t="s">
        <v>18</v>
      </c>
      <c r="D589" t="s">
        <v>19</v>
      </c>
      <c r="E589" t="s">
        <v>24</v>
      </c>
      <c r="F589" t="s">
        <v>33</v>
      </c>
      <c r="G589" t="s">
        <v>25</v>
      </c>
      <c r="H589" s="1">
        <v>432080</v>
      </c>
      <c r="I589" s="3">
        <v>0</v>
      </c>
      <c r="J589" s="3">
        <v>1168044</v>
      </c>
      <c r="K589" s="3">
        <v>35360.14</v>
      </c>
      <c r="L589" s="2">
        <v>17.899999999999999</v>
      </c>
      <c r="M589" s="11">
        <v>24</v>
      </c>
      <c r="N589" s="3">
        <v>22</v>
      </c>
      <c r="O589" s="3">
        <v>160550</v>
      </c>
      <c r="P589" s="3">
        <v>685982</v>
      </c>
      <c r="Q589" s="10">
        <v>0</v>
      </c>
      <c r="R589" s="3">
        <f>(Таблица1[Размер кредита]-$AA$2)/$AA$3</f>
        <v>0.69734421899413723</v>
      </c>
      <c r="S589" s="3">
        <f>(Таблица1[Кредитный рейтинг]-$AA$7)/($AA$8-$AA$7)</f>
        <v>0</v>
      </c>
      <c r="T589" s="3">
        <f>(Таблица1[Срок с последнего нарушения кредитного договора (мес,)]-$AA$12)/($AA$13-$AA$12)</f>
        <v>0.27272727272727271</v>
      </c>
      <c r="U589" s="3">
        <f>(Таблица1[Количество кредитных карт]-$AA$18)/($AA$19-$AA$18)</f>
        <v>0.5</v>
      </c>
      <c r="V589" s="3">
        <f>(Таблица1[Число нарушений кредитных договоров]-$AA$23)/($AA$24-$AA$23)</f>
        <v>0</v>
      </c>
      <c r="W589" s="3">
        <f>Таблица1[[#This Row],[Годовой доход]]/12</f>
        <v>97337</v>
      </c>
      <c r="X589" s="3">
        <f>Таблица1[[#This Row],[Ежемесячный платеж]]/Таблица1[[#This Row],[Ежем доход]]</f>
        <v>0.36327542455592426</v>
      </c>
      <c r="Y589" s="3"/>
      <c r="Z589" s="3"/>
      <c r="AA589" s="3"/>
      <c r="AB589" s="3"/>
    </row>
    <row r="590" spans="1:28" x14ac:dyDescent="0.2">
      <c r="A590">
        <v>555</v>
      </c>
      <c r="B590" t="s">
        <v>596</v>
      </c>
      <c r="C590" t="s">
        <v>18</v>
      </c>
      <c r="D590" t="s">
        <v>19</v>
      </c>
      <c r="E590" t="s">
        <v>24</v>
      </c>
      <c r="F590" t="s">
        <v>21</v>
      </c>
      <c r="G590" t="s">
        <v>67</v>
      </c>
      <c r="H590" s="1">
        <v>111980</v>
      </c>
      <c r="I590" s="3">
        <v>722</v>
      </c>
      <c r="J590" s="3">
        <v>1160520</v>
      </c>
      <c r="K590" s="3">
        <v>28916.29</v>
      </c>
      <c r="L590" s="2">
        <v>22.5</v>
      </c>
      <c r="M590" s="11">
        <v>35.265240640000002</v>
      </c>
      <c r="N590" s="3">
        <v>9</v>
      </c>
      <c r="O590" s="3">
        <v>320131</v>
      </c>
      <c r="P590" s="3">
        <v>685168</v>
      </c>
      <c r="Q590" s="10">
        <v>0</v>
      </c>
      <c r="R590" s="3">
        <f>(Таблица1[Размер кредита]-$AA$2)/$AA$3</f>
        <v>-1.125074998029757</v>
      </c>
      <c r="S590" s="3">
        <f>(Таблица1[Кредитный рейтинг]-$AA$7)/($AA$8-$AA$7)</f>
        <v>0.96138482023968042</v>
      </c>
      <c r="T590" s="3">
        <f>(Таблица1[Срок с последнего нарушения кредитного договора (мес,)]-$AA$12)/($AA$13-$AA$12)</f>
        <v>0.40074137090909095</v>
      </c>
      <c r="U590" s="3">
        <f>(Таблица1[Количество кредитных карт]-$AA$18)/($AA$19-$AA$18)</f>
        <v>0.19047619047619047</v>
      </c>
      <c r="V590" s="3">
        <f>(Таблица1[Число нарушений кредитных договоров]-$AA$23)/($AA$24-$AA$23)</f>
        <v>0</v>
      </c>
      <c r="W590" s="3">
        <f>Таблица1[[#This Row],[Годовой доход]]/12</f>
        <v>96710</v>
      </c>
      <c r="X590" s="3">
        <f>Таблица1[[#This Row],[Ежемесячный платеж]]/Таблица1[[#This Row],[Ежем доход]]</f>
        <v>0.29899999999999999</v>
      </c>
      <c r="Y590" s="3"/>
      <c r="Z590" s="3"/>
      <c r="AA590" s="3"/>
      <c r="AB590" s="3"/>
    </row>
    <row r="591" spans="1:28" x14ac:dyDescent="0.2">
      <c r="A591">
        <v>1731</v>
      </c>
      <c r="B591" t="s">
        <v>1769</v>
      </c>
      <c r="C591" t="s">
        <v>18</v>
      </c>
      <c r="D591" t="s">
        <v>29</v>
      </c>
      <c r="E591" t="s">
        <v>63</v>
      </c>
      <c r="F591" t="s">
        <v>33</v>
      </c>
      <c r="G591" t="s">
        <v>25</v>
      </c>
      <c r="H591" s="1">
        <v>369754</v>
      </c>
      <c r="I591" s="3">
        <v>683</v>
      </c>
      <c r="J591" s="3">
        <v>1257971</v>
      </c>
      <c r="K591" s="3">
        <v>28304.3</v>
      </c>
      <c r="L591" s="2">
        <v>18.8</v>
      </c>
      <c r="M591" s="11">
        <v>35.265240640000002</v>
      </c>
      <c r="N591" s="3">
        <v>25</v>
      </c>
      <c r="O591" s="3">
        <v>43206</v>
      </c>
      <c r="P591" s="3">
        <v>685168</v>
      </c>
      <c r="Q591" s="10">
        <v>1</v>
      </c>
      <c r="R591" s="3">
        <f>(Таблица1[Размер кредита]-$AA$2)/$AA$3</f>
        <v>0.34250479343890061</v>
      </c>
      <c r="S591" s="3">
        <f>(Таблица1[Кредитный рейтинг]-$AA$7)/($AA$8-$AA$7)</f>
        <v>0.9094540612516645</v>
      </c>
      <c r="T591" s="3">
        <f>(Таблица1[Срок с последнего нарушения кредитного договора (мес,)]-$AA$12)/($AA$13-$AA$12)</f>
        <v>0.40074137090909095</v>
      </c>
      <c r="U591" s="3">
        <f>(Таблица1[Количество кредитных карт]-$AA$18)/($AA$19-$AA$18)</f>
        <v>0.5714285714285714</v>
      </c>
      <c r="V591" s="3">
        <f>(Таблица1[Число нарушений кредитных договоров]-$AA$23)/($AA$24-$AA$23)</f>
        <v>0.14285714285714285</v>
      </c>
      <c r="W591" s="3">
        <f>Таблица1[[#This Row],[Годовой доход]]/12</f>
        <v>104830.91666666667</v>
      </c>
      <c r="X591" s="3">
        <f>Таблица1[[#This Row],[Ежемесячный платеж]]/Таблица1[[#This Row],[Ежем доход]]</f>
        <v>0.2699995468893957</v>
      </c>
      <c r="Y591" s="3"/>
      <c r="Z591" s="3"/>
      <c r="AA591" s="3"/>
      <c r="AB591" s="3"/>
    </row>
    <row r="592" spans="1:28" x14ac:dyDescent="0.2">
      <c r="A592">
        <v>812</v>
      </c>
      <c r="B592" t="s">
        <v>853</v>
      </c>
      <c r="C592" t="s">
        <v>18</v>
      </c>
      <c r="D592" t="s">
        <v>19</v>
      </c>
      <c r="E592" t="s">
        <v>24</v>
      </c>
      <c r="F592" t="s">
        <v>27</v>
      </c>
      <c r="G592" t="s">
        <v>25</v>
      </c>
      <c r="H592" s="1">
        <v>222530</v>
      </c>
      <c r="I592" s="3">
        <v>690</v>
      </c>
      <c r="J592" s="3">
        <v>595783</v>
      </c>
      <c r="K592" s="3">
        <v>17327.05</v>
      </c>
      <c r="L592" s="2">
        <v>19.5</v>
      </c>
      <c r="M592" s="11">
        <v>35.265240640000002</v>
      </c>
      <c r="N592" s="3">
        <v>9</v>
      </c>
      <c r="O592" s="3">
        <v>385757</v>
      </c>
      <c r="P592" s="3">
        <v>685058</v>
      </c>
      <c r="Q592" s="10">
        <v>0</v>
      </c>
      <c r="R592" s="3">
        <f>(Таблица1[Размер кредита]-$AA$2)/$AA$3</f>
        <v>-0.4956827942122265</v>
      </c>
      <c r="S592" s="3">
        <f>(Таблица1[Кредитный рейтинг]-$AA$7)/($AA$8-$AA$7)</f>
        <v>0.91877496671105197</v>
      </c>
      <c r="T592" s="3">
        <f>(Таблица1[Срок с последнего нарушения кредитного договора (мес,)]-$AA$12)/($AA$13-$AA$12)</f>
        <v>0.40074137090909095</v>
      </c>
      <c r="U592" s="3">
        <f>(Таблица1[Количество кредитных карт]-$AA$18)/($AA$19-$AA$18)</f>
        <v>0.19047619047619047</v>
      </c>
      <c r="V592" s="3">
        <f>(Таблица1[Число нарушений кредитных договоров]-$AA$23)/($AA$24-$AA$23)</f>
        <v>0</v>
      </c>
      <c r="W592" s="3">
        <f>Таблица1[[#This Row],[Годовой доход]]/12</f>
        <v>49648.583333333336</v>
      </c>
      <c r="X592" s="3">
        <f>Таблица1[[#This Row],[Ежемесячный платеж]]/Таблица1[[#This Row],[Ежем доход]]</f>
        <v>0.34899384507446501</v>
      </c>
      <c r="Y592" s="3"/>
      <c r="Z592" s="3"/>
      <c r="AA592" s="3"/>
      <c r="AB592" s="3"/>
    </row>
    <row r="593" spans="1:28" x14ac:dyDescent="0.2">
      <c r="A593">
        <v>1627</v>
      </c>
      <c r="B593" t="s">
        <v>1666</v>
      </c>
      <c r="C593" t="s">
        <v>18</v>
      </c>
      <c r="D593" t="s">
        <v>19</v>
      </c>
      <c r="E593" t="s">
        <v>52</v>
      </c>
      <c r="F593" t="s">
        <v>33</v>
      </c>
      <c r="G593" t="s">
        <v>25</v>
      </c>
      <c r="H593" s="1">
        <v>304678</v>
      </c>
      <c r="I593" s="3">
        <v>0</v>
      </c>
      <c r="J593" s="3">
        <v>1168044</v>
      </c>
      <c r="K593" s="3">
        <v>28972.34</v>
      </c>
      <c r="L593" s="2">
        <v>18.5</v>
      </c>
      <c r="M593" s="11">
        <v>3</v>
      </c>
      <c r="N593" s="3">
        <v>15</v>
      </c>
      <c r="O593" s="3">
        <v>239020</v>
      </c>
      <c r="P593" s="3">
        <v>685014</v>
      </c>
      <c r="Q593" s="10">
        <v>0</v>
      </c>
      <c r="R593" s="3">
        <f>(Таблица1[Размер кредита]-$AA$2)/$AA$3</f>
        <v>-2.799115459935908E-2</v>
      </c>
      <c r="S593" s="3">
        <f>(Таблица1[Кредитный рейтинг]-$AA$7)/($AA$8-$AA$7)</f>
        <v>0</v>
      </c>
      <c r="T593" s="3">
        <f>(Таблица1[Срок с последнего нарушения кредитного договора (мес,)]-$AA$12)/($AA$13-$AA$12)</f>
        <v>3.4090909090909088E-2</v>
      </c>
      <c r="U593" s="3">
        <f>(Таблица1[Количество кредитных карт]-$AA$18)/($AA$19-$AA$18)</f>
        <v>0.33333333333333331</v>
      </c>
      <c r="V593" s="3">
        <f>(Таблица1[Число нарушений кредитных договоров]-$AA$23)/($AA$24-$AA$23)</f>
        <v>0</v>
      </c>
      <c r="W593" s="3">
        <f>Таблица1[[#This Row],[Годовой доход]]/12</f>
        <v>97337</v>
      </c>
      <c r="X593" s="3">
        <f>Таблица1[[#This Row],[Ежемесячный платеж]]/Таблица1[[#This Row],[Ежем доход]]</f>
        <v>0.29764981456178019</v>
      </c>
      <c r="Y593" s="3"/>
      <c r="Z593" s="3"/>
      <c r="AA593" s="3"/>
      <c r="AB593" s="3"/>
    </row>
    <row r="594" spans="1:28" x14ac:dyDescent="0.2">
      <c r="A594">
        <v>273</v>
      </c>
      <c r="B594" t="s">
        <v>315</v>
      </c>
      <c r="C594" t="s">
        <v>18</v>
      </c>
      <c r="D594" t="s">
        <v>19</v>
      </c>
      <c r="E594" t="s">
        <v>30</v>
      </c>
      <c r="F594" t="s">
        <v>33</v>
      </c>
      <c r="G594" t="s">
        <v>25</v>
      </c>
      <c r="H594" s="1">
        <v>562760</v>
      </c>
      <c r="I594" s="3">
        <v>738</v>
      </c>
      <c r="J594" s="3">
        <v>1263652</v>
      </c>
      <c r="K594" s="3">
        <v>12426</v>
      </c>
      <c r="L594" s="2">
        <v>13.1</v>
      </c>
      <c r="M594" s="11">
        <v>35.265240640000002</v>
      </c>
      <c r="N594" s="3">
        <v>8</v>
      </c>
      <c r="O594" s="3">
        <v>478021</v>
      </c>
      <c r="P594" s="3">
        <v>684178</v>
      </c>
      <c r="Q594" s="10">
        <v>0</v>
      </c>
      <c r="R594" s="3">
        <f>(Таблица1[Размер кредита]-$AA$2)/$AA$3</f>
        <v>1.4413421673873972</v>
      </c>
      <c r="S594" s="3">
        <f>(Таблица1[Кредитный рейтинг]-$AA$7)/($AA$8-$AA$7)</f>
        <v>0.9826897470039947</v>
      </c>
      <c r="T594" s="3">
        <f>(Таблица1[Срок с последнего нарушения кредитного договора (мес,)]-$AA$12)/($AA$13-$AA$12)</f>
        <v>0.40074137090909095</v>
      </c>
      <c r="U594" s="3">
        <f>(Таблица1[Количество кредитных карт]-$AA$18)/($AA$19-$AA$18)</f>
        <v>0.16666666666666666</v>
      </c>
      <c r="V594" s="3">
        <f>(Таблица1[Число нарушений кредитных договоров]-$AA$23)/($AA$24-$AA$23)</f>
        <v>0</v>
      </c>
      <c r="W594" s="3">
        <f>Таблица1[[#This Row],[Годовой доход]]/12</f>
        <v>105304.33333333333</v>
      </c>
      <c r="X594" s="3">
        <f>Таблица1[[#This Row],[Ежемесячный платеж]]/Таблица1[[#This Row],[Ежем доход]]</f>
        <v>0.11800084200396946</v>
      </c>
      <c r="Y594" s="3"/>
      <c r="Z594" s="3"/>
      <c r="AA594" s="3"/>
      <c r="AB594" s="3"/>
    </row>
    <row r="595" spans="1:28" x14ac:dyDescent="0.2">
      <c r="A595">
        <v>210</v>
      </c>
      <c r="B595" t="s">
        <v>252</v>
      </c>
      <c r="C595" t="s">
        <v>18</v>
      </c>
      <c r="D595" t="s">
        <v>29</v>
      </c>
      <c r="E595" t="s">
        <v>32</v>
      </c>
      <c r="F595" t="s">
        <v>21</v>
      </c>
      <c r="G595" t="s">
        <v>25</v>
      </c>
      <c r="H595" s="1">
        <v>329120</v>
      </c>
      <c r="I595" s="3">
        <v>715</v>
      </c>
      <c r="J595" s="3">
        <v>1515896</v>
      </c>
      <c r="K595" s="3">
        <v>21601.48</v>
      </c>
      <c r="L595" s="2">
        <v>13</v>
      </c>
      <c r="M595" s="11">
        <v>35.265240640000002</v>
      </c>
      <c r="N595" s="3">
        <v>19</v>
      </c>
      <c r="O595" s="3">
        <v>332576</v>
      </c>
      <c r="P595" s="3">
        <v>683980</v>
      </c>
      <c r="Q595" s="10">
        <v>0</v>
      </c>
      <c r="R595" s="3">
        <f>(Таблица1[Размер кредита]-$AA$2)/$AA$3</f>
        <v>0.11116401722975064</v>
      </c>
      <c r="S595" s="3">
        <f>(Таблица1[Кредитный рейтинг]-$AA$7)/($AA$8-$AA$7)</f>
        <v>0.95206391478029295</v>
      </c>
      <c r="T595" s="3">
        <f>(Таблица1[Срок с последнего нарушения кредитного договора (мес,)]-$AA$12)/($AA$13-$AA$12)</f>
        <v>0.40074137090909095</v>
      </c>
      <c r="U595" s="3">
        <f>(Таблица1[Количество кредитных карт]-$AA$18)/($AA$19-$AA$18)</f>
        <v>0.42857142857142855</v>
      </c>
      <c r="V595" s="3">
        <f>(Таблица1[Число нарушений кредитных договоров]-$AA$23)/($AA$24-$AA$23)</f>
        <v>0</v>
      </c>
      <c r="W595" s="3">
        <f>Таблица1[[#This Row],[Годовой доход]]/12</f>
        <v>126324.66666666667</v>
      </c>
      <c r="X595" s="3">
        <f>Таблица1[[#This Row],[Ежемесячный платеж]]/Таблица1[[#This Row],[Ежем доход]]</f>
        <v>0.17099969918780708</v>
      </c>
      <c r="Y595" s="3"/>
      <c r="Z595" s="3"/>
      <c r="AA595" s="3"/>
      <c r="AB595" s="3"/>
    </row>
    <row r="596" spans="1:28" x14ac:dyDescent="0.2">
      <c r="A596">
        <v>787</v>
      </c>
      <c r="B596" t="s">
        <v>828</v>
      </c>
      <c r="C596" t="s">
        <v>35</v>
      </c>
      <c r="D596" t="s">
        <v>29</v>
      </c>
      <c r="E596" t="s">
        <v>63</v>
      </c>
      <c r="F596" t="s">
        <v>33</v>
      </c>
      <c r="G596" t="s">
        <v>25</v>
      </c>
      <c r="H596" s="1">
        <v>261448</v>
      </c>
      <c r="I596" s="3">
        <v>719</v>
      </c>
      <c r="J596" s="3">
        <v>940785</v>
      </c>
      <c r="K596" s="3">
        <v>11681.39</v>
      </c>
      <c r="L596" s="2">
        <v>13.3</v>
      </c>
      <c r="M596" s="11">
        <v>20</v>
      </c>
      <c r="N596" s="3">
        <v>15</v>
      </c>
      <c r="O596" s="3">
        <v>237937</v>
      </c>
      <c r="P596" s="3">
        <v>683672</v>
      </c>
      <c r="Q596" s="10">
        <v>0</v>
      </c>
      <c r="R596" s="3">
        <f>(Таблица1[Размер кредита]-$AA$2)/$AA$3</f>
        <v>-0.27411168803248293</v>
      </c>
      <c r="S596" s="3">
        <f>(Таблица1[Кредитный рейтинг]-$AA$7)/($AA$8-$AA$7)</f>
        <v>0.95739014647137155</v>
      </c>
      <c r="T596" s="3">
        <f>(Таблица1[Срок с последнего нарушения кредитного договора (мес,)]-$AA$12)/($AA$13-$AA$12)</f>
        <v>0.22727272727272727</v>
      </c>
      <c r="U596" s="3">
        <f>(Таблица1[Количество кредитных карт]-$AA$18)/($AA$19-$AA$18)</f>
        <v>0.33333333333333331</v>
      </c>
      <c r="V596" s="3">
        <f>(Таблица1[Число нарушений кредитных договоров]-$AA$23)/($AA$24-$AA$23)</f>
        <v>0</v>
      </c>
      <c r="W596" s="3">
        <f>Таблица1[[#This Row],[Годовой доход]]/12</f>
        <v>78398.75</v>
      </c>
      <c r="X596" s="3">
        <f>Таблица1[[#This Row],[Ежемесячный платеж]]/Таблица1[[#This Row],[Ежем доход]]</f>
        <v>0.14899969706149652</v>
      </c>
      <c r="Y596" s="3"/>
      <c r="Z596" s="3"/>
      <c r="AA596" s="3"/>
      <c r="AB596" s="3"/>
    </row>
    <row r="597" spans="1:28" x14ac:dyDescent="0.2">
      <c r="A597">
        <v>1529</v>
      </c>
      <c r="B597" t="s">
        <v>1568</v>
      </c>
      <c r="C597" t="s">
        <v>18</v>
      </c>
      <c r="D597" t="s">
        <v>19</v>
      </c>
      <c r="E597" t="s">
        <v>37</v>
      </c>
      <c r="F597" t="s">
        <v>33</v>
      </c>
      <c r="G597" t="s">
        <v>25</v>
      </c>
      <c r="H597" s="1">
        <v>309594.52439999999</v>
      </c>
      <c r="I597" s="3">
        <v>706</v>
      </c>
      <c r="J597" s="3">
        <v>983744</v>
      </c>
      <c r="K597" s="3">
        <v>14977.51</v>
      </c>
      <c r="L597" s="2">
        <v>17.8</v>
      </c>
      <c r="M597" s="11">
        <v>35.265240640000002</v>
      </c>
      <c r="N597" s="3">
        <v>7</v>
      </c>
      <c r="O597" s="3">
        <v>423852</v>
      </c>
      <c r="P597" s="3">
        <v>683518</v>
      </c>
      <c r="Q597" s="10">
        <v>0</v>
      </c>
      <c r="R597" s="3">
        <f>(Таблица1[Размер кредита]-$AA$2)/$AA$3</f>
        <v>-1.2411115481956205E-10</v>
      </c>
      <c r="S597" s="3">
        <f>(Таблица1[Кредитный рейтинг]-$AA$7)/($AA$8-$AA$7)</f>
        <v>0.94007989347536614</v>
      </c>
      <c r="T597" s="3">
        <f>(Таблица1[Срок с последнего нарушения кредитного договора (мес,)]-$AA$12)/($AA$13-$AA$12)</f>
        <v>0.40074137090909095</v>
      </c>
      <c r="U597" s="3">
        <f>(Таблица1[Количество кредитных карт]-$AA$18)/($AA$19-$AA$18)</f>
        <v>0.14285714285714285</v>
      </c>
      <c r="V597" s="3">
        <f>(Таблица1[Число нарушений кредитных договоров]-$AA$23)/($AA$24-$AA$23)</f>
        <v>0</v>
      </c>
      <c r="W597" s="3">
        <f>Таблица1[[#This Row],[Годовой доход]]/12</f>
        <v>81978.666666666672</v>
      </c>
      <c r="X597" s="3">
        <f>Таблица1[[#This Row],[Ежемесячный платеж]]/Таблица1[[#This Row],[Ежем доход]]</f>
        <v>0.18270009270704574</v>
      </c>
      <c r="Y597" s="3"/>
      <c r="Z597" s="3"/>
      <c r="AA597" s="3"/>
      <c r="AB597" s="3"/>
    </row>
    <row r="598" spans="1:28" x14ac:dyDescent="0.2">
      <c r="A598">
        <v>1524</v>
      </c>
      <c r="B598" t="s">
        <v>1563</v>
      </c>
      <c r="C598" t="s">
        <v>18</v>
      </c>
      <c r="D598" t="s">
        <v>29</v>
      </c>
      <c r="E598" t="s">
        <v>69</v>
      </c>
      <c r="F598" t="s">
        <v>21</v>
      </c>
      <c r="G598" t="s">
        <v>25</v>
      </c>
      <c r="H598" s="1">
        <v>568392</v>
      </c>
      <c r="I598" s="3">
        <v>712</v>
      </c>
      <c r="J598" s="3">
        <v>1906916</v>
      </c>
      <c r="K598" s="3">
        <v>34006.58</v>
      </c>
      <c r="L598" s="2">
        <v>18.100000000000001</v>
      </c>
      <c r="M598" s="11">
        <v>35.265240640000002</v>
      </c>
      <c r="N598" s="3">
        <v>19</v>
      </c>
      <c r="O598" s="3">
        <v>474430</v>
      </c>
      <c r="P598" s="3">
        <v>682396</v>
      </c>
      <c r="Q598" s="10">
        <v>0</v>
      </c>
      <c r="R598" s="3">
        <f>(Таблица1[Размер кредита]-$AA$2)/$AA$3</f>
        <v>1.4734067254326284</v>
      </c>
      <c r="S598" s="3">
        <f>(Таблица1[Кредитный рейтинг]-$AA$7)/($AA$8-$AA$7)</f>
        <v>0.94806924101198398</v>
      </c>
      <c r="T598" s="3">
        <f>(Таблица1[Срок с последнего нарушения кредитного договора (мес,)]-$AA$12)/($AA$13-$AA$12)</f>
        <v>0.40074137090909095</v>
      </c>
      <c r="U598" s="3">
        <f>(Таблица1[Количество кредитных карт]-$AA$18)/($AA$19-$AA$18)</f>
        <v>0.42857142857142855</v>
      </c>
      <c r="V598" s="3">
        <f>(Таблица1[Число нарушений кредитных договоров]-$AA$23)/($AA$24-$AA$23)</f>
        <v>0</v>
      </c>
      <c r="W598" s="3">
        <f>Таблица1[[#This Row],[Годовой доход]]/12</f>
        <v>158909.66666666666</v>
      </c>
      <c r="X598" s="3">
        <f>Таблица1[[#This Row],[Ежемесячный платеж]]/Таблица1[[#This Row],[Ежем доход]]</f>
        <v>0.21399944203100715</v>
      </c>
      <c r="Y598" s="3"/>
      <c r="Z598" s="3"/>
      <c r="AA598" s="3"/>
      <c r="AB598" s="3"/>
    </row>
    <row r="599" spans="1:28" x14ac:dyDescent="0.2">
      <c r="A599">
        <v>1667</v>
      </c>
      <c r="B599" t="s">
        <v>1705</v>
      </c>
      <c r="C599" t="s">
        <v>35</v>
      </c>
      <c r="D599" t="s">
        <v>19</v>
      </c>
      <c r="E599" t="s">
        <v>24</v>
      </c>
      <c r="F599" t="s">
        <v>21</v>
      </c>
      <c r="G599" t="s">
        <v>25</v>
      </c>
      <c r="H599" s="1">
        <v>429220</v>
      </c>
      <c r="I599" s="3">
        <v>731</v>
      </c>
      <c r="J599" s="3">
        <v>1297415</v>
      </c>
      <c r="K599" s="3">
        <v>25515.86</v>
      </c>
      <c r="L599" s="2">
        <v>22.2</v>
      </c>
      <c r="M599" s="11">
        <v>35.265240640000002</v>
      </c>
      <c r="N599" s="3">
        <v>14</v>
      </c>
      <c r="O599" s="3">
        <v>444790</v>
      </c>
      <c r="P599" s="3">
        <v>682132</v>
      </c>
      <c r="Q599" s="10">
        <v>0</v>
      </c>
      <c r="R599" s="3">
        <f>(Таблица1[Размер кредита]-$AA$2)/$AA$3</f>
        <v>0.68106143561179311</v>
      </c>
      <c r="S599" s="3">
        <f>(Таблица1[Кредитный рейтинг]-$AA$7)/($AA$8-$AA$7)</f>
        <v>0.97336884154460723</v>
      </c>
      <c r="T599" s="3">
        <f>(Таблица1[Срок с последнего нарушения кредитного договора (мес,)]-$AA$12)/($AA$13-$AA$12)</f>
        <v>0.40074137090909095</v>
      </c>
      <c r="U599" s="3">
        <f>(Таблица1[Количество кредитных карт]-$AA$18)/($AA$19-$AA$18)</f>
        <v>0.30952380952380953</v>
      </c>
      <c r="V599" s="3">
        <f>(Таблица1[Число нарушений кредитных договоров]-$AA$23)/($AA$24-$AA$23)</f>
        <v>0</v>
      </c>
      <c r="W599" s="3">
        <f>Таблица1[[#This Row],[Годовой доход]]/12</f>
        <v>108117.91666666667</v>
      </c>
      <c r="X599" s="3">
        <f>Таблица1[[#This Row],[Ежемесячный платеж]]/Таблица1[[#This Row],[Ежем доход]]</f>
        <v>0.236000292890093</v>
      </c>
      <c r="Y599" s="3"/>
      <c r="Z599" s="3"/>
      <c r="AA599" s="3"/>
      <c r="AB599" s="3"/>
    </row>
    <row r="600" spans="1:28" x14ac:dyDescent="0.2">
      <c r="A600">
        <v>85</v>
      </c>
      <c r="B600" t="s">
        <v>127</v>
      </c>
      <c r="C600" t="s">
        <v>18</v>
      </c>
      <c r="D600" t="s">
        <v>19</v>
      </c>
      <c r="E600" t="s">
        <v>24</v>
      </c>
      <c r="F600" t="s">
        <v>33</v>
      </c>
      <c r="G600" t="s">
        <v>25</v>
      </c>
      <c r="H600" s="1">
        <v>262988</v>
      </c>
      <c r="I600" s="3">
        <v>743</v>
      </c>
      <c r="J600" s="3">
        <v>1340279</v>
      </c>
      <c r="K600" s="3">
        <v>9348.3799999999992</v>
      </c>
      <c r="L600" s="2">
        <v>28.2</v>
      </c>
      <c r="M600" s="11">
        <v>35</v>
      </c>
      <c r="N600" s="3">
        <v>9</v>
      </c>
      <c r="O600" s="3">
        <v>499548</v>
      </c>
      <c r="P600" s="3">
        <v>681296</v>
      </c>
      <c r="Q600" s="10">
        <v>0</v>
      </c>
      <c r="R600" s="3">
        <f>(Таблица1[Размер кредита]-$AA$2)/$AA$3</f>
        <v>-0.26534403544198998</v>
      </c>
      <c r="S600" s="3">
        <f>(Таблица1[Кредитный рейтинг]-$AA$7)/($AA$8-$AA$7)</f>
        <v>0.98934753661784292</v>
      </c>
      <c r="T600" s="3">
        <f>(Таблица1[Срок с последнего нарушения кредитного договора (мес,)]-$AA$12)/($AA$13-$AA$12)</f>
        <v>0.39772727272727271</v>
      </c>
      <c r="U600" s="3">
        <f>(Таблица1[Количество кредитных карт]-$AA$18)/($AA$19-$AA$18)</f>
        <v>0.19047619047619047</v>
      </c>
      <c r="V600" s="3">
        <f>(Таблица1[Число нарушений кредитных договоров]-$AA$23)/($AA$24-$AA$23)</f>
        <v>0</v>
      </c>
      <c r="W600" s="3">
        <f>Таблица1[[#This Row],[Годовой доход]]/12</f>
        <v>111689.91666666667</v>
      </c>
      <c r="X600" s="3">
        <f>Таблица1[[#This Row],[Ежемесячный платеж]]/Таблица1[[#This Row],[Ежем доход]]</f>
        <v>8.3699408854425075E-2</v>
      </c>
      <c r="Y600" s="3"/>
      <c r="Z600" s="3"/>
      <c r="AA600" s="3"/>
      <c r="AB600" s="3"/>
    </row>
    <row r="601" spans="1:28" x14ac:dyDescent="0.2">
      <c r="A601">
        <v>1319</v>
      </c>
      <c r="B601" t="s">
        <v>1358</v>
      </c>
      <c r="C601" t="s">
        <v>18</v>
      </c>
      <c r="D601" t="s">
        <v>19</v>
      </c>
      <c r="E601" t="s">
        <v>24</v>
      </c>
      <c r="F601" t="s">
        <v>33</v>
      </c>
      <c r="G601" t="s">
        <v>25</v>
      </c>
      <c r="H601" s="1">
        <v>522500</v>
      </c>
      <c r="I601" s="3">
        <v>0</v>
      </c>
      <c r="J601" s="3">
        <v>1168044</v>
      </c>
      <c r="K601" s="3">
        <v>24274.21</v>
      </c>
      <c r="L601" s="2">
        <v>16.399999999999999</v>
      </c>
      <c r="M601" s="11">
        <v>35.265240640000002</v>
      </c>
      <c r="N601" s="3">
        <v>11</v>
      </c>
      <c r="O601" s="3">
        <v>378670</v>
      </c>
      <c r="P601" s="3">
        <v>680834</v>
      </c>
      <c r="Q601" s="10">
        <v>0</v>
      </c>
      <c r="R601" s="3">
        <f>(Таблица1[Размер кредита]-$AA$2)/$AA$3</f>
        <v>1.2121306782359382</v>
      </c>
      <c r="S601" s="3">
        <f>(Таблица1[Кредитный рейтинг]-$AA$7)/($AA$8-$AA$7)</f>
        <v>0</v>
      </c>
      <c r="T601" s="3">
        <f>(Таблица1[Срок с последнего нарушения кредитного договора (мес,)]-$AA$12)/($AA$13-$AA$12)</f>
        <v>0.40074137090909095</v>
      </c>
      <c r="U601" s="3">
        <f>(Таблица1[Количество кредитных карт]-$AA$18)/($AA$19-$AA$18)</f>
        <v>0.23809523809523808</v>
      </c>
      <c r="V601" s="3">
        <f>(Таблица1[Число нарушений кредитных договоров]-$AA$23)/($AA$24-$AA$23)</f>
        <v>0</v>
      </c>
      <c r="W601" s="3">
        <f>Таблица1[[#This Row],[Годовой доход]]/12</f>
        <v>97337</v>
      </c>
      <c r="X601" s="3">
        <f>Таблица1[[#This Row],[Ежемесячный платеж]]/Таблица1[[#This Row],[Ежем доход]]</f>
        <v>0.24938317392153034</v>
      </c>
      <c r="Y601" s="3"/>
      <c r="Z601" s="3"/>
      <c r="AA601" s="3"/>
      <c r="AB601" s="3"/>
    </row>
    <row r="602" spans="1:28" x14ac:dyDescent="0.2">
      <c r="A602">
        <v>605</v>
      </c>
      <c r="B602" t="s">
        <v>646</v>
      </c>
      <c r="C602" t="s">
        <v>18</v>
      </c>
      <c r="D602" t="s">
        <v>29</v>
      </c>
      <c r="E602" t="s">
        <v>30</v>
      </c>
      <c r="F602" t="s">
        <v>21</v>
      </c>
      <c r="G602" t="s">
        <v>25</v>
      </c>
      <c r="H602" s="1">
        <v>553916</v>
      </c>
      <c r="I602" s="3">
        <v>594</v>
      </c>
      <c r="J602" s="3">
        <v>2009174</v>
      </c>
      <c r="K602" s="3">
        <v>29451.14</v>
      </c>
      <c r="L602" s="2">
        <v>27.8</v>
      </c>
      <c r="M602" s="11">
        <v>35.265240640000002</v>
      </c>
      <c r="N602" s="3">
        <v>10</v>
      </c>
      <c r="O602" s="3">
        <v>579443</v>
      </c>
      <c r="P602" s="3">
        <v>680460</v>
      </c>
      <c r="Q602" s="10">
        <v>0</v>
      </c>
      <c r="R602" s="3">
        <f>(Таблица1[Размер кредита]-$AA$2)/$AA$3</f>
        <v>1.3909907910819947</v>
      </c>
      <c r="S602" s="3">
        <f>(Таблица1[Кредитный рейтинг]-$AA$7)/($AA$8-$AA$7)</f>
        <v>0.79094540612516639</v>
      </c>
      <c r="T602" s="3">
        <f>(Таблица1[Срок с последнего нарушения кредитного договора (мес,)]-$AA$12)/($AA$13-$AA$12)</f>
        <v>0.40074137090909095</v>
      </c>
      <c r="U602" s="3">
        <f>(Таблица1[Количество кредитных карт]-$AA$18)/($AA$19-$AA$18)</f>
        <v>0.21428571428571427</v>
      </c>
      <c r="V602" s="3">
        <f>(Таблица1[Число нарушений кредитных договоров]-$AA$23)/($AA$24-$AA$23)</f>
        <v>0</v>
      </c>
      <c r="W602" s="3">
        <f>Таблица1[[#This Row],[Годовой доход]]/12</f>
        <v>167431.16666666666</v>
      </c>
      <c r="X602" s="3">
        <f>Таблица1[[#This Row],[Ежемесячный платеж]]/Таблица1[[#This Row],[Ежем доход]]</f>
        <v>0.17589998676072854</v>
      </c>
      <c r="Y602" s="3"/>
      <c r="Z602" s="3"/>
      <c r="AA602" s="3"/>
      <c r="AB602" s="3"/>
    </row>
    <row r="603" spans="1:28" x14ac:dyDescent="0.2">
      <c r="A603">
        <v>1757</v>
      </c>
      <c r="B603" t="s">
        <v>1795</v>
      </c>
      <c r="C603" t="s">
        <v>35</v>
      </c>
      <c r="D603" t="s">
        <v>19</v>
      </c>
      <c r="E603" t="s">
        <v>24</v>
      </c>
      <c r="F603" t="s">
        <v>33</v>
      </c>
      <c r="G603" t="s">
        <v>25</v>
      </c>
      <c r="H603" s="1">
        <v>151118</v>
      </c>
      <c r="I603" s="3">
        <v>738</v>
      </c>
      <c r="J603" s="3">
        <v>932235</v>
      </c>
      <c r="K603" s="3">
        <v>22140.51</v>
      </c>
      <c r="L603" s="2">
        <v>9.9</v>
      </c>
      <c r="M603" s="11">
        <v>6</v>
      </c>
      <c r="N603" s="3">
        <v>15</v>
      </c>
      <c r="O603" s="3">
        <v>14649</v>
      </c>
      <c r="P603" s="3">
        <v>678744</v>
      </c>
      <c r="Q603" s="10">
        <v>0</v>
      </c>
      <c r="R603" s="3">
        <f>(Таблица1[Размер кредита]-$AA$2)/$AA$3</f>
        <v>-0.90225137005137157</v>
      </c>
      <c r="S603" s="3">
        <f>(Таблица1[Кредитный рейтинг]-$AA$7)/($AA$8-$AA$7)</f>
        <v>0.9826897470039947</v>
      </c>
      <c r="T603" s="3">
        <f>(Таблица1[Срок с последнего нарушения кредитного договора (мес,)]-$AA$12)/($AA$13-$AA$12)</f>
        <v>6.8181818181818177E-2</v>
      </c>
      <c r="U603" s="3">
        <f>(Таблица1[Количество кредитных карт]-$AA$18)/($AA$19-$AA$18)</f>
        <v>0.33333333333333331</v>
      </c>
      <c r="V603" s="3">
        <f>(Таблица1[Число нарушений кредитных договоров]-$AA$23)/($AA$24-$AA$23)</f>
        <v>0</v>
      </c>
      <c r="W603" s="3">
        <f>Таблица1[[#This Row],[Годовой доход]]/12</f>
        <v>77686.25</v>
      </c>
      <c r="X603" s="3">
        <f>Таблица1[[#This Row],[Ежемесячный платеж]]/Таблица1[[#This Row],[Ежем доход]]</f>
        <v>0.28499908284928155</v>
      </c>
      <c r="Y603" s="3"/>
      <c r="Z603" s="3"/>
      <c r="AA603" s="3"/>
      <c r="AB603" s="3"/>
    </row>
    <row r="604" spans="1:28" x14ac:dyDescent="0.2">
      <c r="A604">
        <v>578</v>
      </c>
      <c r="B604" t="s">
        <v>619</v>
      </c>
      <c r="C604" t="s">
        <v>18</v>
      </c>
      <c r="D604" t="s">
        <v>19</v>
      </c>
      <c r="E604" t="s">
        <v>24</v>
      </c>
      <c r="F604" t="s">
        <v>21</v>
      </c>
      <c r="G604" t="s">
        <v>22</v>
      </c>
      <c r="H604" s="1">
        <v>762454</v>
      </c>
      <c r="I604" s="3">
        <v>695</v>
      </c>
      <c r="J604" s="3">
        <v>1467484</v>
      </c>
      <c r="K604" s="3">
        <v>10199.01</v>
      </c>
      <c r="L604" s="2">
        <v>17.399999999999999</v>
      </c>
      <c r="M604" s="11">
        <v>54</v>
      </c>
      <c r="N604" s="3">
        <v>6</v>
      </c>
      <c r="O604" s="3">
        <v>129884</v>
      </c>
      <c r="P604" s="3">
        <v>674454</v>
      </c>
      <c r="Q604" s="10">
        <v>0</v>
      </c>
      <c r="R604" s="3">
        <f>(Таблица1[Размер кредита]-$AA$2)/$AA$3</f>
        <v>2.5782562040146058</v>
      </c>
      <c r="S604" s="3">
        <f>(Таблица1[Кредитный рейтинг]-$AA$7)/($AA$8-$AA$7)</f>
        <v>0.92543275632490019</v>
      </c>
      <c r="T604" s="3">
        <f>(Таблица1[Срок с последнего нарушения кредитного договора (мес,)]-$AA$12)/($AA$13-$AA$12)</f>
        <v>0.61363636363636365</v>
      </c>
      <c r="U604" s="3">
        <f>(Таблица1[Количество кредитных карт]-$AA$18)/($AA$19-$AA$18)</f>
        <v>0.11904761904761904</v>
      </c>
      <c r="V604" s="3">
        <f>(Таблица1[Число нарушений кредитных договоров]-$AA$23)/($AA$24-$AA$23)</f>
        <v>0</v>
      </c>
      <c r="W604" s="3">
        <f>Таблица1[[#This Row],[Годовой доход]]/12</f>
        <v>122290.33333333333</v>
      </c>
      <c r="X604" s="3">
        <f>Таблица1[[#This Row],[Ежемесячный платеж]]/Таблица1[[#This Row],[Ежем доход]]</f>
        <v>8.3399968926407386E-2</v>
      </c>
      <c r="Y604" s="3"/>
      <c r="Z604" s="3"/>
      <c r="AA604" s="3"/>
      <c r="AB604" s="3"/>
    </row>
    <row r="605" spans="1:28" x14ac:dyDescent="0.2">
      <c r="A605">
        <v>536</v>
      </c>
      <c r="B605" t="s">
        <v>577</v>
      </c>
      <c r="C605" t="s">
        <v>35</v>
      </c>
      <c r="D605" t="s">
        <v>29</v>
      </c>
      <c r="E605" t="s">
        <v>41</v>
      </c>
      <c r="F605" t="s">
        <v>33</v>
      </c>
      <c r="G605" t="s">
        <v>98</v>
      </c>
      <c r="H605" s="1">
        <v>108130</v>
      </c>
      <c r="I605" s="3">
        <v>730</v>
      </c>
      <c r="J605" s="3">
        <v>672372</v>
      </c>
      <c r="K605" s="3">
        <v>7883.48</v>
      </c>
      <c r="L605" s="2">
        <v>13.4</v>
      </c>
      <c r="M605" s="11">
        <v>53</v>
      </c>
      <c r="N605" s="3">
        <v>6</v>
      </c>
      <c r="O605" s="3">
        <v>216068</v>
      </c>
      <c r="P605" s="3">
        <v>674366</v>
      </c>
      <c r="Q605" s="10">
        <v>0</v>
      </c>
      <c r="R605" s="3">
        <f>(Таблица1[Размер кредита]-$AA$2)/$AA$3</f>
        <v>-1.1469941295059893</v>
      </c>
      <c r="S605" s="3">
        <f>(Таблица1[Кредитный рейтинг]-$AA$7)/($AA$8-$AA$7)</f>
        <v>0.9720372836218375</v>
      </c>
      <c r="T605" s="3">
        <f>(Таблица1[Срок с последнего нарушения кредитного договора (мес,)]-$AA$12)/($AA$13-$AA$12)</f>
        <v>0.60227272727272729</v>
      </c>
      <c r="U605" s="3">
        <f>(Таблица1[Количество кредитных карт]-$AA$18)/($AA$19-$AA$18)</f>
        <v>0.11904761904761904</v>
      </c>
      <c r="V605" s="3">
        <f>(Таблица1[Число нарушений кредитных договоров]-$AA$23)/($AA$24-$AA$23)</f>
        <v>0</v>
      </c>
      <c r="W605" s="3">
        <f>Таблица1[[#This Row],[Годовой доход]]/12</f>
        <v>56031</v>
      </c>
      <c r="X605" s="3">
        <f>Таблица1[[#This Row],[Ежемесячный платеж]]/Таблица1[[#This Row],[Ежем доход]]</f>
        <v>0.1406985418786029</v>
      </c>
      <c r="Y605" s="3"/>
      <c r="Z605" s="3"/>
      <c r="AA605" s="3"/>
      <c r="AB605" s="3"/>
    </row>
    <row r="606" spans="1:28" x14ac:dyDescent="0.2">
      <c r="A606">
        <v>701</v>
      </c>
      <c r="B606" t="s">
        <v>742</v>
      </c>
      <c r="C606" t="s">
        <v>35</v>
      </c>
      <c r="D606" t="s">
        <v>19</v>
      </c>
      <c r="E606" t="s">
        <v>52</v>
      </c>
      <c r="F606" t="s">
        <v>33</v>
      </c>
      <c r="G606" t="s">
        <v>70</v>
      </c>
      <c r="H606" s="1">
        <v>271700</v>
      </c>
      <c r="I606" s="3">
        <v>696</v>
      </c>
      <c r="J606" s="3">
        <v>675298</v>
      </c>
      <c r="K606" s="3">
        <v>14293.89</v>
      </c>
      <c r="L606" s="2">
        <v>24.5</v>
      </c>
      <c r="M606" s="11">
        <v>57</v>
      </c>
      <c r="N606" s="3">
        <v>14</v>
      </c>
      <c r="O606" s="3">
        <v>272916</v>
      </c>
      <c r="P606" s="3">
        <v>673772</v>
      </c>
      <c r="Q606" s="10">
        <v>0</v>
      </c>
      <c r="R606" s="3">
        <f>(Таблица1[Размер кредита]-$AA$2)/$AA$3</f>
        <v>-0.21574417221577263</v>
      </c>
      <c r="S606" s="3">
        <f>(Таблица1[Кредитный рейтинг]-$AA$7)/($AA$8-$AA$7)</f>
        <v>0.92676431424766981</v>
      </c>
      <c r="T606" s="3">
        <f>(Таблица1[Срок с последнего нарушения кредитного договора (мес,)]-$AA$12)/($AA$13-$AA$12)</f>
        <v>0.64772727272727271</v>
      </c>
      <c r="U606" s="3">
        <f>(Таблица1[Количество кредитных карт]-$AA$18)/($AA$19-$AA$18)</f>
        <v>0.30952380952380953</v>
      </c>
      <c r="V606" s="3">
        <f>(Таблица1[Число нарушений кредитных договоров]-$AA$23)/($AA$24-$AA$23)</f>
        <v>0</v>
      </c>
      <c r="W606" s="3">
        <f>Таблица1[[#This Row],[Годовой доход]]/12</f>
        <v>56274.833333333336</v>
      </c>
      <c r="X606" s="3">
        <f>Таблица1[[#This Row],[Ежемесячный платеж]]/Таблица1[[#This Row],[Ежем доход]]</f>
        <v>0.25400146305779076</v>
      </c>
      <c r="Y606" s="3"/>
      <c r="Z606" s="3"/>
      <c r="AA606" s="3"/>
      <c r="AB606" s="3"/>
    </row>
    <row r="607" spans="1:28" x14ac:dyDescent="0.2">
      <c r="A607">
        <v>562</v>
      </c>
      <c r="B607" t="s">
        <v>603</v>
      </c>
      <c r="C607" t="s">
        <v>18</v>
      </c>
      <c r="D607" t="s">
        <v>19</v>
      </c>
      <c r="E607" t="s">
        <v>69</v>
      </c>
      <c r="F607" t="s">
        <v>21</v>
      </c>
      <c r="G607" t="s">
        <v>25</v>
      </c>
      <c r="H607" s="1">
        <v>266926</v>
      </c>
      <c r="I607" s="3">
        <v>749</v>
      </c>
      <c r="J607" s="3">
        <v>922127</v>
      </c>
      <c r="K607" s="3">
        <v>10066.58</v>
      </c>
      <c r="L607" s="2">
        <v>38.299999999999997</v>
      </c>
      <c r="M607" s="11">
        <v>70</v>
      </c>
      <c r="N607" s="3">
        <v>17</v>
      </c>
      <c r="O607" s="3">
        <v>234346</v>
      </c>
      <c r="P607" s="3">
        <v>673332</v>
      </c>
      <c r="Q607" s="10">
        <v>0</v>
      </c>
      <c r="R607" s="3">
        <f>(Таблица1[Размер кредита]-$AA$2)/$AA$3</f>
        <v>-0.24292389524630081</v>
      </c>
      <c r="S607" s="3">
        <f>(Таблица1[Кредитный рейтинг]-$AA$7)/($AA$8-$AA$7)</f>
        <v>0.99733688415446076</v>
      </c>
      <c r="T607" s="3">
        <f>(Таблица1[Срок с последнего нарушения кредитного договора (мес,)]-$AA$12)/($AA$13-$AA$12)</f>
        <v>0.79545454545454541</v>
      </c>
      <c r="U607" s="3">
        <f>(Таблица1[Количество кредитных карт]-$AA$18)/($AA$19-$AA$18)</f>
        <v>0.38095238095238093</v>
      </c>
      <c r="V607" s="3">
        <f>(Таблица1[Число нарушений кредитных договоров]-$AA$23)/($AA$24-$AA$23)</f>
        <v>0</v>
      </c>
      <c r="W607" s="3">
        <f>Таблица1[[#This Row],[Годовой доход]]/12</f>
        <v>76843.916666666672</v>
      </c>
      <c r="X607" s="3">
        <f>Таблица1[[#This Row],[Ежемесячный платеж]]/Таблица1[[#This Row],[Ежем доход]]</f>
        <v>0.13100035027713103</v>
      </c>
      <c r="Y607" s="3"/>
      <c r="Z607" s="3"/>
      <c r="AA607" s="3"/>
      <c r="AB607" s="3"/>
    </row>
    <row r="608" spans="1:28" x14ac:dyDescent="0.2">
      <c r="A608">
        <v>1091</v>
      </c>
      <c r="B608" t="s">
        <v>1130</v>
      </c>
      <c r="C608" t="s">
        <v>18</v>
      </c>
      <c r="D608" t="s">
        <v>19</v>
      </c>
      <c r="E608" t="s">
        <v>24</v>
      </c>
      <c r="F608" t="s">
        <v>21</v>
      </c>
      <c r="G608" t="s">
        <v>25</v>
      </c>
      <c r="H608" s="1">
        <v>564498</v>
      </c>
      <c r="I608" s="3">
        <v>742</v>
      </c>
      <c r="J608" s="3">
        <v>1875110</v>
      </c>
      <c r="K608" s="3">
        <v>20001.3</v>
      </c>
      <c r="L608" s="2">
        <v>32.700000000000003</v>
      </c>
      <c r="M608" s="11">
        <v>75</v>
      </c>
      <c r="N608" s="3">
        <v>20</v>
      </c>
      <c r="O608" s="3">
        <v>434131</v>
      </c>
      <c r="P608" s="3">
        <v>672914</v>
      </c>
      <c r="Q608" s="10">
        <v>0</v>
      </c>
      <c r="R608" s="3">
        <f>(Таблица1[Размер кредита]-$AA$2)/$AA$3</f>
        <v>1.4512370895966678</v>
      </c>
      <c r="S608" s="3">
        <f>(Таблица1[Кредитный рейтинг]-$AA$7)/($AA$8-$AA$7)</f>
        <v>0.98801597869507318</v>
      </c>
      <c r="T608" s="3">
        <f>(Таблица1[Срок с последнего нарушения кредитного договора (мес,)]-$AA$12)/($AA$13-$AA$12)</f>
        <v>0.85227272727272729</v>
      </c>
      <c r="U608" s="3">
        <f>(Таблица1[Количество кредитных карт]-$AA$18)/($AA$19-$AA$18)</f>
        <v>0.45238095238095238</v>
      </c>
      <c r="V608" s="3">
        <f>(Таблица1[Число нарушений кредитных договоров]-$AA$23)/($AA$24-$AA$23)</f>
        <v>0</v>
      </c>
      <c r="W608" s="3">
        <f>Таблица1[[#This Row],[Годовой доход]]/12</f>
        <v>156259.16666666666</v>
      </c>
      <c r="X608" s="3">
        <f>Таблица1[[#This Row],[Ежемесячный платеж]]/Таблица1[[#This Row],[Ежем доход]]</f>
        <v>0.12800081061911034</v>
      </c>
      <c r="Y608" s="3"/>
      <c r="Z608" s="3"/>
      <c r="AA608" s="3"/>
      <c r="AB608" s="3"/>
    </row>
    <row r="609" spans="1:28" x14ac:dyDescent="0.2">
      <c r="A609">
        <v>1086</v>
      </c>
      <c r="B609" t="s">
        <v>1125</v>
      </c>
      <c r="C609" t="s">
        <v>35</v>
      </c>
      <c r="D609" t="s">
        <v>29</v>
      </c>
      <c r="E609" t="s">
        <v>32</v>
      </c>
      <c r="F609" t="s">
        <v>33</v>
      </c>
      <c r="G609" t="s">
        <v>25</v>
      </c>
      <c r="H609" s="1">
        <v>230318</v>
      </c>
      <c r="I609" s="3">
        <v>707</v>
      </c>
      <c r="J609" s="3">
        <v>1338778</v>
      </c>
      <c r="K609" s="3">
        <v>18631.400000000001</v>
      </c>
      <c r="L609" s="2">
        <v>10.199999999999999</v>
      </c>
      <c r="M609" s="11">
        <v>35.265240640000002</v>
      </c>
      <c r="N609" s="3">
        <v>14</v>
      </c>
      <c r="O609" s="3">
        <v>181013</v>
      </c>
      <c r="P609" s="3">
        <v>671814</v>
      </c>
      <c r="Q609" s="10">
        <v>1</v>
      </c>
      <c r="R609" s="3">
        <f>(Таблица1[Размер кредита]-$AA$2)/$AA$3</f>
        <v>-0.45134352254030496</v>
      </c>
      <c r="S609" s="3">
        <f>(Таблица1[Кредитный рейтинг]-$AA$7)/($AA$8-$AA$7)</f>
        <v>0.94141145139813587</v>
      </c>
      <c r="T609" s="3">
        <f>(Таблица1[Срок с последнего нарушения кредитного договора (мес,)]-$AA$12)/($AA$13-$AA$12)</f>
        <v>0.40074137090909095</v>
      </c>
      <c r="U609" s="3">
        <f>(Таблица1[Количество кредитных карт]-$AA$18)/($AA$19-$AA$18)</f>
        <v>0.30952380952380953</v>
      </c>
      <c r="V609" s="3">
        <f>(Таблица1[Число нарушений кредитных договоров]-$AA$23)/($AA$24-$AA$23)</f>
        <v>0.14285714285714285</v>
      </c>
      <c r="W609" s="3">
        <f>Таблица1[[#This Row],[Годовой доход]]/12</f>
        <v>111564.83333333333</v>
      </c>
      <c r="X609" s="3">
        <f>Таблица1[[#This Row],[Ежемесячный платеж]]/Таблица1[[#This Row],[Ежем доход]]</f>
        <v>0.16700065283415177</v>
      </c>
      <c r="Y609" s="3"/>
      <c r="Z609" s="3"/>
      <c r="AA609" s="3"/>
      <c r="AB609" s="3"/>
    </row>
    <row r="610" spans="1:28" x14ac:dyDescent="0.2">
      <c r="A610">
        <v>118</v>
      </c>
      <c r="B610" t="s">
        <v>160</v>
      </c>
      <c r="C610" t="s">
        <v>35</v>
      </c>
      <c r="D610" t="s">
        <v>19</v>
      </c>
      <c r="E610" t="s">
        <v>63</v>
      </c>
      <c r="F610" t="s">
        <v>21</v>
      </c>
      <c r="G610" t="s">
        <v>25</v>
      </c>
      <c r="H610" s="1">
        <v>86174</v>
      </c>
      <c r="I610" s="3">
        <v>721</v>
      </c>
      <c r="J610" s="3">
        <v>837311</v>
      </c>
      <c r="K610" s="3">
        <v>10884.91</v>
      </c>
      <c r="L610" s="2">
        <v>13.6</v>
      </c>
      <c r="M610" s="11">
        <v>82</v>
      </c>
      <c r="N610" s="3">
        <v>15</v>
      </c>
      <c r="O610" s="3">
        <v>360867</v>
      </c>
      <c r="P610" s="3">
        <v>671770</v>
      </c>
      <c r="Q610" s="10">
        <v>0</v>
      </c>
      <c r="R610" s="3">
        <f>(Таблица1[Размер кредита]-$AA$2)/$AA$3</f>
        <v>-1.2719958050104461</v>
      </c>
      <c r="S610" s="3">
        <f>(Таблица1[Кредитный рейтинг]-$AA$7)/($AA$8-$AA$7)</f>
        <v>0.96005326231691079</v>
      </c>
      <c r="T610" s="3">
        <f>(Таблица1[Срок с последнего нарушения кредитного договора (мес,)]-$AA$12)/($AA$13-$AA$12)</f>
        <v>0.93181818181818177</v>
      </c>
      <c r="U610" s="3">
        <f>(Таблица1[Количество кредитных карт]-$AA$18)/($AA$19-$AA$18)</f>
        <v>0.33333333333333331</v>
      </c>
      <c r="V610" s="3">
        <f>(Таблица1[Число нарушений кредитных договоров]-$AA$23)/($AA$24-$AA$23)</f>
        <v>0</v>
      </c>
      <c r="W610" s="3">
        <f>Таблица1[[#This Row],[Годовой доход]]/12</f>
        <v>69775.916666666672</v>
      </c>
      <c r="X610" s="3">
        <f>Таблица1[[#This Row],[Ежемесячный платеж]]/Таблица1[[#This Row],[Ежем доход]]</f>
        <v>0.15599809389820507</v>
      </c>
      <c r="Y610" s="3"/>
      <c r="Z610" s="3"/>
      <c r="AA610" s="3"/>
      <c r="AB610" s="3"/>
    </row>
    <row r="611" spans="1:28" x14ac:dyDescent="0.2">
      <c r="A611">
        <v>319</v>
      </c>
      <c r="B611" t="s">
        <v>361</v>
      </c>
      <c r="C611" t="s">
        <v>35</v>
      </c>
      <c r="D611" t="s">
        <v>19</v>
      </c>
      <c r="E611" t="s">
        <v>24</v>
      </c>
      <c r="F611" t="s">
        <v>33</v>
      </c>
      <c r="G611" t="s">
        <v>25</v>
      </c>
      <c r="H611" s="1">
        <v>107712</v>
      </c>
      <c r="I611" s="3">
        <v>744</v>
      </c>
      <c r="J611" s="3">
        <v>576688</v>
      </c>
      <c r="K611" s="3">
        <v>7256.67</v>
      </c>
      <c r="L611" s="2">
        <v>13.5</v>
      </c>
      <c r="M611" s="11">
        <v>35.265240640000002</v>
      </c>
      <c r="N611" s="3">
        <v>15</v>
      </c>
      <c r="O611" s="3">
        <v>263321</v>
      </c>
      <c r="P611" s="3">
        <v>671572</v>
      </c>
      <c r="Q611" s="10">
        <v>0</v>
      </c>
      <c r="R611" s="3">
        <f>(Таблица1[Размер кредита]-$AA$2)/$AA$3</f>
        <v>-1.1493739209234088</v>
      </c>
      <c r="S611" s="3">
        <f>(Таблица1[Кредитный рейтинг]-$AA$7)/($AA$8-$AA$7)</f>
        <v>0.99067909454061254</v>
      </c>
      <c r="T611" s="3">
        <f>(Таблица1[Срок с последнего нарушения кредитного договора (мес,)]-$AA$12)/($AA$13-$AA$12)</f>
        <v>0.40074137090909095</v>
      </c>
      <c r="U611" s="3">
        <f>(Таблица1[Количество кредитных карт]-$AA$18)/($AA$19-$AA$18)</f>
        <v>0.33333333333333331</v>
      </c>
      <c r="V611" s="3">
        <f>(Таблица1[Число нарушений кредитных договоров]-$AA$23)/($AA$24-$AA$23)</f>
        <v>0</v>
      </c>
      <c r="W611" s="3">
        <f>Таблица1[[#This Row],[Годовой доход]]/12</f>
        <v>48057.333333333336</v>
      </c>
      <c r="X611" s="3">
        <f>Таблица1[[#This Row],[Ежемесячный платеж]]/Таблица1[[#This Row],[Ежем доход]]</f>
        <v>0.15100026357406432</v>
      </c>
      <c r="Y611" s="3"/>
      <c r="Z611" s="3"/>
      <c r="AA611" s="3"/>
      <c r="AB611" s="3"/>
    </row>
    <row r="612" spans="1:28" x14ac:dyDescent="0.2">
      <c r="A612">
        <v>979</v>
      </c>
      <c r="B612" t="s">
        <v>1019</v>
      </c>
      <c r="C612" t="s">
        <v>18</v>
      </c>
      <c r="D612" t="s">
        <v>29</v>
      </c>
      <c r="E612" t="s">
        <v>24</v>
      </c>
      <c r="F612" t="s">
        <v>21</v>
      </c>
      <c r="G612" t="s">
        <v>25</v>
      </c>
      <c r="H612" s="1">
        <v>787644</v>
      </c>
      <c r="I612" s="3">
        <v>683</v>
      </c>
      <c r="J612" s="3">
        <v>1749159</v>
      </c>
      <c r="K612" s="3">
        <v>24634.07</v>
      </c>
      <c r="L612" s="2">
        <v>22.1</v>
      </c>
      <c r="M612" s="11">
        <v>5</v>
      </c>
      <c r="N612" s="3">
        <v>17</v>
      </c>
      <c r="O612" s="3">
        <v>362406</v>
      </c>
      <c r="P612" s="3">
        <v>670340</v>
      </c>
      <c r="Q612" s="10">
        <v>0</v>
      </c>
      <c r="R612" s="3">
        <f>(Таблица1[Размер кредита]-$AA$2)/$AA$3</f>
        <v>2.7216699499590979</v>
      </c>
      <c r="S612" s="3">
        <f>(Таблица1[Кредитный рейтинг]-$AA$7)/($AA$8-$AA$7)</f>
        <v>0.9094540612516645</v>
      </c>
      <c r="T612" s="3">
        <f>(Таблица1[Срок с последнего нарушения кредитного договора (мес,)]-$AA$12)/($AA$13-$AA$12)</f>
        <v>5.6818181818181816E-2</v>
      </c>
      <c r="U612" s="3">
        <f>(Таблица1[Количество кредитных карт]-$AA$18)/($AA$19-$AA$18)</f>
        <v>0.38095238095238093</v>
      </c>
      <c r="V612" s="3">
        <f>(Таблица1[Число нарушений кредитных договоров]-$AA$23)/($AA$24-$AA$23)</f>
        <v>0</v>
      </c>
      <c r="W612" s="3">
        <f>Таблица1[[#This Row],[Годовой доход]]/12</f>
        <v>145763.25</v>
      </c>
      <c r="X612" s="3">
        <f>Таблица1[[#This Row],[Ежемесячный платеж]]/Таблица1[[#This Row],[Ежем доход]]</f>
        <v>0.16900055398051292</v>
      </c>
      <c r="Y612" s="3"/>
      <c r="Z612" s="3"/>
      <c r="AA612" s="3"/>
      <c r="AB612" s="3"/>
    </row>
    <row r="613" spans="1:28" x14ac:dyDescent="0.2">
      <c r="A613">
        <v>1203</v>
      </c>
      <c r="B613" t="s">
        <v>1242</v>
      </c>
      <c r="C613" t="s">
        <v>18</v>
      </c>
      <c r="D613" t="s">
        <v>29</v>
      </c>
      <c r="E613" t="s">
        <v>24</v>
      </c>
      <c r="F613" t="s">
        <v>27</v>
      </c>
      <c r="G613" t="s">
        <v>25</v>
      </c>
      <c r="H613" s="1">
        <v>324060</v>
      </c>
      <c r="I613" s="3">
        <v>683</v>
      </c>
      <c r="J613" s="3">
        <v>699656</v>
      </c>
      <c r="K613" s="3">
        <v>15509.13</v>
      </c>
      <c r="L613" s="2">
        <v>22</v>
      </c>
      <c r="M613" s="11">
        <v>78</v>
      </c>
      <c r="N613" s="3">
        <v>9</v>
      </c>
      <c r="O613" s="3">
        <v>247646</v>
      </c>
      <c r="P613" s="3">
        <v>669966</v>
      </c>
      <c r="Q613" s="10">
        <v>0</v>
      </c>
      <c r="R613" s="3">
        <f>(Таблица1[Размер кредита]-$AA$2)/$AA$3</f>
        <v>8.2356015860988049E-2</v>
      </c>
      <c r="S613" s="3">
        <f>(Таблица1[Кредитный рейтинг]-$AA$7)/($AA$8-$AA$7)</f>
        <v>0.9094540612516645</v>
      </c>
      <c r="T613" s="3">
        <f>(Таблица1[Срок с последнего нарушения кредитного договора (мес,)]-$AA$12)/($AA$13-$AA$12)</f>
        <v>0.88636363636363635</v>
      </c>
      <c r="U613" s="3">
        <f>(Таблица1[Количество кредитных карт]-$AA$18)/($AA$19-$AA$18)</f>
        <v>0.19047619047619047</v>
      </c>
      <c r="V613" s="3">
        <f>(Таблица1[Число нарушений кредитных договоров]-$AA$23)/($AA$24-$AA$23)</f>
        <v>0</v>
      </c>
      <c r="W613" s="3">
        <f>Таблица1[[#This Row],[Годовой доход]]/12</f>
        <v>58304.666666666664</v>
      </c>
      <c r="X613" s="3">
        <f>Таблица1[[#This Row],[Ежемесячный платеж]]/Таблица1[[#This Row],[Ежем доход]]</f>
        <v>0.26600152074733868</v>
      </c>
      <c r="Y613" s="3"/>
      <c r="Z613" s="3"/>
      <c r="AA613" s="3"/>
      <c r="AB613" s="3"/>
    </row>
    <row r="614" spans="1:28" x14ac:dyDescent="0.2">
      <c r="A614">
        <v>983</v>
      </c>
      <c r="B614" t="s">
        <v>1023</v>
      </c>
      <c r="C614" t="s">
        <v>18</v>
      </c>
      <c r="D614" t="s">
        <v>19</v>
      </c>
      <c r="E614" t="s">
        <v>69</v>
      </c>
      <c r="F614" t="s">
        <v>33</v>
      </c>
      <c r="G614" t="s">
        <v>25</v>
      </c>
      <c r="H614" s="1">
        <v>225214</v>
      </c>
      <c r="I614" s="3">
        <v>0</v>
      </c>
      <c r="J614" s="3">
        <v>1168044</v>
      </c>
      <c r="K614" s="3">
        <v>18186.04</v>
      </c>
      <c r="L614" s="2">
        <v>12.9</v>
      </c>
      <c r="M614" s="11">
        <v>35.265240640000002</v>
      </c>
      <c r="N614" s="3">
        <v>10</v>
      </c>
      <c r="O614" s="3">
        <v>131917</v>
      </c>
      <c r="P614" s="3">
        <v>669922</v>
      </c>
      <c r="Q614" s="10">
        <v>0</v>
      </c>
      <c r="R614" s="3">
        <f>(Таблица1[Размер кредита]-$AA$2)/$AA$3</f>
        <v>-0.48040202826879591</v>
      </c>
      <c r="S614" s="3">
        <f>(Таблица1[Кредитный рейтинг]-$AA$7)/($AA$8-$AA$7)</f>
        <v>0</v>
      </c>
      <c r="T614" s="3">
        <f>(Таблица1[Срок с последнего нарушения кредитного договора (мес,)]-$AA$12)/($AA$13-$AA$12)</f>
        <v>0.40074137090909095</v>
      </c>
      <c r="U614" s="3">
        <f>(Таблица1[Количество кредитных карт]-$AA$18)/($AA$19-$AA$18)</f>
        <v>0.21428571428571427</v>
      </c>
      <c r="V614" s="3">
        <f>(Таблица1[Число нарушений кредитных договоров]-$AA$23)/($AA$24-$AA$23)</f>
        <v>0</v>
      </c>
      <c r="W614" s="3">
        <f>Таблица1[[#This Row],[Годовой доход]]/12</f>
        <v>97337</v>
      </c>
      <c r="X614" s="3">
        <f>Таблица1[[#This Row],[Ежемесячный платеж]]/Таблица1[[#This Row],[Ежем доход]]</f>
        <v>0.18683583837595161</v>
      </c>
      <c r="Y614" s="3"/>
      <c r="Z614" s="3"/>
      <c r="AA614" s="3"/>
      <c r="AB614" s="3"/>
    </row>
    <row r="615" spans="1:28" x14ac:dyDescent="0.2">
      <c r="A615">
        <v>1129</v>
      </c>
      <c r="B615" t="s">
        <v>1168</v>
      </c>
      <c r="C615" t="s">
        <v>18</v>
      </c>
      <c r="D615" t="s">
        <v>19</v>
      </c>
      <c r="E615" t="s">
        <v>52</v>
      </c>
      <c r="F615" t="s">
        <v>21</v>
      </c>
      <c r="G615" t="s">
        <v>25</v>
      </c>
      <c r="H615" s="1">
        <v>309594.52439999999</v>
      </c>
      <c r="I615" s="3">
        <v>744</v>
      </c>
      <c r="J615" s="3">
        <v>3387510</v>
      </c>
      <c r="K615" s="3">
        <v>32745.93</v>
      </c>
      <c r="L615" s="2">
        <v>16</v>
      </c>
      <c r="M615" s="11">
        <v>35.265240640000002</v>
      </c>
      <c r="N615" s="3">
        <v>12</v>
      </c>
      <c r="O615" s="3">
        <v>377758</v>
      </c>
      <c r="P615" s="3">
        <v>669834</v>
      </c>
      <c r="Q615" s="10">
        <v>0</v>
      </c>
      <c r="R615" s="3">
        <f>(Таблица1[Размер кредита]-$AA$2)/$AA$3</f>
        <v>-1.2411115481956205E-10</v>
      </c>
      <c r="S615" s="3">
        <f>(Таблица1[Кредитный рейтинг]-$AA$7)/($AA$8-$AA$7)</f>
        <v>0.99067909454061254</v>
      </c>
      <c r="T615" s="3">
        <f>(Таблица1[Срок с последнего нарушения кредитного договора (мес,)]-$AA$12)/($AA$13-$AA$12)</f>
        <v>0.40074137090909095</v>
      </c>
      <c r="U615" s="3">
        <f>(Таблица1[Количество кредитных карт]-$AA$18)/($AA$19-$AA$18)</f>
        <v>0.26190476190476192</v>
      </c>
      <c r="V615" s="3">
        <f>(Таблица1[Число нарушений кредитных договоров]-$AA$23)/($AA$24-$AA$23)</f>
        <v>0</v>
      </c>
      <c r="W615" s="3">
        <f>Таблица1[[#This Row],[Годовой доход]]/12</f>
        <v>282292.5</v>
      </c>
      <c r="X615" s="3">
        <f>Таблица1[[#This Row],[Ежемесячный платеж]]/Таблица1[[#This Row],[Ежем доход]]</f>
        <v>0.11600000000000001</v>
      </c>
      <c r="Y615" s="3"/>
      <c r="Z615" s="3"/>
      <c r="AA615" s="3"/>
      <c r="AB615" s="3"/>
    </row>
    <row r="616" spans="1:28" x14ac:dyDescent="0.2">
      <c r="A616">
        <v>1670</v>
      </c>
      <c r="B616" s="4" t="s">
        <v>1708</v>
      </c>
      <c r="C616" t="s">
        <v>35</v>
      </c>
      <c r="D616" t="s">
        <v>19</v>
      </c>
      <c r="E616" t="s">
        <v>24</v>
      </c>
      <c r="F616" t="s">
        <v>33</v>
      </c>
      <c r="G616" t="s">
        <v>25</v>
      </c>
      <c r="H616" s="1">
        <v>99594</v>
      </c>
      <c r="I616" s="3">
        <v>0</v>
      </c>
      <c r="J616" s="3">
        <v>1168044</v>
      </c>
      <c r="K616" s="3">
        <v>13371.82</v>
      </c>
      <c r="L616" s="2">
        <v>17.600000000000001</v>
      </c>
      <c r="M616" s="11">
        <v>40</v>
      </c>
      <c r="N616" s="3">
        <v>9</v>
      </c>
      <c r="O616" s="3">
        <v>80978</v>
      </c>
      <c r="P616" s="3">
        <v>669812</v>
      </c>
      <c r="Q616" s="10">
        <v>0</v>
      </c>
      <c r="R616" s="3">
        <f>(Таблица1[Размер кредита]-$AA$2)/$AA$3</f>
        <v>-1.1955919752932931</v>
      </c>
      <c r="S616" s="3">
        <f>(Таблица1[Кредитный рейтинг]-$AA$7)/($AA$8-$AA$7)</f>
        <v>0</v>
      </c>
      <c r="T616" s="3">
        <f>(Таблица1[Срок с последнего нарушения кредитного договора (мес,)]-$AA$12)/($AA$13-$AA$12)</f>
        <v>0.45454545454545453</v>
      </c>
      <c r="U616" s="3">
        <f>(Таблица1[Количество кредитных карт]-$AA$18)/($AA$19-$AA$18)</f>
        <v>0.19047619047619047</v>
      </c>
      <c r="V616" s="3">
        <f>(Таблица1[Число нарушений кредитных договоров]-$AA$23)/($AA$24-$AA$23)</f>
        <v>0</v>
      </c>
      <c r="W616" s="3">
        <f>Таблица1[[#This Row],[Годовой доход]]/12</f>
        <v>97337</v>
      </c>
      <c r="X616" s="3">
        <f>Таблица1[[#This Row],[Ежемесячный платеж]]/Таблица1[[#This Row],[Ежем доход]]</f>
        <v>0.13737653718524301</v>
      </c>
      <c r="Y616" s="3"/>
      <c r="Z616" s="3"/>
      <c r="AA616" s="3"/>
      <c r="AB616" s="3"/>
    </row>
    <row r="617" spans="1:28" x14ac:dyDescent="0.2">
      <c r="A617">
        <v>315</v>
      </c>
      <c r="B617" t="s">
        <v>357</v>
      </c>
      <c r="C617" t="s">
        <v>18</v>
      </c>
      <c r="D617" t="s">
        <v>19</v>
      </c>
      <c r="E617" t="s">
        <v>32</v>
      </c>
      <c r="F617" t="s">
        <v>33</v>
      </c>
      <c r="G617" t="s">
        <v>67</v>
      </c>
      <c r="H617" s="1">
        <v>125004</v>
      </c>
      <c r="I617" s="3">
        <v>0</v>
      </c>
      <c r="J617" s="3">
        <v>1168044</v>
      </c>
      <c r="K617" s="3">
        <v>27041.75</v>
      </c>
      <c r="L617" s="2">
        <v>19.5</v>
      </c>
      <c r="M617" s="11">
        <v>31</v>
      </c>
      <c r="N617" s="3">
        <v>18</v>
      </c>
      <c r="O617" s="3">
        <v>247342</v>
      </c>
      <c r="P617" s="3">
        <v>667568</v>
      </c>
      <c r="Q617" s="10">
        <v>1</v>
      </c>
      <c r="R617" s="3">
        <f>(Таблица1[Размер кредита]-$AA$2)/$AA$3</f>
        <v>-1.0509257075501592</v>
      </c>
      <c r="S617" s="3">
        <f>(Таблица1[Кредитный рейтинг]-$AA$7)/($AA$8-$AA$7)</f>
        <v>0</v>
      </c>
      <c r="T617" s="3">
        <f>(Таблица1[Срок с последнего нарушения кредитного договора (мес,)]-$AA$12)/($AA$13-$AA$12)</f>
        <v>0.35227272727272729</v>
      </c>
      <c r="U617" s="3">
        <f>(Таблица1[Количество кредитных карт]-$AA$18)/($AA$19-$AA$18)</f>
        <v>0.40476190476190477</v>
      </c>
      <c r="V617" s="3">
        <f>(Таблица1[Число нарушений кредитных договоров]-$AA$23)/($AA$24-$AA$23)</f>
        <v>0.14285714285714285</v>
      </c>
      <c r="W617" s="3">
        <f>Таблица1[[#This Row],[Годовой доход]]/12</f>
        <v>97337</v>
      </c>
      <c r="X617" s="3">
        <f>Таблица1[[#This Row],[Ежемесячный платеж]]/Таблица1[[#This Row],[Ежем доход]]</f>
        <v>0.2778157329689635</v>
      </c>
      <c r="Y617" s="3"/>
      <c r="Z617" s="3"/>
      <c r="AA617" s="3"/>
      <c r="AB617" s="3"/>
    </row>
    <row r="618" spans="1:28" x14ac:dyDescent="0.2">
      <c r="A618">
        <v>824</v>
      </c>
      <c r="B618" t="s">
        <v>865</v>
      </c>
      <c r="C618" t="s">
        <v>18</v>
      </c>
      <c r="D618" t="s">
        <v>19</v>
      </c>
      <c r="E618" t="s">
        <v>20</v>
      </c>
      <c r="F618" t="s">
        <v>21</v>
      </c>
      <c r="G618" t="s">
        <v>22</v>
      </c>
      <c r="H618" s="1">
        <v>352220</v>
      </c>
      <c r="I618" s="3">
        <v>750</v>
      </c>
      <c r="J618" s="3">
        <v>2129273</v>
      </c>
      <c r="K618" s="3">
        <v>10859.26</v>
      </c>
      <c r="L618" s="2">
        <v>20.7</v>
      </c>
      <c r="M618" s="11">
        <v>68</v>
      </c>
      <c r="N618" s="3">
        <v>12</v>
      </c>
      <c r="O618" s="3">
        <v>289180</v>
      </c>
      <c r="P618" s="3">
        <v>667018</v>
      </c>
      <c r="Q618" s="10">
        <v>0</v>
      </c>
      <c r="R618" s="3">
        <f>(Таблица1[Размер кредита]-$AA$2)/$AA$3</f>
        <v>0.24267880608714507</v>
      </c>
      <c r="S618" s="3">
        <f>(Таблица1[Кредитный рейтинг]-$AA$7)/($AA$8-$AA$7)</f>
        <v>0.99866844207723038</v>
      </c>
      <c r="T618" s="3">
        <f>(Таблица1[Срок с последнего нарушения кредитного договора (мес,)]-$AA$12)/($AA$13-$AA$12)</f>
        <v>0.77272727272727271</v>
      </c>
      <c r="U618" s="3">
        <f>(Таблица1[Количество кредитных карт]-$AA$18)/($AA$19-$AA$18)</f>
        <v>0.26190476190476192</v>
      </c>
      <c r="V618" s="3">
        <f>(Таблица1[Число нарушений кредитных договоров]-$AA$23)/($AA$24-$AA$23)</f>
        <v>0</v>
      </c>
      <c r="W618" s="3">
        <f>Таблица1[[#This Row],[Годовой доход]]/12</f>
        <v>177439.41666666666</v>
      </c>
      <c r="X618" s="3">
        <f>Таблица1[[#This Row],[Ежемесячный платеж]]/Таблица1[[#This Row],[Ежем доход]]</f>
        <v>6.1199817966038177E-2</v>
      </c>
      <c r="Y618" s="3"/>
      <c r="Z618" s="3"/>
      <c r="AA618" s="3"/>
      <c r="AB618" s="3"/>
    </row>
    <row r="619" spans="1:28" x14ac:dyDescent="0.2">
      <c r="A619">
        <v>1881</v>
      </c>
      <c r="B619" t="s">
        <v>1917</v>
      </c>
      <c r="C619" t="s">
        <v>18</v>
      </c>
      <c r="D619" t="s">
        <v>19</v>
      </c>
      <c r="E619" t="s">
        <v>24</v>
      </c>
      <c r="F619" t="s">
        <v>33</v>
      </c>
      <c r="G619" t="s">
        <v>25</v>
      </c>
      <c r="H619" s="1">
        <v>189310</v>
      </c>
      <c r="I619" s="3">
        <v>735</v>
      </c>
      <c r="J619" s="3">
        <v>488262</v>
      </c>
      <c r="K619" s="3">
        <v>12816.83</v>
      </c>
      <c r="L619" s="2">
        <v>22.5</v>
      </c>
      <c r="M619" s="11">
        <v>71</v>
      </c>
      <c r="N619" s="3">
        <v>13</v>
      </c>
      <c r="O619" s="3">
        <v>247608</v>
      </c>
      <c r="P619" s="3">
        <v>666754</v>
      </c>
      <c r="Q619" s="10">
        <v>0</v>
      </c>
      <c r="R619" s="3">
        <f>(Таблица1[Размер кредита]-$AA$2)/$AA$3</f>
        <v>-0.68481358580714613</v>
      </c>
      <c r="S619" s="3">
        <f>(Таблица1[Кредитный рейтинг]-$AA$7)/($AA$8-$AA$7)</f>
        <v>0.97869507323568572</v>
      </c>
      <c r="T619" s="3">
        <f>(Таблица1[Срок с последнего нарушения кредитного договора (мес,)]-$AA$12)/($AA$13-$AA$12)</f>
        <v>0.80681818181818177</v>
      </c>
      <c r="U619" s="3">
        <f>(Таблица1[Количество кредитных карт]-$AA$18)/($AA$19-$AA$18)</f>
        <v>0.2857142857142857</v>
      </c>
      <c r="V619" s="3">
        <f>(Таблица1[Число нарушений кредитных договоров]-$AA$23)/($AA$24-$AA$23)</f>
        <v>0</v>
      </c>
      <c r="W619" s="3">
        <f>Таблица1[[#This Row],[Годовой доход]]/12</f>
        <v>40688.5</v>
      </c>
      <c r="X619" s="3">
        <f>Таблица1[[#This Row],[Ежемесячный платеж]]/Таблица1[[#This Row],[Ежем доход]]</f>
        <v>0.31499883259397621</v>
      </c>
      <c r="Y619" s="3"/>
      <c r="Z619" s="3"/>
      <c r="AA619" s="3"/>
      <c r="AB619" s="3"/>
    </row>
    <row r="620" spans="1:28" x14ac:dyDescent="0.2">
      <c r="A620">
        <v>988</v>
      </c>
      <c r="B620" t="s">
        <v>1028</v>
      </c>
      <c r="C620" t="s">
        <v>18</v>
      </c>
      <c r="D620" t="s">
        <v>19</v>
      </c>
      <c r="E620" t="s">
        <v>47</v>
      </c>
      <c r="F620" t="s">
        <v>21</v>
      </c>
      <c r="G620" t="s">
        <v>25</v>
      </c>
      <c r="H620" s="1">
        <v>309594.52439999999</v>
      </c>
      <c r="I620" s="3">
        <v>726</v>
      </c>
      <c r="J620" s="3">
        <v>1058167</v>
      </c>
      <c r="K620" s="3">
        <v>14285.34</v>
      </c>
      <c r="L620" s="2">
        <v>12</v>
      </c>
      <c r="M620" s="11">
        <v>5</v>
      </c>
      <c r="N620" s="3">
        <v>14</v>
      </c>
      <c r="O620" s="3">
        <v>192584</v>
      </c>
      <c r="P620" s="3">
        <v>665676</v>
      </c>
      <c r="Q620" s="10">
        <v>0</v>
      </c>
      <c r="R620" s="3">
        <f>(Таблица1[Размер кредита]-$AA$2)/$AA$3</f>
        <v>-1.2411115481956205E-10</v>
      </c>
      <c r="S620" s="3">
        <f>(Таблица1[Кредитный рейтинг]-$AA$7)/($AA$8-$AA$7)</f>
        <v>0.96671105193075901</v>
      </c>
      <c r="T620" s="3">
        <f>(Таблица1[Срок с последнего нарушения кредитного договора (мес,)]-$AA$12)/($AA$13-$AA$12)</f>
        <v>5.6818181818181816E-2</v>
      </c>
      <c r="U620" s="3">
        <f>(Таблица1[Количество кредитных карт]-$AA$18)/($AA$19-$AA$18)</f>
        <v>0.30952380952380953</v>
      </c>
      <c r="V620" s="3">
        <f>(Таблица1[Число нарушений кредитных договоров]-$AA$23)/($AA$24-$AA$23)</f>
        <v>0</v>
      </c>
      <c r="W620" s="3">
        <f>Таблица1[[#This Row],[Годовой доход]]/12</f>
        <v>88180.583333333328</v>
      </c>
      <c r="X620" s="3">
        <f>Таблица1[[#This Row],[Ежемесячный платеж]]/Таблица1[[#This Row],[Ежем доход]]</f>
        <v>0.16200096960120663</v>
      </c>
      <c r="Y620" s="3"/>
      <c r="Z620" s="3"/>
      <c r="AA620" s="3"/>
      <c r="AB620" s="3"/>
    </row>
    <row r="621" spans="1:28" x14ac:dyDescent="0.2">
      <c r="A621">
        <v>1335</v>
      </c>
      <c r="B621" t="s">
        <v>1374</v>
      </c>
      <c r="C621" t="s">
        <v>18</v>
      </c>
      <c r="D621" t="s">
        <v>29</v>
      </c>
      <c r="E621" t="s">
        <v>24</v>
      </c>
      <c r="F621" t="s">
        <v>27</v>
      </c>
      <c r="G621" t="s">
        <v>25</v>
      </c>
      <c r="H621" s="1">
        <v>519508</v>
      </c>
      <c r="I621" s="3">
        <v>660</v>
      </c>
      <c r="J621" s="3">
        <v>3084536</v>
      </c>
      <c r="K621" s="3">
        <v>35214.980000000003</v>
      </c>
      <c r="L621" s="2">
        <v>17.600000000000001</v>
      </c>
      <c r="M621" s="11">
        <v>35.265240640000002</v>
      </c>
      <c r="N621" s="3">
        <v>13</v>
      </c>
      <c r="O621" s="3">
        <v>424555</v>
      </c>
      <c r="P621" s="3">
        <v>664334</v>
      </c>
      <c r="Q621" s="10">
        <v>1</v>
      </c>
      <c r="R621" s="3">
        <f>(Таблица1[Размер кредита]-$AA$2)/$AA$3</f>
        <v>1.1950963817744091</v>
      </c>
      <c r="S621" s="3">
        <f>(Таблица1[Кредитный рейтинг]-$AA$7)/($AA$8-$AA$7)</f>
        <v>0.87882822902796276</v>
      </c>
      <c r="T621" s="3">
        <f>(Таблица1[Срок с последнего нарушения кредитного договора (мес,)]-$AA$12)/($AA$13-$AA$12)</f>
        <v>0.40074137090909095</v>
      </c>
      <c r="U621" s="3">
        <f>(Таблица1[Количество кредитных карт]-$AA$18)/($AA$19-$AA$18)</f>
        <v>0.2857142857142857</v>
      </c>
      <c r="V621" s="3">
        <f>(Таблица1[Число нарушений кредитных договоров]-$AA$23)/($AA$24-$AA$23)</f>
        <v>0.14285714285714285</v>
      </c>
      <c r="W621" s="3">
        <f>Таблица1[[#This Row],[Годовой доход]]/12</f>
        <v>257044.66666666666</v>
      </c>
      <c r="X621" s="3">
        <f>Таблица1[[#This Row],[Ежемесячный платеж]]/Таблица1[[#This Row],[Ежем доход]]</f>
        <v>0.136999457941162</v>
      </c>
      <c r="Y621" s="3"/>
      <c r="Z621" s="3"/>
      <c r="AA621" s="3"/>
      <c r="AB621" s="3"/>
    </row>
    <row r="622" spans="1:28" x14ac:dyDescent="0.2">
      <c r="A622">
        <v>706</v>
      </c>
      <c r="B622" t="s">
        <v>747</v>
      </c>
      <c r="C622" t="s">
        <v>35</v>
      </c>
      <c r="D622" t="s">
        <v>19</v>
      </c>
      <c r="E622" t="s">
        <v>24</v>
      </c>
      <c r="F622" t="s">
        <v>21</v>
      </c>
      <c r="G622" t="s">
        <v>67</v>
      </c>
      <c r="H622" s="1">
        <v>219538</v>
      </c>
      <c r="I622" s="3">
        <v>751</v>
      </c>
      <c r="J622" s="3">
        <v>1611618</v>
      </c>
      <c r="K622" s="3">
        <v>11603.49</v>
      </c>
      <c r="L622" s="2">
        <v>21</v>
      </c>
      <c r="M622" s="11">
        <v>35.265240640000002</v>
      </c>
      <c r="N622" s="3">
        <v>9</v>
      </c>
      <c r="O622" s="3">
        <v>79572</v>
      </c>
      <c r="P622" s="3">
        <v>662882</v>
      </c>
      <c r="Q622" s="10">
        <v>0</v>
      </c>
      <c r="R622" s="3">
        <f>(Таблица1[Размер кредита]-$AA$2)/$AA$3</f>
        <v>-0.5127170906737557</v>
      </c>
      <c r="S622" s="3">
        <f>(Таблица1[Кредитный рейтинг]-$AA$7)/($AA$8-$AA$7)</f>
        <v>1</v>
      </c>
      <c r="T622" s="3">
        <f>(Таблица1[Срок с последнего нарушения кредитного договора (мес,)]-$AA$12)/($AA$13-$AA$12)</f>
        <v>0.40074137090909095</v>
      </c>
      <c r="U622" s="3">
        <f>(Таблица1[Количество кредитных карт]-$AA$18)/($AA$19-$AA$18)</f>
        <v>0.19047619047619047</v>
      </c>
      <c r="V622" s="3">
        <f>(Таблица1[Число нарушений кредитных договоров]-$AA$23)/($AA$24-$AA$23)</f>
        <v>0</v>
      </c>
      <c r="W622" s="3">
        <f>Таблица1[[#This Row],[Годовой доход]]/12</f>
        <v>134301.5</v>
      </c>
      <c r="X622" s="3">
        <f>Таблица1[[#This Row],[Ежемесячный платеж]]/Таблица1[[#This Row],[Ежем доход]]</f>
        <v>8.6398811629058492E-2</v>
      </c>
      <c r="Y622" s="3"/>
      <c r="Z622" s="3"/>
      <c r="AA622" s="3"/>
      <c r="AB622" s="3"/>
    </row>
    <row r="623" spans="1:28" x14ac:dyDescent="0.2">
      <c r="A623">
        <v>600</v>
      </c>
      <c r="B623" t="s">
        <v>641</v>
      </c>
      <c r="C623" t="s">
        <v>18</v>
      </c>
      <c r="D623" t="s">
        <v>29</v>
      </c>
      <c r="E623" t="s">
        <v>24</v>
      </c>
      <c r="F623" t="s">
        <v>21</v>
      </c>
      <c r="G623" t="s">
        <v>25</v>
      </c>
      <c r="H623" s="1">
        <v>327426</v>
      </c>
      <c r="I623" s="3">
        <v>713</v>
      </c>
      <c r="J623" s="3">
        <v>3676101</v>
      </c>
      <c r="K623" s="3">
        <v>38292.79</v>
      </c>
      <c r="L623" s="2">
        <v>29.8</v>
      </c>
      <c r="M623" s="11">
        <v>49</v>
      </c>
      <c r="N623" s="3">
        <v>13</v>
      </c>
      <c r="O623" s="3">
        <v>429115</v>
      </c>
      <c r="P623" s="3">
        <v>661628</v>
      </c>
      <c r="Q623" s="10">
        <v>0</v>
      </c>
      <c r="R623" s="3">
        <f>(Таблица1[Размер кредита]-$AA$2)/$AA$3</f>
        <v>0.10151959938020838</v>
      </c>
      <c r="S623" s="3">
        <f>(Таблица1[Кредитный рейтинг]-$AA$7)/($AA$8-$AA$7)</f>
        <v>0.94940079893475371</v>
      </c>
      <c r="T623" s="3">
        <f>(Таблица1[Срок с последнего нарушения кредитного договора (мес,)]-$AA$12)/($AA$13-$AA$12)</f>
        <v>0.55681818181818177</v>
      </c>
      <c r="U623" s="3">
        <f>(Таблица1[Количество кредитных карт]-$AA$18)/($AA$19-$AA$18)</f>
        <v>0.2857142857142857</v>
      </c>
      <c r="V623" s="3">
        <f>(Таблица1[Число нарушений кредитных договоров]-$AA$23)/($AA$24-$AA$23)</f>
        <v>0</v>
      </c>
      <c r="W623" s="3">
        <f>Таблица1[[#This Row],[Годовой доход]]/12</f>
        <v>306341.75</v>
      </c>
      <c r="X623" s="3">
        <f>Таблица1[[#This Row],[Ежемесячный платеж]]/Таблица1[[#This Row],[Ежем доход]]</f>
        <v>0.12500023258338114</v>
      </c>
      <c r="Y623" s="3"/>
      <c r="Z623" s="3"/>
      <c r="AA623" s="3"/>
      <c r="AB623" s="3"/>
    </row>
    <row r="624" spans="1:28" x14ac:dyDescent="0.2">
      <c r="A624">
        <v>113</v>
      </c>
      <c r="B624" t="s">
        <v>155</v>
      </c>
      <c r="C624" t="s">
        <v>35</v>
      </c>
      <c r="D624" t="s">
        <v>29</v>
      </c>
      <c r="E624" t="s">
        <v>30</v>
      </c>
      <c r="F624" t="s">
        <v>33</v>
      </c>
      <c r="G624" t="s">
        <v>25</v>
      </c>
      <c r="H624" s="1">
        <v>349756</v>
      </c>
      <c r="I624" s="3">
        <v>737</v>
      </c>
      <c r="J624" s="3">
        <v>2491945</v>
      </c>
      <c r="K624" s="3">
        <v>23258.28</v>
      </c>
      <c r="L624" s="2">
        <v>21.5</v>
      </c>
      <c r="M624" s="11">
        <v>35.265240640000002</v>
      </c>
      <c r="N624" s="3">
        <v>7</v>
      </c>
      <c r="O624" s="3">
        <v>270332</v>
      </c>
      <c r="P624" s="3">
        <v>660396</v>
      </c>
      <c r="Q624" s="10">
        <v>0</v>
      </c>
      <c r="R624" s="3">
        <f>(Таблица1[Размер кредита]-$AA$2)/$AA$3</f>
        <v>0.22865056194235631</v>
      </c>
      <c r="S624" s="3">
        <f>(Таблица1[Кредитный рейтинг]-$AA$7)/($AA$8-$AA$7)</f>
        <v>0.98135818908122507</v>
      </c>
      <c r="T624" s="3">
        <f>(Таблица1[Срок с последнего нарушения кредитного договора (мес,)]-$AA$12)/($AA$13-$AA$12)</f>
        <v>0.40074137090909095</v>
      </c>
      <c r="U624" s="3">
        <f>(Таблица1[Количество кредитных карт]-$AA$18)/($AA$19-$AA$18)</f>
        <v>0.14285714285714285</v>
      </c>
      <c r="V624" s="3">
        <f>(Таблица1[Число нарушений кредитных договоров]-$AA$23)/($AA$24-$AA$23)</f>
        <v>0</v>
      </c>
      <c r="W624" s="3">
        <f>Таблица1[[#This Row],[Годовой доход]]/12</f>
        <v>207662.08333333334</v>
      </c>
      <c r="X624" s="3">
        <f>Таблица1[[#This Row],[Ежемесячный платеж]]/Таблица1[[#This Row],[Ежем доход]]</f>
        <v>0.11200060996530821</v>
      </c>
      <c r="Y624" s="3"/>
      <c r="Z624" s="3"/>
      <c r="AA624" s="3"/>
      <c r="AB624" s="3"/>
    </row>
    <row r="625" spans="1:28" x14ac:dyDescent="0.2">
      <c r="A625">
        <v>781</v>
      </c>
      <c r="B625" t="s">
        <v>822</v>
      </c>
      <c r="C625" t="s">
        <v>18</v>
      </c>
      <c r="D625" t="s">
        <v>19</v>
      </c>
      <c r="E625" t="s">
        <v>69</v>
      </c>
      <c r="F625" t="s">
        <v>21</v>
      </c>
      <c r="G625" t="s">
        <v>22</v>
      </c>
      <c r="H625" s="1">
        <v>107932</v>
      </c>
      <c r="I625" s="3">
        <v>735</v>
      </c>
      <c r="J625" s="3">
        <v>1211782</v>
      </c>
      <c r="K625" s="3">
        <v>28173.96</v>
      </c>
      <c r="L625" s="2">
        <v>28.5</v>
      </c>
      <c r="M625" s="11">
        <v>35.265240640000002</v>
      </c>
      <c r="N625" s="3">
        <v>9</v>
      </c>
      <c r="O625" s="3">
        <v>521322</v>
      </c>
      <c r="P625" s="3">
        <v>658988</v>
      </c>
      <c r="Q625" s="10">
        <v>0</v>
      </c>
      <c r="R625" s="3">
        <f>(Таблица1[Размер кредита]-$AA$2)/$AA$3</f>
        <v>-1.148121399124767</v>
      </c>
      <c r="S625" s="3">
        <f>(Таблица1[Кредитный рейтинг]-$AA$7)/($AA$8-$AA$7)</f>
        <v>0.97869507323568572</v>
      </c>
      <c r="T625" s="3">
        <f>(Таблица1[Срок с последнего нарушения кредитного договора (мес,)]-$AA$12)/($AA$13-$AA$12)</f>
        <v>0.40074137090909095</v>
      </c>
      <c r="U625" s="3">
        <f>(Таблица1[Количество кредитных карт]-$AA$18)/($AA$19-$AA$18)</f>
        <v>0.19047619047619047</v>
      </c>
      <c r="V625" s="3">
        <f>(Таблица1[Число нарушений кредитных договоров]-$AA$23)/($AA$24-$AA$23)</f>
        <v>0</v>
      </c>
      <c r="W625" s="3">
        <f>Таблица1[[#This Row],[Годовой доход]]/12</f>
        <v>100981.83333333333</v>
      </c>
      <c r="X625" s="3">
        <f>Таблица1[[#This Row],[Ежемесячный платеж]]/Таблица1[[#This Row],[Ежем доход]]</f>
        <v>0.27900028222898177</v>
      </c>
      <c r="Y625" s="3"/>
      <c r="Z625" s="3"/>
      <c r="AA625" s="3"/>
      <c r="AB625" s="3"/>
    </row>
    <row r="626" spans="1:28" x14ac:dyDescent="0.2">
      <c r="A626">
        <v>1419</v>
      </c>
      <c r="B626" t="s">
        <v>1458</v>
      </c>
      <c r="C626" t="s">
        <v>35</v>
      </c>
      <c r="D626" t="s">
        <v>29</v>
      </c>
      <c r="E626" t="s">
        <v>30</v>
      </c>
      <c r="F626" t="s">
        <v>33</v>
      </c>
      <c r="G626" t="s">
        <v>25</v>
      </c>
      <c r="H626" s="1">
        <v>776710</v>
      </c>
      <c r="I626" s="3">
        <v>0</v>
      </c>
      <c r="J626" s="3">
        <v>1168044</v>
      </c>
      <c r="K626" s="3">
        <v>22921.79</v>
      </c>
      <c r="L626" s="2">
        <v>14.5</v>
      </c>
      <c r="M626" s="11">
        <v>35.265240640000002</v>
      </c>
      <c r="N626" s="3">
        <v>9</v>
      </c>
      <c r="O626" s="3">
        <v>255341</v>
      </c>
      <c r="P626" s="3">
        <v>658482</v>
      </c>
      <c r="Q626" s="10">
        <v>0</v>
      </c>
      <c r="R626" s="3">
        <f>(Таблица1[Размер кредита]-$AA$2)/$AA$3</f>
        <v>2.659419616566598</v>
      </c>
      <c r="S626" s="3">
        <f>(Таблица1[Кредитный рейтинг]-$AA$7)/($AA$8-$AA$7)</f>
        <v>0</v>
      </c>
      <c r="T626" s="3">
        <f>(Таблица1[Срок с последнего нарушения кредитного договора (мес,)]-$AA$12)/($AA$13-$AA$12)</f>
        <v>0.40074137090909095</v>
      </c>
      <c r="U626" s="3">
        <f>(Таблица1[Количество кредитных карт]-$AA$18)/($AA$19-$AA$18)</f>
        <v>0.19047619047619047</v>
      </c>
      <c r="V626" s="3">
        <f>(Таблица1[Число нарушений кредитных договоров]-$AA$23)/($AA$24-$AA$23)</f>
        <v>0</v>
      </c>
      <c r="W626" s="3">
        <f>Таблица1[[#This Row],[Годовой доход]]/12</f>
        <v>97337</v>
      </c>
      <c r="X626" s="3">
        <f>Таблица1[[#This Row],[Ежемесячный платеж]]/Таблица1[[#This Row],[Ежем доход]]</f>
        <v>0.23548897130587548</v>
      </c>
      <c r="Y626" s="3"/>
      <c r="Z626" s="3"/>
      <c r="AA626" s="3"/>
      <c r="AB626" s="3"/>
    </row>
    <row r="627" spans="1:28" x14ac:dyDescent="0.2">
      <c r="A627">
        <v>941</v>
      </c>
      <c r="B627" t="s">
        <v>982</v>
      </c>
      <c r="C627" t="s">
        <v>18</v>
      </c>
      <c r="D627" t="s">
        <v>29</v>
      </c>
      <c r="E627" t="s">
        <v>24</v>
      </c>
      <c r="F627" t="s">
        <v>21</v>
      </c>
      <c r="G627" t="s">
        <v>2038</v>
      </c>
      <c r="H627" s="1">
        <v>551166</v>
      </c>
      <c r="I627" s="3">
        <v>725</v>
      </c>
      <c r="J627" s="3">
        <v>2878842</v>
      </c>
      <c r="K627" s="3">
        <v>35721.519999999997</v>
      </c>
      <c r="L627" s="2">
        <v>23</v>
      </c>
      <c r="M627" s="11">
        <v>35.265240640000002</v>
      </c>
      <c r="N627" s="3">
        <v>9</v>
      </c>
      <c r="O627" s="3">
        <v>243637</v>
      </c>
      <c r="P627" s="3">
        <v>657602</v>
      </c>
      <c r="Q627" s="10">
        <v>0</v>
      </c>
      <c r="R627" s="3">
        <f>(Таблица1[Размер кредита]-$AA$2)/$AA$3</f>
        <v>1.3753342685989716</v>
      </c>
      <c r="S627" s="3">
        <f>(Таблица1[Кредитный рейтинг]-$AA$7)/($AA$8-$AA$7)</f>
        <v>0.96537949400798939</v>
      </c>
      <c r="T627" s="3">
        <f>(Таблица1[Срок с последнего нарушения кредитного договора (мес,)]-$AA$12)/($AA$13-$AA$12)</f>
        <v>0.40074137090909095</v>
      </c>
      <c r="U627" s="3">
        <f>(Таблица1[Количество кредитных карт]-$AA$18)/($AA$19-$AA$18)</f>
        <v>0.19047619047619047</v>
      </c>
      <c r="V627" s="3">
        <f>(Таблица1[Число нарушений кредитных договоров]-$AA$23)/($AA$24-$AA$23)</f>
        <v>0</v>
      </c>
      <c r="W627" s="3">
        <f>Таблица1[[#This Row],[Годовой доход]]/12</f>
        <v>239903.5</v>
      </c>
      <c r="X627" s="3">
        <f>Таблица1[[#This Row],[Ежемесячный платеж]]/Таблица1[[#This Row],[Ежем доход]]</f>
        <v>0.14889953668871023</v>
      </c>
      <c r="Y627" s="3"/>
      <c r="Z627" s="3"/>
      <c r="AA627" s="3"/>
      <c r="AB627" s="3"/>
    </row>
    <row r="628" spans="1:28" x14ac:dyDescent="0.2">
      <c r="A628">
        <v>241</v>
      </c>
      <c r="B628" t="s">
        <v>283</v>
      </c>
      <c r="C628" t="s">
        <v>18</v>
      </c>
      <c r="D628" t="s">
        <v>19</v>
      </c>
      <c r="E628" t="s">
        <v>37</v>
      </c>
      <c r="F628" t="s">
        <v>21</v>
      </c>
      <c r="G628" t="s">
        <v>22</v>
      </c>
      <c r="H628" s="1">
        <v>553366</v>
      </c>
      <c r="I628" s="3">
        <v>0</v>
      </c>
      <c r="J628" s="3">
        <v>1168044</v>
      </c>
      <c r="K628" s="3">
        <v>35698.910000000003</v>
      </c>
      <c r="L628" s="2">
        <v>21.5</v>
      </c>
      <c r="M628" s="11">
        <v>47</v>
      </c>
      <c r="N628" s="3">
        <v>17</v>
      </c>
      <c r="O628" s="3">
        <v>305349</v>
      </c>
      <c r="P628" s="3">
        <v>657184</v>
      </c>
      <c r="Q628" s="10">
        <v>0</v>
      </c>
      <c r="R628" s="3">
        <f>(Таблица1[Размер кредита]-$AA$2)/$AA$3</f>
        <v>1.3878594865853899</v>
      </c>
      <c r="S628" s="3">
        <f>(Таблица1[Кредитный рейтинг]-$AA$7)/($AA$8-$AA$7)</f>
        <v>0</v>
      </c>
      <c r="T628" s="3">
        <f>(Таблица1[Срок с последнего нарушения кредитного договора (мес,)]-$AA$12)/($AA$13-$AA$12)</f>
        <v>0.53409090909090906</v>
      </c>
      <c r="U628" s="3">
        <f>(Таблица1[Количество кредитных карт]-$AA$18)/($AA$19-$AA$18)</f>
        <v>0.38095238095238093</v>
      </c>
      <c r="V628" s="3">
        <f>(Таблица1[Число нарушений кредитных договоров]-$AA$23)/($AA$24-$AA$23)</f>
        <v>0</v>
      </c>
      <c r="W628" s="3">
        <f>Таблица1[[#This Row],[Годовой доход]]/12</f>
        <v>97337</v>
      </c>
      <c r="X628" s="3">
        <f>Таблица1[[#This Row],[Ежемесячный платеж]]/Таблица1[[#This Row],[Ежем доход]]</f>
        <v>0.36675580714425143</v>
      </c>
      <c r="Y628" s="3"/>
      <c r="Z628" s="3"/>
      <c r="AA628" s="3"/>
      <c r="AB628" s="3"/>
    </row>
    <row r="629" spans="1:28" x14ac:dyDescent="0.2">
      <c r="A629">
        <v>342</v>
      </c>
      <c r="B629" t="s">
        <v>384</v>
      </c>
      <c r="C629" t="s">
        <v>18</v>
      </c>
      <c r="D629" t="s">
        <v>29</v>
      </c>
      <c r="E629" t="s">
        <v>69</v>
      </c>
      <c r="F629" t="s">
        <v>21</v>
      </c>
      <c r="G629" t="s">
        <v>22</v>
      </c>
      <c r="H629" s="1">
        <v>764544</v>
      </c>
      <c r="I629" s="3">
        <v>703</v>
      </c>
      <c r="J629" s="3">
        <v>1697859</v>
      </c>
      <c r="K629" s="3">
        <v>17685.96</v>
      </c>
      <c r="L629" s="2">
        <v>25.5</v>
      </c>
      <c r="M629" s="11">
        <v>31</v>
      </c>
      <c r="N629" s="3">
        <v>10</v>
      </c>
      <c r="O629" s="3">
        <v>300789</v>
      </c>
      <c r="P629" s="3">
        <v>657118</v>
      </c>
      <c r="Q629" s="10">
        <v>1</v>
      </c>
      <c r="R629" s="3">
        <f>(Таблица1[Размер кредита]-$AA$2)/$AA$3</f>
        <v>2.5901551611017033</v>
      </c>
      <c r="S629" s="3">
        <f>(Таблица1[Кредитный рейтинг]-$AA$7)/($AA$8-$AA$7)</f>
        <v>0.93608521970705727</v>
      </c>
      <c r="T629" s="3">
        <f>(Таблица1[Срок с последнего нарушения кредитного договора (мес,)]-$AA$12)/($AA$13-$AA$12)</f>
        <v>0.35227272727272729</v>
      </c>
      <c r="U629" s="3">
        <f>(Таблица1[Количество кредитных карт]-$AA$18)/($AA$19-$AA$18)</f>
        <v>0.21428571428571427</v>
      </c>
      <c r="V629" s="3">
        <f>(Таблица1[Число нарушений кредитных договоров]-$AA$23)/($AA$24-$AA$23)</f>
        <v>0.14285714285714285</v>
      </c>
      <c r="W629" s="3">
        <f>Таблица1[[#This Row],[Годовой доход]]/12</f>
        <v>141488.25</v>
      </c>
      <c r="X629" s="3">
        <f>Таблица1[[#This Row],[Ежемесячный платеж]]/Таблица1[[#This Row],[Ежем доход]]</f>
        <v>0.12499949642461476</v>
      </c>
      <c r="Y629" s="3"/>
      <c r="Z629" s="3"/>
      <c r="AA629" s="3"/>
      <c r="AB629" s="3"/>
    </row>
    <row r="630" spans="1:28" x14ac:dyDescent="0.2">
      <c r="A630">
        <v>1746</v>
      </c>
      <c r="B630" t="s">
        <v>1784</v>
      </c>
      <c r="C630" t="s">
        <v>18</v>
      </c>
      <c r="D630" t="s">
        <v>19</v>
      </c>
      <c r="E630" t="s">
        <v>50</v>
      </c>
      <c r="F630" t="s">
        <v>33</v>
      </c>
      <c r="G630" t="s">
        <v>25</v>
      </c>
      <c r="H630" s="1">
        <v>309594.52439999999</v>
      </c>
      <c r="I630" s="3">
        <v>725</v>
      </c>
      <c r="J630" s="3">
        <v>2531712</v>
      </c>
      <c r="K630" s="3">
        <v>23418.26</v>
      </c>
      <c r="L630" s="2">
        <v>15.4</v>
      </c>
      <c r="M630" s="11">
        <v>7</v>
      </c>
      <c r="N630" s="3">
        <v>11</v>
      </c>
      <c r="O630" s="3">
        <v>445341</v>
      </c>
      <c r="P630" s="3">
        <v>656898</v>
      </c>
      <c r="Q630" s="10">
        <v>1</v>
      </c>
      <c r="R630" s="3">
        <f>(Таблица1[Размер кредита]-$AA$2)/$AA$3</f>
        <v>-1.2411115481956205E-10</v>
      </c>
      <c r="S630" s="3">
        <f>(Таблица1[Кредитный рейтинг]-$AA$7)/($AA$8-$AA$7)</f>
        <v>0.96537949400798939</v>
      </c>
      <c r="T630" s="3">
        <f>(Таблица1[Срок с последнего нарушения кредитного договора (мес,)]-$AA$12)/($AA$13-$AA$12)</f>
        <v>7.9545454545454544E-2</v>
      </c>
      <c r="U630" s="3">
        <f>(Таблица1[Количество кредитных карт]-$AA$18)/($AA$19-$AA$18)</f>
        <v>0.23809523809523808</v>
      </c>
      <c r="V630" s="3">
        <f>(Таблица1[Число нарушений кредитных договоров]-$AA$23)/($AA$24-$AA$23)</f>
        <v>0.14285714285714285</v>
      </c>
      <c r="W630" s="3">
        <f>Таблица1[[#This Row],[Годовой доход]]/12</f>
        <v>210976</v>
      </c>
      <c r="X630" s="3">
        <f>Таблица1[[#This Row],[Ежемесячный платеж]]/Таблица1[[#This Row],[Ежем доход]]</f>
        <v>0.11099963976945244</v>
      </c>
      <c r="Y630" s="3"/>
      <c r="Z630" s="3"/>
      <c r="AA630" s="3"/>
      <c r="AB630" s="3"/>
    </row>
    <row r="631" spans="1:28" x14ac:dyDescent="0.2">
      <c r="A631">
        <v>611</v>
      </c>
      <c r="B631" t="s">
        <v>652</v>
      </c>
      <c r="C631" t="s">
        <v>18</v>
      </c>
      <c r="D631" t="s">
        <v>19</v>
      </c>
      <c r="E631" t="s">
        <v>24</v>
      </c>
      <c r="F631" t="s">
        <v>21</v>
      </c>
      <c r="G631" t="s">
        <v>25</v>
      </c>
      <c r="H631" s="1">
        <v>309594.52439999999</v>
      </c>
      <c r="I631" s="3">
        <v>734</v>
      </c>
      <c r="J631" s="3">
        <v>2178787</v>
      </c>
      <c r="K631" s="3">
        <v>41541.980000000003</v>
      </c>
      <c r="L631" s="2">
        <v>25</v>
      </c>
      <c r="M631" s="11">
        <v>38</v>
      </c>
      <c r="N631" s="3">
        <v>9</v>
      </c>
      <c r="O631" s="3">
        <v>311201</v>
      </c>
      <c r="P631" s="3">
        <v>655160</v>
      </c>
      <c r="Q631" s="10">
        <v>1</v>
      </c>
      <c r="R631" s="3">
        <f>(Таблица1[Размер кредита]-$AA$2)/$AA$3</f>
        <v>-1.2411115481956205E-10</v>
      </c>
      <c r="S631" s="3">
        <f>(Таблица1[Кредитный рейтинг]-$AA$7)/($AA$8-$AA$7)</f>
        <v>0.9773635153129161</v>
      </c>
      <c r="T631" s="3">
        <f>(Таблица1[Срок с последнего нарушения кредитного договора (мес,)]-$AA$12)/($AA$13-$AA$12)</f>
        <v>0.43181818181818182</v>
      </c>
      <c r="U631" s="3">
        <f>(Таблица1[Количество кредитных карт]-$AA$18)/($AA$19-$AA$18)</f>
        <v>0.19047619047619047</v>
      </c>
      <c r="V631" s="3">
        <f>(Таблица1[Число нарушений кредитных договоров]-$AA$23)/($AA$24-$AA$23)</f>
        <v>0.14285714285714285</v>
      </c>
      <c r="W631" s="3">
        <f>Таблица1[[#This Row],[Годовой доход]]/12</f>
        <v>181565.58333333334</v>
      </c>
      <c r="X631" s="3">
        <f>Таблица1[[#This Row],[Ежемесячный платеж]]/Таблица1[[#This Row],[Ежем доход]]</f>
        <v>0.22879875820812223</v>
      </c>
      <c r="Y631" s="3"/>
      <c r="Z631" s="3"/>
      <c r="AA631" s="3"/>
      <c r="AB631" s="3"/>
    </row>
    <row r="632" spans="1:28" x14ac:dyDescent="0.2">
      <c r="A632">
        <v>1212</v>
      </c>
      <c r="B632" t="s">
        <v>1251</v>
      </c>
      <c r="C632" t="s">
        <v>18</v>
      </c>
      <c r="D632" t="s">
        <v>19</v>
      </c>
      <c r="E632" t="s">
        <v>69</v>
      </c>
      <c r="F632" t="s">
        <v>33</v>
      </c>
      <c r="G632" t="s">
        <v>25</v>
      </c>
      <c r="H632" s="1">
        <v>338162</v>
      </c>
      <c r="I632" s="3">
        <v>695</v>
      </c>
      <c r="J632" s="3">
        <v>753692</v>
      </c>
      <c r="K632" s="3">
        <v>21040.6</v>
      </c>
      <c r="L632" s="2">
        <v>19.2</v>
      </c>
      <c r="M632" s="11">
        <v>35.265240640000002</v>
      </c>
      <c r="N632" s="3">
        <v>14</v>
      </c>
      <c r="O632" s="3">
        <v>524533</v>
      </c>
      <c r="P632" s="3">
        <v>654478</v>
      </c>
      <c r="Q632" s="10">
        <v>0</v>
      </c>
      <c r="R632" s="3">
        <f>(Таблица1[Размер кредита]-$AA$2)/$AA$3</f>
        <v>0.16264266315393075</v>
      </c>
      <c r="S632" s="3">
        <f>(Таблица1[Кредитный рейтинг]-$AA$7)/($AA$8-$AA$7)</f>
        <v>0.92543275632490019</v>
      </c>
      <c r="T632" s="3">
        <f>(Таблица1[Срок с последнего нарушения кредитного договора (мес,)]-$AA$12)/($AA$13-$AA$12)</f>
        <v>0.40074137090909095</v>
      </c>
      <c r="U632" s="3">
        <f>(Таблица1[Количество кредитных карт]-$AA$18)/($AA$19-$AA$18)</f>
        <v>0.30952380952380953</v>
      </c>
      <c r="V632" s="3">
        <f>(Таблица1[Число нарушений кредитных договоров]-$AA$23)/($AA$24-$AA$23)</f>
        <v>0</v>
      </c>
      <c r="W632" s="3">
        <f>Таблица1[[#This Row],[Годовой доход]]/12</f>
        <v>62807.666666666664</v>
      </c>
      <c r="X632" s="3">
        <f>Таблица1[[#This Row],[Ежемесячный платеж]]/Таблица1[[#This Row],[Ежем доход]]</f>
        <v>0.33500050418473326</v>
      </c>
      <c r="Y632" s="3"/>
      <c r="Z632" s="3"/>
      <c r="AA632" s="3"/>
      <c r="AB632" s="3"/>
    </row>
    <row r="633" spans="1:28" x14ac:dyDescent="0.2">
      <c r="A633">
        <v>1473</v>
      </c>
      <c r="B633" t="s">
        <v>1512</v>
      </c>
      <c r="C633" t="s">
        <v>18</v>
      </c>
      <c r="D633" t="s">
        <v>19</v>
      </c>
      <c r="E633" t="s">
        <v>24</v>
      </c>
      <c r="F633" t="s">
        <v>33</v>
      </c>
      <c r="G633" t="s">
        <v>25</v>
      </c>
      <c r="H633" s="1">
        <v>197516</v>
      </c>
      <c r="I633" s="3">
        <v>0</v>
      </c>
      <c r="J633" s="3">
        <v>1168044</v>
      </c>
      <c r="K633" s="3">
        <v>10894.98</v>
      </c>
      <c r="L633" s="2">
        <v>17.100000000000001</v>
      </c>
      <c r="M633" s="11">
        <v>35.265240640000002</v>
      </c>
      <c r="N633" s="3">
        <v>9</v>
      </c>
      <c r="O633" s="3">
        <v>415226</v>
      </c>
      <c r="P633" s="3">
        <v>654126</v>
      </c>
      <c r="Q633" s="10">
        <v>0</v>
      </c>
      <c r="R633" s="3">
        <f>(Таблица1[Размер кредита]-$AA$2)/$AA$3</f>
        <v>-0.63809452271780498</v>
      </c>
      <c r="S633" s="3">
        <f>(Таблица1[Кредитный рейтинг]-$AA$7)/($AA$8-$AA$7)</f>
        <v>0</v>
      </c>
      <c r="T633" s="3">
        <f>(Таблица1[Срок с последнего нарушения кредитного договора (мес,)]-$AA$12)/($AA$13-$AA$12)</f>
        <v>0.40074137090909095</v>
      </c>
      <c r="U633" s="3">
        <f>(Таблица1[Количество кредитных карт]-$AA$18)/($AA$19-$AA$18)</f>
        <v>0.19047619047619047</v>
      </c>
      <c r="V633" s="3">
        <f>(Таблица1[Число нарушений кредитных договоров]-$AA$23)/($AA$24-$AA$23)</f>
        <v>0</v>
      </c>
      <c r="W633" s="3">
        <f>Таблица1[[#This Row],[Годовой доход]]/12</f>
        <v>97337</v>
      </c>
      <c r="X633" s="3">
        <f>Таблица1[[#This Row],[Ежемесячный платеж]]/Таблица1[[#This Row],[Ежем доход]]</f>
        <v>0.11193050946710911</v>
      </c>
      <c r="Y633" s="3"/>
      <c r="Z633" s="3"/>
      <c r="AA633" s="3"/>
      <c r="AB633" s="3"/>
    </row>
    <row r="634" spans="1:28" x14ac:dyDescent="0.2">
      <c r="A634">
        <v>695</v>
      </c>
      <c r="B634" t="s">
        <v>736</v>
      </c>
      <c r="C634" t="s">
        <v>18</v>
      </c>
      <c r="D634" t="s">
        <v>19</v>
      </c>
      <c r="E634" t="s">
        <v>24</v>
      </c>
      <c r="F634" t="s">
        <v>33</v>
      </c>
      <c r="G634" t="s">
        <v>25</v>
      </c>
      <c r="H634" s="1">
        <v>303380</v>
      </c>
      <c r="I634" s="3">
        <v>0</v>
      </c>
      <c r="J634" s="3">
        <v>1168044</v>
      </c>
      <c r="K634" s="3">
        <v>56924.76</v>
      </c>
      <c r="L634" s="2">
        <v>22.5</v>
      </c>
      <c r="M634" s="11">
        <v>13</v>
      </c>
      <c r="N634" s="3">
        <v>12</v>
      </c>
      <c r="O634" s="3">
        <v>245575</v>
      </c>
      <c r="P634" s="3">
        <v>653708</v>
      </c>
      <c r="Q634" s="10">
        <v>0</v>
      </c>
      <c r="R634" s="3">
        <f>(Таблица1[Размер кредита]-$AA$2)/$AA$3</f>
        <v>-3.5381033211346009E-2</v>
      </c>
      <c r="S634" s="3">
        <f>(Таблица1[Кредитный рейтинг]-$AA$7)/($AA$8-$AA$7)</f>
        <v>0</v>
      </c>
      <c r="T634" s="3">
        <f>(Таблица1[Срок с последнего нарушения кредитного договора (мес,)]-$AA$12)/($AA$13-$AA$12)</f>
        <v>0.14772727272727273</v>
      </c>
      <c r="U634" s="3">
        <f>(Таблица1[Количество кредитных карт]-$AA$18)/($AA$19-$AA$18)</f>
        <v>0.26190476190476192</v>
      </c>
      <c r="V634" s="3">
        <f>(Таблица1[Число нарушений кредитных договоров]-$AA$23)/($AA$24-$AA$23)</f>
        <v>0</v>
      </c>
      <c r="W634" s="3">
        <f>Таблица1[[#This Row],[Годовой доход]]/12</f>
        <v>97337</v>
      </c>
      <c r="X634" s="3">
        <f>Таблица1[[#This Row],[Ежемесячный платеж]]/Таблица1[[#This Row],[Ежем доход]]</f>
        <v>0.58482139371462039</v>
      </c>
      <c r="Y634" s="3"/>
      <c r="Z634" s="3"/>
      <c r="AA634" s="3"/>
      <c r="AB634" s="3"/>
    </row>
    <row r="635" spans="1:28" x14ac:dyDescent="0.2">
      <c r="A635">
        <v>1449</v>
      </c>
      <c r="B635" t="s">
        <v>1488</v>
      </c>
      <c r="C635" t="s">
        <v>18</v>
      </c>
      <c r="D635" t="s">
        <v>19</v>
      </c>
      <c r="E635" t="s">
        <v>32</v>
      </c>
      <c r="F635" t="s">
        <v>27</v>
      </c>
      <c r="G635" t="s">
        <v>25</v>
      </c>
      <c r="H635" s="1">
        <v>150788</v>
      </c>
      <c r="I635" s="3">
        <v>0</v>
      </c>
      <c r="J635" s="3">
        <v>1168044</v>
      </c>
      <c r="K635" s="3">
        <v>14511.82</v>
      </c>
      <c r="L635" s="2">
        <v>31</v>
      </c>
      <c r="M635" s="11">
        <v>35.265240640000002</v>
      </c>
      <c r="N635" s="3">
        <v>10</v>
      </c>
      <c r="O635" s="3">
        <v>262789</v>
      </c>
      <c r="P635" s="3">
        <v>652982</v>
      </c>
      <c r="Q635" s="10">
        <v>0</v>
      </c>
      <c r="R635" s="3">
        <f>(Таблица1[Размер кредита]-$AA$2)/$AA$3</f>
        <v>-0.90413015274933428</v>
      </c>
      <c r="S635" s="3">
        <f>(Таблица1[Кредитный рейтинг]-$AA$7)/($AA$8-$AA$7)</f>
        <v>0</v>
      </c>
      <c r="T635" s="3">
        <f>(Таблица1[Срок с последнего нарушения кредитного договора (мес,)]-$AA$12)/($AA$13-$AA$12)</f>
        <v>0.40074137090909095</v>
      </c>
      <c r="U635" s="3">
        <f>(Таблица1[Количество кредитных карт]-$AA$18)/($AA$19-$AA$18)</f>
        <v>0.21428571428571427</v>
      </c>
      <c r="V635" s="3">
        <f>(Таблица1[Число нарушений кредитных договоров]-$AA$23)/($AA$24-$AA$23)</f>
        <v>0</v>
      </c>
      <c r="W635" s="3">
        <f>Таблица1[[#This Row],[Годовой доход]]/12</f>
        <v>97337</v>
      </c>
      <c r="X635" s="3">
        <f>Таблица1[[#This Row],[Ежемесячный платеж]]/Таблица1[[#This Row],[Ежем доход]]</f>
        <v>0.14908842475112238</v>
      </c>
      <c r="Y635" s="3"/>
      <c r="Z635" s="3"/>
      <c r="AA635" s="3"/>
      <c r="AB635" s="3"/>
    </row>
    <row r="636" spans="1:28" x14ac:dyDescent="0.2">
      <c r="A636">
        <v>1573</v>
      </c>
      <c r="B636" t="s">
        <v>1612</v>
      </c>
      <c r="C636" t="s">
        <v>18</v>
      </c>
      <c r="D636" t="s">
        <v>19</v>
      </c>
      <c r="E636" t="s">
        <v>24</v>
      </c>
      <c r="F636" t="s">
        <v>33</v>
      </c>
      <c r="G636" t="s">
        <v>25</v>
      </c>
      <c r="H636" s="1">
        <v>422092</v>
      </c>
      <c r="I636" s="3">
        <v>723</v>
      </c>
      <c r="J636" s="3">
        <v>1013384</v>
      </c>
      <c r="K636" s="3">
        <v>11653.84</v>
      </c>
      <c r="L636" s="2">
        <v>29</v>
      </c>
      <c r="M636" s="11">
        <v>65</v>
      </c>
      <c r="N636" s="3">
        <v>9</v>
      </c>
      <c r="O636" s="3">
        <v>412680</v>
      </c>
      <c r="P636" s="3">
        <v>651882</v>
      </c>
      <c r="Q636" s="10">
        <v>0</v>
      </c>
      <c r="R636" s="3">
        <f>(Таблица1[Размер кредита]-$AA$2)/$AA$3</f>
        <v>0.64047972933579711</v>
      </c>
      <c r="S636" s="3">
        <f>(Таблица1[Кредитный рейтинг]-$AA$7)/($AA$8-$AA$7)</f>
        <v>0.96271637816245004</v>
      </c>
      <c r="T636" s="3">
        <f>(Таблица1[Срок с последнего нарушения кредитного договора (мес,)]-$AA$12)/($AA$13-$AA$12)</f>
        <v>0.73863636363636365</v>
      </c>
      <c r="U636" s="3">
        <f>(Таблица1[Количество кредитных карт]-$AA$18)/($AA$19-$AA$18)</f>
        <v>0.19047619047619047</v>
      </c>
      <c r="V636" s="3">
        <f>(Таблица1[Число нарушений кредитных договоров]-$AA$23)/($AA$24-$AA$23)</f>
        <v>0</v>
      </c>
      <c r="W636" s="3">
        <f>Таблица1[[#This Row],[Годовой доход]]/12</f>
        <v>84448.666666666672</v>
      </c>
      <c r="X636" s="3">
        <f>Таблица1[[#This Row],[Ежемесячный платеж]]/Таблица1[[#This Row],[Ежем доход]]</f>
        <v>0.13799910004499774</v>
      </c>
      <c r="Y636" s="3"/>
      <c r="Z636" s="3"/>
      <c r="AA636" s="3"/>
      <c r="AB636" s="3"/>
    </row>
    <row r="637" spans="1:28" x14ac:dyDescent="0.2">
      <c r="A637">
        <v>1094</v>
      </c>
      <c r="B637" t="s">
        <v>1133</v>
      </c>
      <c r="C637" t="s">
        <v>18</v>
      </c>
      <c r="D637" t="s">
        <v>19</v>
      </c>
      <c r="E637" t="s">
        <v>24</v>
      </c>
      <c r="F637" t="s">
        <v>33</v>
      </c>
      <c r="G637" t="s">
        <v>67</v>
      </c>
      <c r="H637" s="1">
        <v>612260</v>
      </c>
      <c r="I637" s="3">
        <v>678</v>
      </c>
      <c r="J637" s="3">
        <v>1665692</v>
      </c>
      <c r="K637" s="3">
        <v>20821.34</v>
      </c>
      <c r="L637" s="2">
        <v>16</v>
      </c>
      <c r="M637" s="11">
        <v>35.265240640000002</v>
      </c>
      <c r="N637" s="3">
        <v>13</v>
      </c>
      <c r="O637" s="3">
        <v>310289</v>
      </c>
      <c r="P637" s="3">
        <v>650870</v>
      </c>
      <c r="Q637" s="10">
        <v>0</v>
      </c>
      <c r="R637" s="3">
        <f>(Таблица1[Размер кредита]-$AA$2)/$AA$3</f>
        <v>1.7231595720818138</v>
      </c>
      <c r="S637" s="3">
        <f>(Таблица1[Кредитный рейтинг]-$AA$7)/($AA$8-$AA$7)</f>
        <v>0.90279627163781628</v>
      </c>
      <c r="T637" s="3">
        <f>(Таблица1[Срок с последнего нарушения кредитного договора (мес,)]-$AA$12)/($AA$13-$AA$12)</f>
        <v>0.40074137090909095</v>
      </c>
      <c r="U637" s="3">
        <f>(Таблица1[Количество кредитных карт]-$AA$18)/($AA$19-$AA$18)</f>
        <v>0.2857142857142857</v>
      </c>
      <c r="V637" s="3">
        <f>(Таблица1[Число нарушений кредитных договоров]-$AA$23)/($AA$24-$AA$23)</f>
        <v>0</v>
      </c>
      <c r="W637" s="3">
        <f>Таблица1[[#This Row],[Годовой доход]]/12</f>
        <v>138807.66666666666</v>
      </c>
      <c r="X637" s="3">
        <f>Таблица1[[#This Row],[Ежемесячный платеж]]/Таблица1[[#This Row],[Ежем доход]]</f>
        <v>0.15000136880047452</v>
      </c>
      <c r="Y637" s="3"/>
      <c r="Z637" s="3"/>
      <c r="AA637" s="3"/>
      <c r="AB637" s="3"/>
    </row>
    <row r="638" spans="1:28" x14ac:dyDescent="0.2">
      <c r="A638">
        <v>1947</v>
      </c>
      <c r="B638" t="s">
        <v>1983</v>
      </c>
      <c r="C638" t="s">
        <v>18</v>
      </c>
      <c r="D638" t="s">
        <v>19</v>
      </c>
      <c r="E638" t="s">
        <v>47</v>
      </c>
      <c r="F638" t="s">
        <v>21</v>
      </c>
      <c r="G638" t="s">
        <v>25</v>
      </c>
      <c r="H638" s="1">
        <v>782716</v>
      </c>
      <c r="I638" s="3">
        <v>703</v>
      </c>
      <c r="J638" s="3">
        <v>2510755</v>
      </c>
      <c r="K638" s="3">
        <v>36405.9</v>
      </c>
      <c r="L638" s="2">
        <v>20.8</v>
      </c>
      <c r="M638" s="11">
        <v>35.265240640000002</v>
      </c>
      <c r="N638" s="3">
        <v>8</v>
      </c>
      <c r="O638" s="3">
        <v>448305</v>
      </c>
      <c r="P638" s="3">
        <v>650496</v>
      </c>
      <c r="Q638" s="10">
        <v>0</v>
      </c>
      <c r="R638" s="3">
        <f>(Таблица1[Размер кредита]-$AA$2)/$AA$3</f>
        <v>2.6936134616695204</v>
      </c>
      <c r="S638" s="3">
        <f>(Таблица1[Кредитный рейтинг]-$AA$7)/($AA$8-$AA$7)</f>
        <v>0.93608521970705727</v>
      </c>
      <c r="T638" s="3">
        <f>(Таблица1[Срок с последнего нарушения кредитного договора (мес,)]-$AA$12)/($AA$13-$AA$12)</f>
        <v>0.40074137090909095</v>
      </c>
      <c r="U638" s="3">
        <f>(Таблица1[Количество кредитных карт]-$AA$18)/($AA$19-$AA$18)</f>
        <v>0.16666666666666666</v>
      </c>
      <c r="V638" s="3">
        <f>(Таблица1[Число нарушений кредитных договоров]-$AA$23)/($AA$24-$AA$23)</f>
        <v>0</v>
      </c>
      <c r="W638" s="3">
        <f>Таблица1[[#This Row],[Годовой доход]]/12</f>
        <v>209229.58333333334</v>
      </c>
      <c r="X638" s="3">
        <f>Таблица1[[#This Row],[Ежемесячный платеж]]/Таблица1[[#This Row],[Ежем доход]]</f>
        <v>0.17399977297665442</v>
      </c>
      <c r="Y638" s="3"/>
      <c r="Z638" s="3"/>
      <c r="AA638" s="3"/>
      <c r="AB638" s="3"/>
    </row>
    <row r="639" spans="1:28" x14ac:dyDescent="0.2">
      <c r="A639">
        <v>943</v>
      </c>
      <c r="B639" t="s">
        <v>984</v>
      </c>
      <c r="C639" t="s">
        <v>35</v>
      </c>
      <c r="D639" t="s">
        <v>19</v>
      </c>
      <c r="E639" t="s">
        <v>41</v>
      </c>
      <c r="F639" t="s">
        <v>33</v>
      </c>
      <c r="G639" t="s">
        <v>25</v>
      </c>
      <c r="H639" s="1">
        <v>349360</v>
      </c>
      <c r="I639" s="3">
        <v>0</v>
      </c>
      <c r="J639" s="3">
        <v>1168044</v>
      </c>
      <c r="K639" s="3">
        <v>17254.66</v>
      </c>
      <c r="L639" s="2">
        <v>19.899999999999999</v>
      </c>
      <c r="M639" s="11">
        <v>35.265240640000002</v>
      </c>
      <c r="N639" s="3">
        <v>17</v>
      </c>
      <c r="O639" s="3">
        <v>497135</v>
      </c>
      <c r="P639" s="3">
        <v>650452</v>
      </c>
      <c r="Q639" s="10">
        <v>0</v>
      </c>
      <c r="R639" s="3">
        <f>(Таблица1[Размер кредита]-$AA$2)/$AA$3</f>
        <v>0.226396022704801</v>
      </c>
      <c r="S639" s="3">
        <f>(Таблица1[Кредитный рейтинг]-$AA$7)/($AA$8-$AA$7)</f>
        <v>0</v>
      </c>
      <c r="T639" s="3">
        <f>(Таблица1[Срок с последнего нарушения кредитного договора (мес,)]-$AA$12)/($AA$13-$AA$12)</f>
        <v>0.40074137090909095</v>
      </c>
      <c r="U639" s="3">
        <f>(Таблица1[Количество кредитных карт]-$AA$18)/($AA$19-$AA$18)</f>
        <v>0.38095238095238093</v>
      </c>
      <c r="V639" s="3">
        <f>(Таблица1[Число нарушений кредитных договоров]-$AA$23)/($AA$24-$AA$23)</f>
        <v>0</v>
      </c>
      <c r="W639" s="3">
        <f>Таблица1[[#This Row],[Годовой доход]]/12</f>
        <v>97337</v>
      </c>
      <c r="X639" s="3">
        <f>Таблица1[[#This Row],[Ежемесячный платеж]]/Таблица1[[#This Row],[Ежем доход]]</f>
        <v>0.17726722623462815</v>
      </c>
      <c r="Y639" s="3"/>
      <c r="Z639" s="3"/>
      <c r="AA639" s="3"/>
      <c r="AB639" s="3"/>
    </row>
    <row r="640" spans="1:28" x14ac:dyDescent="0.2">
      <c r="A640">
        <v>237</v>
      </c>
      <c r="B640" t="s">
        <v>279</v>
      </c>
      <c r="C640" t="s">
        <v>18</v>
      </c>
      <c r="D640" t="s">
        <v>29</v>
      </c>
      <c r="E640" t="s">
        <v>24</v>
      </c>
      <c r="F640" t="s">
        <v>21</v>
      </c>
      <c r="G640" t="s">
        <v>25</v>
      </c>
      <c r="H640" s="1">
        <v>398464</v>
      </c>
      <c r="I640" s="3">
        <v>715</v>
      </c>
      <c r="J640" s="3">
        <v>975004</v>
      </c>
      <c r="K640" s="3">
        <v>15356.37</v>
      </c>
      <c r="L640" s="2">
        <v>20.5</v>
      </c>
      <c r="M640" s="11">
        <v>35.265240640000002</v>
      </c>
      <c r="N640" s="3">
        <v>13</v>
      </c>
      <c r="O640" s="3">
        <v>326857</v>
      </c>
      <c r="P640" s="3">
        <v>650276</v>
      </c>
      <c r="Q640" s="10">
        <v>0</v>
      </c>
      <c r="R640" s="3">
        <f>(Таблица1[Размер кредита]-$AA$2)/$AA$3</f>
        <v>0.50595888816166223</v>
      </c>
      <c r="S640" s="3">
        <f>(Таблица1[Кредитный рейтинг]-$AA$7)/($AA$8-$AA$7)</f>
        <v>0.95206391478029295</v>
      </c>
      <c r="T640" s="3">
        <f>(Таблица1[Срок с последнего нарушения кредитного договора (мес,)]-$AA$12)/($AA$13-$AA$12)</f>
        <v>0.40074137090909095</v>
      </c>
      <c r="U640" s="3">
        <f>(Таблица1[Количество кредитных карт]-$AA$18)/($AA$19-$AA$18)</f>
        <v>0.2857142857142857</v>
      </c>
      <c r="V640" s="3">
        <f>(Таблица1[Число нарушений кредитных договоров]-$AA$23)/($AA$24-$AA$23)</f>
        <v>0</v>
      </c>
      <c r="W640" s="3">
        <f>Таблица1[[#This Row],[Годовой доход]]/12</f>
        <v>81250.333333333328</v>
      </c>
      <c r="X640" s="3">
        <f>Таблица1[[#This Row],[Ежемесячный платеж]]/Таблица1[[#This Row],[Ежем доход]]</f>
        <v>0.18900070153558346</v>
      </c>
      <c r="Y640" s="3"/>
      <c r="Z640" s="3"/>
      <c r="AA640" s="3"/>
      <c r="AB640" s="3"/>
    </row>
    <row r="641" spans="1:28" x14ac:dyDescent="0.2">
      <c r="A641">
        <v>391</v>
      </c>
      <c r="B641" t="s">
        <v>433</v>
      </c>
      <c r="C641" t="s">
        <v>18</v>
      </c>
      <c r="D641" t="s">
        <v>29</v>
      </c>
      <c r="E641" t="s">
        <v>24</v>
      </c>
      <c r="F641" t="s">
        <v>21</v>
      </c>
      <c r="G641" t="s">
        <v>25</v>
      </c>
      <c r="H641" s="1">
        <v>332552</v>
      </c>
      <c r="I641" s="3">
        <v>0</v>
      </c>
      <c r="J641" s="3">
        <v>1168044</v>
      </c>
      <c r="K641" s="3">
        <v>18093.32</v>
      </c>
      <c r="L641" s="2">
        <v>26.9</v>
      </c>
      <c r="M641" s="11">
        <v>35.265240640000002</v>
      </c>
      <c r="N641" s="3">
        <v>9</v>
      </c>
      <c r="O641" s="3">
        <v>324539</v>
      </c>
      <c r="P641" s="3">
        <v>650122</v>
      </c>
      <c r="Q641" s="10">
        <v>0</v>
      </c>
      <c r="R641" s="3">
        <f>(Таблица1[Размер кредита]-$AA$2)/$AA$3</f>
        <v>0.13070335728856353</v>
      </c>
      <c r="S641" s="3">
        <f>(Таблица1[Кредитный рейтинг]-$AA$7)/($AA$8-$AA$7)</f>
        <v>0</v>
      </c>
      <c r="T641" s="3">
        <f>(Таблица1[Срок с последнего нарушения кредитного договора (мес,)]-$AA$12)/($AA$13-$AA$12)</f>
        <v>0.40074137090909095</v>
      </c>
      <c r="U641" s="3">
        <f>(Таблица1[Количество кредитных карт]-$AA$18)/($AA$19-$AA$18)</f>
        <v>0.19047619047619047</v>
      </c>
      <c r="V641" s="3">
        <f>(Таблица1[Число нарушений кредитных договоров]-$AA$23)/($AA$24-$AA$23)</f>
        <v>0</v>
      </c>
      <c r="W641" s="3">
        <f>Таблица1[[#This Row],[Годовой доход]]/12</f>
        <v>97337</v>
      </c>
      <c r="X641" s="3">
        <f>Таблица1[[#This Row],[Ежемесячный платеж]]/Таблица1[[#This Row],[Ежем доход]]</f>
        <v>0.18588327152059339</v>
      </c>
      <c r="Y641" s="3"/>
      <c r="Z641" s="3"/>
      <c r="AA641" s="3"/>
      <c r="AB641" s="3"/>
    </row>
    <row r="642" spans="1:28" x14ac:dyDescent="0.2">
      <c r="A642">
        <v>907</v>
      </c>
      <c r="B642" t="s">
        <v>948</v>
      </c>
      <c r="C642" t="s">
        <v>18</v>
      </c>
      <c r="D642" t="s">
        <v>29</v>
      </c>
      <c r="E642" t="s">
        <v>52</v>
      </c>
      <c r="F642" t="s">
        <v>33</v>
      </c>
      <c r="G642" t="s">
        <v>25</v>
      </c>
      <c r="H642" s="1">
        <v>614108</v>
      </c>
      <c r="I642" s="3">
        <v>682</v>
      </c>
      <c r="J642" s="3">
        <v>1444722</v>
      </c>
      <c r="K642" s="3">
        <v>39489.03</v>
      </c>
      <c r="L642" s="2">
        <v>14.2</v>
      </c>
      <c r="M642" s="11">
        <v>35.265240640000002</v>
      </c>
      <c r="N642" s="3">
        <v>14</v>
      </c>
      <c r="O642" s="3">
        <v>343425</v>
      </c>
      <c r="P642" s="3">
        <v>649770</v>
      </c>
      <c r="Q642" s="10">
        <v>0</v>
      </c>
      <c r="R642" s="3">
        <f>(Таблица1[Размер кредита]-$AA$2)/$AA$3</f>
        <v>1.7336807551904052</v>
      </c>
      <c r="S642" s="3">
        <f>(Таблица1[Кредитный рейтинг]-$AA$7)/($AA$8-$AA$7)</f>
        <v>0.90812250332889477</v>
      </c>
      <c r="T642" s="3">
        <f>(Таблица1[Срок с последнего нарушения кредитного договора (мес,)]-$AA$12)/($AA$13-$AA$12)</f>
        <v>0.40074137090909095</v>
      </c>
      <c r="U642" s="3">
        <f>(Таблица1[Количество кредитных карт]-$AA$18)/($AA$19-$AA$18)</f>
        <v>0.30952380952380953</v>
      </c>
      <c r="V642" s="3">
        <f>(Таблица1[Число нарушений кредитных договоров]-$AA$23)/($AA$24-$AA$23)</f>
        <v>0</v>
      </c>
      <c r="W642" s="3">
        <f>Таблица1[[#This Row],[Годовой доход]]/12</f>
        <v>120393.5</v>
      </c>
      <c r="X642" s="3">
        <f>Таблица1[[#This Row],[Ежемесячный платеж]]/Таблица1[[#This Row],[Ежем доход]]</f>
        <v>0.32799968436834215</v>
      </c>
      <c r="Y642" s="3"/>
      <c r="Z642" s="3"/>
      <c r="AA642" s="3"/>
      <c r="AB642" s="3"/>
    </row>
    <row r="643" spans="1:28" x14ac:dyDescent="0.2">
      <c r="A643">
        <v>573</v>
      </c>
      <c r="B643" t="s">
        <v>614</v>
      </c>
      <c r="C643" t="s">
        <v>35</v>
      </c>
      <c r="D643" t="s">
        <v>19</v>
      </c>
      <c r="E643" t="s">
        <v>47</v>
      </c>
      <c r="F643" t="s">
        <v>27</v>
      </c>
      <c r="G643" t="s">
        <v>25</v>
      </c>
      <c r="H643" s="1">
        <v>214698</v>
      </c>
      <c r="I643" s="3">
        <v>0</v>
      </c>
      <c r="J643" s="3">
        <v>1168044</v>
      </c>
      <c r="K643" s="3">
        <v>10241.19</v>
      </c>
      <c r="L643" s="2">
        <v>29.9</v>
      </c>
      <c r="M643" s="11">
        <v>35.265240640000002</v>
      </c>
      <c r="N643" s="3">
        <v>9</v>
      </c>
      <c r="O643" s="3">
        <v>297540</v>
      </c>
      <c r="P643" s="3">
        <v>648824</v>
      </c>
      <c r="Q643" s="10">
        <v>0</v>
      </c>
      <c r="R643" s="3">
        <f>(Таблица1[Размер кредита]-$AA$2)/$AA$3</f>
        <v>-0.54027257024387643</v>
      </c>
      <c r="S643" s="3">
        <f>(Таблица1[Кредитный рейтинг]-$AA$7)/($AA$8-$AA$7)</f>
        <v>0</v>
      </c>
      <c r="T643" s="3">
        <f>(Таблица1[Срок с последнего нарушения кредитного договора (мес,)]-$AA$12)/($AA$13-$AA$12)</f>
        <v>0.40074137090909095</v>
      </c>
      <c r="U643" s="3">
        <f>(Таблица1[Количество кредитных карт]-$AA$18)/($AA$19-$AA$18)</f>
        <v>0.19047619047619047</v>
      </c>
      <c r="V643" s="3">
        <f>(Таблица1[Число нарушений кредитных договоров]-$AA$23)/($AA$24-$AA$23)</f>
        <v>0</v>
      </c>
      <c r="W643" s="3">
        <f>Таблица1[[#This Row],[Годовой доход]]/12</f>
        <v>97337</v>
      </c>
      <c r="X643" s="3">
        <f>Таблица1[[#This Row],[Ежемесячный платеж]]/Таблица1[[#This Row],[Ежем доход]]</f>
        <v>0.10521374194807731</v>
      </c>
      <c r="Y643" s="3"/>
      <c r="Z643" s="3"/>
      <c r="AA643" s="3"/>
      <c r="AB643" s="3"/>
    </row>
    <row r="644" spans="1:28" x14ac:dyDescent="0.2">
      <c r="A644">
        <v>1242</v>
      </c>
      <c r="B644" t="s">
        <v>1281</v>
      </c>
      <c r="C644" t="s">
        <v>35</v>
      </c>
      <c r="D644" t="s">
        <v>29</v>
      </c>
      <c r="E644" t="s">
        <v>37</v>
      </c>
      <c r="F644" t="s">
        <v>21</v>
      </c>
      <c r="G644" t="s">
        <v>25</v>
      </c>
      <c r="H644" s="1">
        <v>366014</v>
      </c>
      <c r="I644" s="3">
        <v>726</v>
      </c>
      <c r="J644" s="3">
        <v>1072493</v>
      </c>
      <c r="K644" s="3">
        <v>21271.07</v>
      </c>
      <c r="L644" s="2">
        <v>15</v>
      </c>
      <c r="M644" s="11">
        <v>35.265240640000002</v>
      </c>
      <c r="N644" s="3">
        <v>16</v>
      </c>
      <c r="O644" s="3">
        <v>156997</v>
      </c>
      <c r="P644" s="3">
        <v>646932</v>
      </c>
      <c r="Q644" s="10">
        <v>0</v>
      </c>
      <c r="R644" s="3">
        <f>(Таблица1[Размер кредита]-$AA$2)/$AA$3</f>
        <v>0.32121192286198913</v>
      </c>
      <c r="S644" s="3">
        <f>(Таблица1[Кредитный рейтинг]-$AA$7)/($AA$8-$AA$7)</f>
        <v>0.96671105193075901</v>
      </c>
      <c r="T644" s="3">
        <f>(Таблица1[Срок с последнего нарушения кредитного договора (мес,)]-$AA$12)/($AA$13-$AA$12)</f>
        <v>0.40074137090909095</v>
      </c>
      <c r="U644" s="3">
        <f>(Таблица1[Количество кредитных карт]-$AA$18)/($AA$19-$AA$18)</f>
        <v>0.35714285714285715</v>
      </c>
      <c r="V644" s="3">
        <f>(Таблица1[Число нарушений кредитных договоров]-$AA$23)/($AA$24-$AA$23)</f>
        <v>0</v>
      </c>
      <c r="W644" s="3">
        <f>Таблица1[[#This Row],[Годовой доход]]/12</f>
        <v>89374.416666666672</v>
      </c>
      <c r="X644" s="3">
        <f>Таблица1[[#This Row],[Ежемесячный платеж]]/Таблица1[[#This Row],[Ежем доход]]</f>
        <v>0.23799953939093307</v>
      </c>
      <c r="Y644" s="3"/>
      <c r="Z644" s="3"/>
      <c r="AA644" s="3"/>
      <c r="AB644" s="3"/>
    </row>
    <row r="645" spans="1:28" x14ac:dyDescent="0.2">
      <c r="A645">
        <v>598</v>
      </c>
      <c r="B645" t="s">
        <v>639</v>
      </c>
      <c r="C645" t="s">
        <v>35</v>
      </c>
      <c r="D645" t="s">
        <v>19</v>
      </c>
      <c r="E645" t="s">
        <v>47</v>
      </c>
      <c r="F645" t="s">
        <v>33</v>
      </c>
      <c r="G645" t="s">
        <v>25</v>
      </c>
      <c r="H645" s="1">
        <v>341308</v>
      </c>
      <c r="I645" s="3">
        <v>741</v>
      </c>
      <c r="J645" s="3">
        <v>669503</v>
      </c>
      <c r="K645" s="3">
        <v>9317.2199999999993</v>
      </c>
      <c r="L645" s="2">
        <v>11.4</v>
      </c>
      <c r="M645" s="11">
        <v>35.265240640000002</v>
      </c>
      <c r="N645" s="3">
        <v>6</v>
      </c>
      <c r="O645" s="3">
        <v>379601</v>
      </c>
      <c r="P645" s="3">
        <v>646404</v>
      </c>
      <c r="Q645" s="10">
        <v>0</v>
      </c>
      <c r="R645" s="3">
        <f>(Таблица1[Размер кредита]-$AA$2)/$AA$3</f>
        <v>0.18055372487450921</v>
      </c>
      <c r="S645" s="3">
        <f>(Таблица1[Кредитный рейтинг]-$AA$7)/($AA$8-$AA$7)</f>
        <v>0.98668442077230356</v>
      </c>
      <c r="T645" s="3">
        <f>(Таблица1[Срок с последнего нарушения кредитного договора (мес,)]-$AA$12)/($AA$13-$AA$12)</f>
        <v>0.40074137090909095</v>
      </c>
      <c r="U645" s="3">
        <f>(Таблица1[Количество кредитных карт]-$AA$18)/($AA$19-$AA$18)</f>
        <v>0.11904761904761904</v>
      </c>
      <c r="V645" s="3">
        <f>(Таблица1[Число нарушений кредитных договоров]-$AA$23)/($AA$24-$AA$23)</f>
        <v>0</v>
      </c>
      <c r="W645" s="3">
        <f>Таблица1[[#This Row],[Годовой доход]]/12</f>
        <v>55791.916666666664</v>
      </c>
      <c r="X645" s="3">
        <f>Таблица1[[#This Row],[Ежемесячный платеж]]/Таблица1[[#This Row],[Ежем доход]]</f>
        <v>0.1669994607940517</v>
      </c>
      <c r="Y645" s="3"/>
      <c r="Z645" s="3"/>
      <c r="AA645" s="3"/>
      <c r="AB645" s="3"/>
    </row>
    <row r="646" spans="1:28" x14ac:dyDescent="0.2">
      <c r="A646">
        <v>1454</v>
      </c>
      <c r="B646" t="s">
        <v>1493</v>
      </c>
      <c r="C646" t="s">
        <v>18</v>
      </c>
      <c r="D646" t="s">
        <v>19</v>
      </c>
      <c r="E646" t="s">
        <v>24</v>
      </c>
      <c r="F646" t="s">
        <v>33</v>
      </c>
      <c r="G646" t="s">
        <v>25</v>
      </c>
      <c r="H646" s="1">
        <v>585266</v>
      </c>
      <c r="I646" s="3">
        <v>706</v>
      </c>
      <c r="J646" s="3">
        <v>1273000</v>
      </c>
      <c r="K646" s="3">
        <v>20686.439999999999</v>
      </c>
      <c r="L646" s="2">
        <v>16.399999999999999</v>
      </c>
      <c r="M646" s="11">
        <v>35.265240640000002</v>
      </c>
      <c r="N646" s="3">
        <v>12</v>
      </c>
      <c r="O646" s="3">
        <v>505343</v>
      </c>
      <c r="P646" s="3">
        <v>645854</v>
      </c>
      <c r="Q646" s="10">
        <v>0</v>
      </c>
      <c r="R646" s="3">
        <f>(Таблица1[Размер кредита]-$AA$2)/$AA$3</f>
        <v>1.5694751473884585</v>
      </c>
      <c r="S646" s="3">
        <f>(Таблица1[Кредитный рейтинг]-$AA$7)/($AA$8-$AA$7)</f>
        <v>0.94007989347536614</v>
      </c>
      <c r="T646" s="3">
        <f>(Таблица1[Срок с последнего нарушения кредитного договора (мес,)]-$AA$12)/($AA$13-$AA$12)</f>
        <v>0.40074137090909095</v>
      </c>
      <c r="U646" s="3">
        <f>(Таблица1[Количество кредитных карт]-$AA$18)/($AA$19-$AA$18)</f>
        <v>0.26190476190476192</v>
      </c>
      <c r="V646" s="3">
        <f>(Таблица1[Число нарушений кредитных договоров]-$AA$23)/($AA$24-$AA$23)</f>
        <v>0</v>
      </c>
      <c r="W646" s="3">
        <f>Таблица1[[#This Row],[Годовой доход]]/12</f>
        <v>106083.33333333333</v>
      </c>
      <c r="X646" s="3">
        <f>Таблица1[[#This Row],[Ежемесячный платеж]]/Таблица1[[#This Row],[Ежем доход]]</f>
        <v>0.19500179104477611</v>
      </c>
      <c r="Y646" s="3"/>
      <c r="Z646" s="3"/>
      <c r="AA646" s="3"/>
      <c r="AB646" s="3"/>
    </row>
    <row r="647" spans="1:28" x14ac:dyDescent="0.2">
      <c r="A647">
        <v>1347</v>
      </c>
      <c r="B647" t="s">
        <v>1386</v>
      </c>
      <c r="C647" t="s">
        <v>18</v>
      </c>
      <c r="D647" t="s">
        <v>29</v>
      </c>
      <c r="E647" t="s">
        <v>69</v>
      </c>
      <c r="F647" t="s">
        <v>21</v>
      </c>
      <c r="G647" t="s">
        <v>22</v>
      </c>
      <c r="H647" s="1">
        <v>642246</v>
      </c>
      <c r="I647" s="3">
        <v>691</v>
      </c>
      <c r="J647" s="3">
        <v>1207830</v>
      </c>
      <c r="K647" s="3">
        <v>12581.42</v>
      </c>
      <c r="L647" s="2">
        <v>16.899999999999999</v>
      </c>
      <c r="M647" s="11">
        <v>35.265240640000002</v>
      </c>
      <c r="N647" s="3">
        <v>7</v>
      </c>
      <c r="O647" s="3">
        <v>129276</v>
      </c>
      <c r="P647" s="3">
        <v>645194</v>
      </c>
      <c r="Q647" s="10">
        <v>0</v>
      </c>
      <c r="R647" s="3">
        <f>(Таблица1[Размер кредита]-$AA$2)/$AA$3</f>
        <v>1.893878293236698</v>
      </c>
      <c r="S647" s="3">
        <f>(Таблица1[Кредитный рейтинг]-$AA$7)/($AA$8-$AA$7)</f>
        <v>0.92010652463382159</v>
      </c>
      <c r="T647" s="3">
        <f>(Таблица1[Срок с последнего нарушения кредитного договора (мес,)]-$AA$12)/($AA$13-$AA$12)</f>
        <v>0.40074137090909095</v>
      </c>
      <c r="U647" s="3">
        <f>(Таблица1[Количество кредитных карт]-$AA$18)/($AA$19-$AA$18)</f>
        <v>0.14285714285714285</v>
      </c>
      <c r="V647" s="3">
        <f>(Таблица1[Число нарушений кредитных договоров]-$AA$23)/($AA$24-$AA$23)</f>
        <v>0</v>
      </c>
      <c r="W647" s="3">
        <f>Таблица1[[#This Row],[Годовой доход]]/12</f>
        <v>100652.5</v>
      </c>
      <c r="X647" s="3">
        <f>Таблица1[[#This Row],[Ежемесячный платеж]]/Таблица1[[#This Row],[Ежем доход]]</f>
        <v>0.12499858423784804</v>
      </c>
      <c r="Y647" s="3"/>
      <c r="Z647" s="3"/>
      <c r="AA647" s="3"/>
      <c r="AB647" s="3"/>
    </row>
    <row r="648" spans="1:28" x14ac:dyDescent="0.2">
      <c r="A648">
        <v>1646</v>
      </c>
      <c r="B648" t="s">
        <v>1684</v>
      </c>
      <c r="C648" t="s">
        <v>18</v>
      </c>
      <c r="D648" t="s">
        <v>19</v>
      </c>
      <c r="E648" t="s">
        <v>24</v>
      </c>
      <c r="F648" t="s">
        <v>33</v>
      </c>
      <c r="G648" t="s">
        <v>25</v>
      </c>
      <c r="H648" s="1">
        <v>309594.52439999999</v>
      </c>
      <c r="I648" s="3">
        <v>740</v>
      </c>
      <c r="J648" s="3">
        <v>1305262</v>
      </c>
      <c r="K648" s="3">
        <v>27693.45</v>
      </c>
      <c r="L648" s="2">
        <v>20.3</v>
      </c>
      <c r="M648" s="11">
        <v>35.265240640000002</v>
      </c>
      <c r="N648" s="3">
        <v>5</v>
      </c>
      <c r="O648" s="3">
        <v>439584</v>
      </c>
      <c r="P648" s="3">
        <v>643478</v>
      </c>
      <c r="Q648" s="10">
        <v>0</v>
      </c>
      <c r="R648" s="3">
        <f>(Таблица1[Размер кредита]-$AA$2)/$AA$3</f>
        <v>-1.2411115481956205E-10</v>
      </c>
      <c r="S648" s="3">
        <f>(Таблица1[Кредитный рейтинг]-$AA$7)/($AA$8-$AA$7)</f>
        <v>0.98535286284953394</v>
      </c>
      <c r="T648" s="3">
        <f>(Таблица1[Срок с последнего нарушения кредитного договора (мес,)]-$AA$12)/($AA$13-$AA$12)</f>
        <v>0.40074137090909095</v>
      </c>
      <c r="U648" s="3">
        <f>(Таблица1[Количество кредитных карт]-$AA$18)/($AA$19-$AA$18)</f>
        <v>9.5238095238095233E-2</v>
      </c>
      <c r="V648" s="3">
        <f>(Таблица1[Число нарушений кредитных договоров]-$AA$23)/($AA$24-$AA$23)</f>
        <v>0</v>
      </c>
      <c r="W648" s="3">
        <f>Таблица1[[#This Row],[Годовой доход]]/12</f>
        <v>108771.83333333333</v>
      </c>
      <c r="X648" s="3">
        <f>Таблица1[[#This Row],[Ежемесячный платеж]]/Таблица1[[#This Row],[Ежем доход]]</f>
        <v>0.2546012984366357</v>
      </c>
      <c r="Y648" s="3"/>
      <c r="Z648" s="3"/>
      <c r="AA648" s="3"/>
      <c r="AB648" s="3"/>
    </row>
    <row r="649" spans="1:28" x14ac:dyDescent="0.2">
      <c r="A649">
        <v>320</v>
      </c>
      <c r="B649" t="s">
        <v>362</v>
      </c>
      <c r="C649" t="s">
        <v>18</v>
      </c>
      <c r="D649" t="s">
        <v>19</v>
      </c>
      <c r="E649" t="s">
        <v>69</v>
      </c>
      <c r="F649" t="s">
        <v>21</v>
      </c>
      <c r="G649" t="s">
        <v>25</v>
      </c>
      <c r="H649" s="1">
        <v>155210</v>
      </c>
      <c r="I649" s="3">
        <v>744</v>
      </c>
      <c r="J649" s="3">
        <v>1053265</v>
      </c>
      <c r="K649" s="3">
        <v>17466.509999999998</v>
      </c>
      <c r="L649" s="2">
        <v>13.3</v>
      </c>
      <c r="M649" s="11">
        <v>35.265240640000002</v>
      </c>
      <c r="N649" s="3">
        <v>8</v>
      </c>
      <c r="O649" s="3">
        <v>492841</v>
      </c>
      <c r="P649" s="3">
        <v>640464</v>
      </c>
      <c r="Q649" s="10">
        <v>0</v>
      </c>
      <c r="R649" s="3">
        <f>(Таблица1[Размер кредита]-$AA$2)/$AA$3</f>
        <v>-0.87895446459663307</v>
      </c>
      <c r="S649" s="3">
        <f>(Таблица1[Кредитный рейтинг]-$AA$7)/($AA$8-$AA$7)</f>
        <v>0.99067909454061254</v>
      </c>
      <c r="T649" s="3">
        <f>(Таблица1[Срок с последнего нарушения кредитного договора (мес,)]-$AA$12)/($AA$13-$AA$12)</f>
        <v>0.40074137090909095</v>
      </c>
      <c r="U649" s="3">
        <f>(Таблица1[Количество кредитных карт]-$AA$18)/($AA$19-$AA$18)</f>
        <v>0.16666666666666666</v>
      </c>
      <c r="V649" s="3">
        <f>(Таблица1[Число нарушений кредитных договоров]-$AA$23)/($AA$24-$AA$23)</f>
        <v>0</v>
      </c>
      <c r="W649" s="3">
        <f>Таблица1[[#This Row],[Годовой доход]]/12</f>
        <v>87772.083333333328</v>
      </c>
      <c r="X649" s="3">
        <f>Таблица1[[#This Row],[Ежемесячный платеж]]/Таблица1[[#This Row],[Ежем доход]]</f>
        <v>0.1989984666726797</v>
      </c>
      <c r="Y649" s="3"/>
      <c r="Z649" s="3"/>
      <c r="AA649" s="3"/>
      <c r="AB649" s="3"/>
    </row>
    <row r="650" spans="1:28" x14ac:dyDescent="0.2">
      <c r="A650">
        <v>153</v>
      </c>
      <c r="B650" t="s">
        <v>195</v>
      </c>
      <c r="C650" t="s">
        <v>35</v>
      </c>
      <c r="D650" t="s">
        <v>29</v>
      </c>
      <c r="E650" t="s">
        <v>24</v>
      </c>
      <c r="F650" t="s">
        <v>21</v>
      </c>
      <c r="G650" t="s">
        <v>25</v>
      </c>
      <c r="H650" s="1">
        <v>332684</v>
      </c>
      <c r="I650" s="3">
        <v>722</v>
      </c>
      <c r="J650" s="3">
        <v>881087</v>
      </c>
      <c r="K650" s="3">
        <v>12702.26</v>
      </c>
      <c r="L650" s="2">
        <v>14.5</v>
      </c>
      <c r="M650" s="11">
        <v>35.265240640000002</v>
      </c>
      <c r="N650" s="3">
        <v>9</v>
      </c>
      <c r="O650" s="3">
        <v>472226</v>
      </c>
      <c r="P650" s="3">
        <v>640266</v>
      </c>
      <c r="Q650" s="10">
        <v>0</v>
      </c>
      <c r="R650" s="3">
        <f>(Таблица1[Размер кредита]-$AA$2)/$AA$3</f>
        <v>0.13145487036774864</v>
      </c>
      <c r="S650" s="3">
        <f>(Таблица1[Кредитный рейтинг]-$AA$7)/($AA$8-$AA$7)</f>
        <v>0.96138482023968042</v>
      </c>
      <c r="T650" s="3">
        <f>(Таблица1[Срок с последнего нарушения кредитного договора (мес,)]-$AA$12)/($AA$13-$AA$12)</f>
        <v>0.40074137090909095</v>
      </c>
      <c r="U650" s="3">
        <f>(Таблица1[Количество кредитных карт]-$AA$18)/($AA$19-$AA$18)</f>
        <v>0.19047619047619047</v>
      </c>
      <c r="V650" s="3">
        <f>(Таблица1[Число нарушений кредитных договоров]-$AA$23)/($AA$24-$AA$23)</f>
        <v>0</v>
      </c>
      <c r="W650" s="3">
        <f>Таблица1[[#This Row],[Годовой доход]]/12</f>
        <v>73423.916666666672</v>
      </c>
      <c r="X650" s="3">
        <f>Таблица1[[#This Row],[Ежемесячный платеж]]/Таблица1[[#This Row],[Ежем доход]]</f>
        <v>0.17299894335065663</v>
      </c>
      <c r="Y650" s="3"/>
      <c r="Z650" s="3"/>
      <c r="AA650" s="3"/>
      <c r="AB650" s="3"/>
    </row>
    <row r="651" spans="1:28" x14ac:dyDescent="0.2">
      <c r="A651">
        <v>413</v>
      </c>
      <c r="B651" t="s">
        <v>455</v>
      </c>
      <c r="C651" t="s">
        <v>35</v>
      </c>
      <c r="D651" t="s">
        <v>19</v>
      </c>
      <c r="E651" t="s">
        <v>30</v>
      </c>
      <c r="F651" t="s">
        <v>33</v>
      </c>
      <c r="G651" t="s">
        <v>25</v>
      </c>
      <c r="H651" s="1">
        <v>224312</v>
      </c>
      <c r="I651" s="3">
        <v>700</v>
      </c>
      <c r="J651" s="3">
        <v>678034</v>
      </c>
      <c r="K651" s="3">
        <v>13052.24</v>
      </c>
      <c r="L651" s="2">
        <v>12.8</v>
      </c>
      <c r="M651" s="11">
        <v>64</v>
      </c>
      <c r="N651" s="3">
        <v>13</v>
      </c>
      <c r="O651" s="3">
        <v>240863</v>
      </c>
      <c r="P651" s="3">
        <v>639650</v>
      </c>
      <c r="Q651" s="10">
        <v>0</v>
      </c>
      <c r="R651" s="3">
        <f>(Таблица1[Размер кредита]-$AA$2)/$AA$3</f>
        <v>-0.48553736764322747</v>
      </c>
      <c r="S651" s="3">
        <f>(Таблица1[Кредитный рейтинг]-$AA$7)/($AA$8-$AA$7)</f>
        <v>0.93209054593874829</v>
      </c>
      <c r="T651" s="3">
        <f>(Таблица1[Срок с последнего нарушения кредитного договора (мес,)]-$AA$12)/($AA$13-$AA$12)</f>
        <v>0.72727272727272729</v>
      </c>
      <c r="U651" s="3">
        <f>(Таблица1[Количество кредитных карт]-$AA$18)/($AA$19-$AA$18)</f>
        <v>0.2857142857142857</v>
      </c>
      <c r="V651" s="3">
        <f>(Таблица1[Число нарушений кредитных договоров]-$AA$23)/($AA$24-$AA$23)</f>
        <v>0</v>
      </c>
      <c r="W651" s="3">
        <f>Таблица1[[#This Row],[Годовой доход]]/12</f>
        <v>56502.833333333336</v>
      </c>
      <c r="X651" s="3">
        <f>Таблица1[[#This Row],[Ежемесячный платеж]]/Таблица1[[#This Row],[Ежем доход]]</f>
        <v>0.23100151319845316</v>
      </c>
      <c r="Y651" s="3"/>
      <c r="Z651" s="3"/>
      <c r="AA651" s="3"/>
      <c r="AB651" s="3"/>
    </row>
    <row r="652" spans="1:28" x14ac:dyDescent="0.2">
      <c r="A652">
        <v>217</v>
      </c>
      <c r="B652" t="s">
        <v>259</v>
      </c>
      <c r="C652" t="s">
        <v>35</v>
      </c>
      <c r="D652" t="s">
        <v>19</v>
      </c>
      <c r="E652" t="s">
        <v>24</v>
      </c>
      <c r="F652" t="s">
        <v>21</v>
      </c>
      <c r="G652" t="s">
        <v>25</v>
      </c>
      <c r="H652" s="1">
        <v>269170</v>
      </c>
      <c r="I652" s="3">
        <v>714</v>
      </c>
      <c r="J652" s="3">
        <v>1259206</v>
      </c>
      <c r="K652" s="3">
        <v>15110.51</v>
      </c>
      <c r="L652" s="2">
        <v>10.199999999999999</v>
      </c>
      <c r="M652" s="11">
        <v>35.265240640000002</v>
      </c>
      <c r="N652" s="3">
        <v>9</v>
      </c>
      <c r="O652" s="3">
        <v>392730</v>
      </c>
      <c r="P652" s="3">
        <v>639584</v>
      </c>
      <c r="Q652" s="10">
        <v>1</v>
      </c>
      <c r="R652" s="3">
        <f>(Таблица1[Размер кредита]-$AA$2)/$AA$3</f>
        <v>-0.23014817290015394</v>
      </c>
      <c r="S652" s="3">
        <f>(Таблица1[Кредитный рейтинг]-$AA$7)/($AA$8-$AA$7)</f>
        <v>0.95073235685752333</v>
      </c>
      <c r="T652" s="3">
        <f>(Таблица1[Срок с последнего нарушения кредитного договора (мес,)]-$AA$12)/($AA$13-$AA$12)</f>
        <v>0.40074137090909095</v>
      </c>
      <c r="U652" s="3">
        <f>(Таблица1[Количество кредитных карт]-$AA$18)/($AA$19-$AA$18)</f>
        <v>0.19047619047619047</v>
      </c>
      <c r="V652" s="3">
        <f>(Таблица1[Число нарушений кредитных договоров]-$AA$23)/($AA$24-$AA$23)</f>
        <v>0.14285714285714285</v>
      </c>
      <c r="W652" s="3">
        <f>Таблица1[[#This Row],[Годовой доход]]/12</f>
        <v>104933.83333333333</v>
      </c>
      <c r="X652" s="3">
        <f>Таблица1[[#This Row],[Ежемесячный платеж]]/Таблица1[[#This Row],[Ежем доход]]</f>
        <v>0.14400036213296316</v>
      </c>
      <c r="Y652" s="3"/>
      <c r="Z652" s="3"/>
      <c r="AA652" s="3"/>
      <c r="AB652" s="3"/>
    </row>
    <row r="653" spans="1:28" x14ac:dyDescent="0.2">
      <c r="A653">
        <v>1078</v>
      </c>
      <c r="B653" t="s">
        <v>1117</v>
      </c>
      <c r="C653" t="s">
        <v>18</v>
      </c>
      <c r="D653" t="s">
        <v>29</v>
      </c>
      <c r="E653" t="s">
        <v>63</v>
      </c>
      <c r="F653" t="s">
        <v>33</v>
      </c>
      <c r="G653" t="s">
        <v>67</v>
      </c>
      <c r="H653" s="1">
        <v>309594.52439999999</v>
      </c>
      <c r="I653" s="3">
        <v>702</v>
      </c>
      <c r="J653" s="3">
        <v>1532920</v>
      </c>
      <c r="K653" s="3">
        <v>12442.15</v>
      </c>
      <c r="L653" s="2">
        <v>15</v>
      </c>
      <c r="M653" s="11">
        <v>76</v>
      </c>
      <c r="N653" s="3">
        <v>9</v>
      </c>
      <c r="O653" s="3">
        <v>256652</v>
      </c>
      <c r="P653" s="3">
        <v>639078</v>
      </c>
      <c r="Q653" s="10">
        <v>0</v>
      </c>
      <c r="R653" s="3">
        <f>(Таблица1[Размер кредита]-$AA$2)/$AA$3</f>
        <v>-1.2411115481956205E-10</v>
      </c>
      <c r="S653" s="3">
        <f>(Таблица1[Кредитный рейтинг]-$AA$7)/($AA$8-$AA$7)</f>
        <v>0.93475366178428765</v>
      </c>
      <c r="T653" s="3">
        <f>(Таблица1[Срок с последнего нарушения кредитного договора (мес,)]-$AA$12)/($AA$13-$AA$12)</f>
        <v>0.86363636363636365</v>
      </c>
      <c r="U653" s="3">
        <f>(Таблица1[Количество кредитных карт]-$AA$18)/($AA$19-$AA$18)</f>
        <v>0.19047619047619047</v>
      </c>
      <c r="V653" s="3">
        <f>(Таблица1[Число нарушений кредитных договоров]-$AA$23)/($AA$24-$AA$23)</f>
        <v>0</v>
      </c>
      <c r="W653" s="3">
        <f>Таблица1[[#This Row],[Годовой доход]]/12</f>
        <v>127743.33333333333</v>
      </c>
      <c r="X653" s="3">
        <f>Таблица1[[#This Row],[Ежемесячный платеж]]/Таблица1[[#This Row],[Ежем доход]]</f>
        <v>9.7399603371343582E-2</v>
      </c>
      <c r="Y653" s="3"/>
      <c r="Z653" s="3"/>
      <c r="AA653" s="3"/>
      <c r="AB653" s="3"/>
    </row>
    <row r="654" spans="1:28" x14ac:dyDescent="0.2">
      <c r="A654">
        <v>1938</v>
      </c>
      <c r="B654" t="s">
        <v>1974</v>
      </c>
      <c r="C654" t="s">
        <v>18</v>
      </c>
      <c r="D654" t="s">
        <v>19</v>
      </c>
      <c r="E654" t="s">
        <v>30</v>
      </c>
      <c r="F654" t="s">
        <v>33</v>
      </c>
      <c r="G654" t="s">
        <v>70</v>
      </c>
      <c r="H654" s="1">
        <v>66836</v>
      </c>
      <c r="I654" s="3">
        <v>715</v>
      </c>
      <c r="J654" s="3">
        <v>692550</v>
      </c>
      <c r="K654" s="3">
        <v>11831.11</v>
      </c>
      <c r="L654" s="2">
        <v>28.3</v>
      </c>
      <c r="M654" s="11">
        <v>35.265240640000002</v>
      </c>
      <c r="N654" s="3">
        <v>10</v>
      </c>
      <c r="O654" s="3">
        <v>423605</v>
      </c>
      <c r="P654" s="3">
        <v>638660</v>
      </c>
      <c r="Q654" s="10">
        <v>0</v>
      </c>
      <c r="R654" s="3">
        <f>(Таблица1[Размер кредита]-$AA$2)/$AA$3</f>
        <v>-1.3820924711110649</v>
      </c>
      <c r="S654" s="3">
        <f>(Таблица1[Кредитный рейтинг]-$AA$7)/($AA$8-$AA$7)</f>
        <v>0.95206391478029295</v>
      </c>
      <c r="T654" s="3">
        <f>(Таблица1[Срок с последнего нарушения кредитного договора (мес,)]-$AA$12)/($AA$13-$AA$12)</f>
        <v>0.40074137090909095</v>
      </c>
      <c r="U654" s="3">
        <f>(Таблица1[Количество кредитных карт]-$AA$18)/($AA$19-$AA$18)</f>
        <v>0.21428571428571427</v>
      </c>
      <c r="V654" s="3">
        <f>(Таблица1[Число нарушений кредитных договоров]-$AA$23)/($AA$24-$AA$23)</f>
        <v>0</v>
      </c>
      <c r="W654" s="3">
        <f>Таблица1[[#This Row],[Годовой доход]]/12</f>
        <v>57712.5</v>
      </c>
      <c r="X654" s="3">
        <f>Таблица1[[#This Row],[Ежемесячный платеж]]/Таблица1[[#This Row],[Ежем доход]]</f>
        <v>0.20500082304526751</v>
      </c>
      <c r="Y654" s="3"/>
      <c r="Z654" s="3"/>
      <c r="AA654" s="3"/>
      <c r="AB654" s="3"/>
    </row>
    <row r="655" spans="1:28" x14ac:dyDescent="0.2">
      <c r="A655">
        <v>58</v>
      </c>
      <c r="B655" t="s">
        <v>99</v>
      </c>
      <c r="C655" t="s">
        <v>18</v>
      </c>
      <c r="D655" t="s">
        <v>19</v>
      </c>
      <c r="E655" t="s">
        <v>52</v>
      </c>
      <c r="F655" t="s">
        <v>21</v>
      </c>
      <c r="G655" t="s">
        <v>25</v>
      </c>
      <c r="H655" s="1">
        <v>669372</v>
      </c>
      <c r="I655" s="3">
        <v>725</v>
      </c>
      <c r="J655" s="3">
        <v>2158210</v>
      </c>
      <c r="K655" s="3">
        <v>34711.29</v>
      </c>
      <c r="L655" s="2">
        <v>9.1999999999999993</v>
      </c>
      <c r="M655" s="11">
        <v>35.265240640000002</v>
      </c>
      <c r="N655" s="3">
        <v>17</v>
      </c>
      <c r="O655" s="3">
        <v>496052</v>
      </c>
      <c r="P655" s="3">
        <v>638176</v>
      </c>
      <c r="Q655" s="10">
        <v>0</v>
      </c>
      <c r="R655" s="3">
        <f>(Таблица1[Размер кредита]-$AA$2)/$AA$3</f>
        <v>2.0483142310092384</v>
      </c>
      <c r="S655" s="3">
        <f>(Таблица1[Кредитный рейтинг]-$AA$7)/($AA$8-$AA$7)</f>
        <v>0.96537949400798939</v>
      </c>
      <c r="T655" s="3">
        <f>(Таблица1[Срок с последнего нарушения кредитного договора (мес,)]-$AA$12)/($AA$13-$AA$12)</f>
        <v>0.40074137090909095</v>
      </c>
      <c r="U655" s="3">
        <f>(Таблица1[Количество кредитных карт]-$AA$18)/($AA$19-$AA$18)</f>
        <v>0.38095238095238093</v>
      </c>
      <c r="V655" s="3">
        <f>(Таблица1[Число нарушений кредитных договоров]-$AA$23)/($AA$24-$AA$23)</f>
        <v>0</v>
      </c>
      <c r="W655" s="3">
        <f>Таблица1[[#This Row],[Годовой доход]]/12</f>
        <v>179850.83333333334</v>
      </c>
      <c r="X655" s="3">
        <f>Таблица1[[#This Row],[Ежемесячный платеж]]/Таблица1[[#This Row],[Ежем доход]]</f>
        <v>0.19300044017959328</v>
      </c>
      <c r="Y655" s="3"/>
      <c r="Z655" s="3"/>
      <c r="AA655" s="3"/>
      <c r="AB655" s="3"/>
    </row>
    <row r="656" spans="1:28" x14ac:dyDescent="0.2">
      <c r="A656">
        <v>206</v>
      </c>
      <c r="B656" t="s">
        <v>248</v>
      </c>
      <c r="C656" t="s">
        <v>35</v>
      </c>
      <c r="D656" t="s">
        <v>19</v>
      </c>
      <c r="E656" t="s">
        <v>24</v>
      </c>
      <c r="F656" t="s">
        <v>21</v>
      </c>
      <c r="G656" t="s">
        <v>25</v>
      </c>
      <c r="H656" s="1">
        <v>432256</v>
      </c>
      <c r="I656" s="3">
        <v>737</v>
      </c>
      <c r="J656" s="3">
        <v>2053216</v>
      </c>
      <c r="K656" s="3">
        <v>16305.8</v>
      </c>
      <c r="L656" s="2">
        <v>17.399999999999999</v>
      </c>
      <c r="M656" s="11">
        <v>35.265240640000002</v>
      </c>
      <c r="N656" s="3">
        <v>11</v>
      </c>
      <c r="O656" s="3">
        <v>316331</v>
      </c>
      <c r="P656" s="3">
        <v>638088</v>
      </c>
      <c r="Q656" s="10">
        <v>0</v>
      </c>
      <c r="R656" s="3">
        <f>(Таблица1[Размер кредита]-$AA$2)/$AA$3</f>
        <v>0.69834623643305072</v>
      </c>
      <c r="S656" s="3">
        <f>(Таблица1[Кредитный рейтинг]-$AA$7)/($AA$8-$AA$7)</f>
        <v>0.98135818908122507</v>
      </c>
      <c r="T656" s="3">
        <f>(Таблица1[Срок с последнего нарушения кредитного договора (мес,)]-$AA$12)/($AA$13-$AA$12)</f>
        <v>0.40074137090909095</v>
      </c>
      <c r="U656" s="3">
        <f>(Таблица1[Количество кредитных карт]-$AA$18)/($AA$19-$AA$18)</f>
        <v>0.23809523809523808</v>
      </c>
      <c r="V656" s="3">
        <f>(Таблица1[Число нарушений кредитных договоров]-$AA$23)/($AA$24-$AA$23)</f>
        <v>0</v>
      </c>
      <c r="W656" s="3">
        <f>Таблица1[[#This Row],[Годовой доход]]/12</f>
        <v>171101.33333333334</v>
      </c>
      <c r="X656" s="3">
        <f>Таблица1[[#This Row],[Ежемесячный платеж]]/Таблица1[[#This Row],[Ежем доход]]</f>
        <v>9.5299082025466386E-2</v>
      </c>
      <c r="Y656" s="3"/>
      <c r="Z656" s="3"/>
      <c r="AA656" s="3"/>
      <c r="AB656" s="3"/>
    </row>
    <row r="657" spans="1:28" x14ac:dyDescent="0.2">
      <c r="A657">
        <v>1493</v>
      </c>
      <c r="B657" t="s">
        <v>1532</v>
      </c>
      <c r="C657" t="s">
        <v>18</v>
      </c>
      <c r="D657" t="s">
        <v>29</v>
      </c>
      <c r="E657" t="s">
        <v>41</v>
      </c>
      <c r="F657" t="s">
        <v>33</v>
      </c>
      <c r="G657" t="s">
        <v>25</v>
      </c>
      <c r="H657" s="1">
        <v>258500</v>
      </c>
      <c r="I657" s="3">
        <v>0</v>
      </c>
      <c r="J657" s="3">
        <v>1168044</v>
      </c>
      <c r="K657" s="3">
        <v>28031.27</v>
      </c>
      <c r="L657" s="2">
        <v>14.5</v>
      </c>
      <c r="M657" s="11">
        <v>35.265240640000002</v>
      </c>
      <c r="N657" s="3">
        <v>16</v>
      </c>
      <c r="O657" s="3">
        <v>34713</v>
      </c>
      <c r="P657" s="3">
        <v>638066</v>
      </c>
      <c r="Q657" s="10">
        <v>0</v>
      </c>
      <c r="R657" s="3">
        <f>(Таблица1[Размер кредита]-$AA$2)/$AA$3</f>
        <v>-0.29089548013428373</v>
      </c>
      <c r="S657" s="3">
        <f>(Таблица1[Кредитный рейтинг]-$AA$7)/($AA$8-$AA$7)</f>
        <v>0</v>
      </c>
      <c r="T657" s="3">
        <f>(Таблица1[Срок с последнего нарушения кредитного договора (мес,)]-$AA$12)/($AA$13-$AA$12)</f>
        <v>0.40074137090909095</v>
      </c>
      <c r="U657" s="3">
        <f>(Таблица1[Количество кредитных карт]-$AA$18)/($AA$19-$AA$18)</f>
        <v>0.35714285714285715</v>
      </c>
      <c r="V657" s="3">
        <f>(Таблица1[Число нарушений кредитных договоров]-$AA$23)/($AA$24-$AA$23)</f>
        <v>0</v>
      </c>
      <c r="W657" s="3">
        <f>Таблица1[[#This Row],[Годовой доход]]/12</f>
        <v>97337</v>
      </c>
      <c r="X657" s="3">
        <f>Таблица1[[#This Row],[Ежемесячный платеж]]/Таблица1[[#This Row],[Ежем доход]]</f>
        <v>0.28798165137614679</v>
      </c>
      <c r="Y657" s="3"/>
      <c r="Z657" s="3"/>
      <c r="AA657" s="3"/>
      <c r="AB657" s="3"/>
    </row>
    <row r="658" spans="1:28" x14ac:dyDescent="0.2">
      <c r="A658">
        <v>1893</v>
      </c>
      <c r="B658" t="s">
        <v>1929</v>
      </c>
      <c r="C658" t="s">
        <v>18</v>
      </c>
      <c r="D658" t="s">
        <v>29</v>
      </c>
      <c r="E658" t="s">
        <v>52</v>
      </c>
      <c r="F658" t="s">
        <v>21</v>
      </c>
      <c r="G658" t="s">
        <v>25</v>
      </c>
      <c r="H658" s="1">
        <v>474144</v>
      </c>
      <c r="I658" s="3">
        <v>657</v>
      </c>
      <c r="J658" s="3">
        <v>1139601</v>
      </c>
      <c r="K658" s="3">
        <v>23457.02</v>
      </c>
      <c r="L658" s="2">
        <v>18.7</v>
      </c>
      <c r="M658" s="11">
        <v>23</v>
      </c>
      <c r="N658" s="3">
        <v>19</v>
      </c>
      <c r="O658" s="3">
        <v>270921</v>
      </c>
      <c r="P658" s="3">
        <v>637582</v>
      </c>
      <c r="Q658" s="10">
        <v>0</v>
      </c>
      <c r="R658" s="3">
        <f>(Таблица1[Размер кредита]-$AA$2)/$AA$3</f>
        <v>0.93682638689445918</v>
      </c>
      <c r="S658" s="3">
        <f>(Таблица1[Кредитный рейтинг]-$AA$7)/($AA$8-$AA$7)</f>
        <v>0.87483355525965378</v>
      </c>
      <c r="T658" s="3">
        <f>(Таблица1[Срок с последнего нарушения кредитного договора (мес,)]-$AA$12)/($AA$13-$AA$12)</f>
        <v>0.26136363636363635</v>
      </c>
      <c r="U658" s="3">
        <f>(Таблица1[Количество кредитных карт]-$AA$18)/($AA$19-$AA$18)</f>
        <v>0.42857142857142855</v>
      </c>
      <c r="V658" s="3">
        <f>(Таблица1[Число нарушений кредитных договоров]-$AA$23)/($AA$24-$AA$23)</f>
        <v>0</v>
      </c>
      <c r="W658" s="3">
        <f>Таблица1[[#This Row],[Годовой доход]]/12</f>
        <v>94966.75</v>
      </c>
      <c r="X658" s="3">
        <f>Таблица1[[#This Row],[Ежемесячный платеж]]/Таблица1[[#This Row],[Ежем доход]]</f>
        <v>0.24700245085780023</v>
      </c>
      <c r="Y658" s="3"/>
      <c r="Z658" s="3"/>
      <c r="AA658" s="3"/>
      <c r="AB658" s="3"/>
    </row>
    <row r="659" spans="1:28" x14ac:dyDescent="0.2">
      <c r="A659">
        <v>1014</v>
      </c>
      <c r="B659" t="s">
        <v>1053</v>
      </c>
      <c r="C659" t="s">
        <v>18</v>
      </c>
      <c r="D659" t="s">
        <v>19</v>
      </c>
      <c r="E659" t="s">
        <v>63</v>
      </c>
      <c r="F659" t="s">
        <v>27</v>
      </c>
      <c r="G659" t="s">
        <v>25</v>
      </c>
      <c r="H659" s="1">
        <v>178508</v>
      </c>
      <c r="I659" s="3">
        <v>739</v>
      </c>
      <c r="J659" s="3">
        <v>2312604</v>
      </c>
      <c r="K659" s="3">
        <v>21777.040000000001</v>
      </c>
      <c r="L659" s="2">
        <v>21.3</v>
      </c>
      <c r="M659" s="11">
        <v>18</v>
      </c>
      <c r="N659" s="3">
        <v>9</v>
      </c>
      <c r="O659" s="3">
        <v>134216</v>
      </c>
      <c r="P659" s="3">
        <v>636878</v>
      </c>
      <c r="Q659" s="10">
        <v>0</v>
      </c>
      <c r="R659" s="3">
        <f>(Таблица1[Размер кредита]-$AA$2)/$AA$3</f>
        <v>-0.74631240612046101</v>
      </c>
      <c r="S659" s="3">
        <f>(Таблица1[Кредитный рейтинг]-$AA$7)/($AA$8-$AA$7)</f>
        <v>0.98402130492676432</v>
      </c>
      <c r="T659" s="3">
        <f>(Таблица1[Срок с последнего нарушения кредитного договора (мес,)]-$AA$12)/($AA$13-$AA$12)</f>
        <v>0.20454545454545456</v>
      </c>
      <c r="U659" s="3">
        <f>(Таблица1[Количество кредитных карт]-$AA$18)/($AA$19-$AA$18)</f>
        <v>0.19047619047619047</v>
      </c>
      <c r="V659" s="3">
        <f>(Таблица1[Число нарушений кредитных договоров]-$AA$23)/($AA$24-$AA$23)</f>
        <v>0</v>
      </c>
      <c r="W659" s="3">
        <f>Таблица1[[#This Row],[Годовой доход]]/12</f>
        <v>192717</v>
      </c>
      <c r="X659" s="3">
        <f>Таблица1[[#This Row],[Ежемесячный платеж]]/Таблица1[[#This Row],[Ежем доход]]</f>
        <v>0.11300009859016071</v>
      </c>
      <c r="Y659" s="3"/>
      <c r="Z659" s="3"/>
      <c r="AA659" s="3"/>
      <c r="AB659" s="3"/>
    </row>
    <row r="660" spans="1:28" x14ac:dyDescent="0.2">
      <c r="A660">
        <v>1591</v>
      </c>
      <c r="B660" t="s">
        <v>1630</v>
      </c>
      <c r="C660" t="s">
        <v>18</v>
      </c>
      <c r="D660" t="s">
        <v>29</v>
      </c>
      <c r="E660" t="s">
        <v>30</v>
      </c>
      <c r="F660" t="s">
        <v>21</v>
      </c>
      <c r="G660" t="s">
        <v>25</v>
      </c>
      <c r="H660" s="1">
        <v>558866</v>
      </c>
      <c r="I660" s="3">
        <v>685</v>
      </c>
      <c r="J660" s="3">
        <v>1835989</v>
      </c>
      <c r="K660" s="3">
        <v>27233.84</v>
      </c>
      <c r="L660" s="2">
        <v>26.6</v>
      </c>
      <c r="M660" s="11">
        <v>35.265240640000002</v>
      </c>
      <c r="N660" s="3">
        <v>12</v>
      </c>
      <c r="O660" s="3">
        <v>427177</v>
      </c>
      <c r="P660" s="3">
        <v>635778</v>
      </c>
      <c r="Q660" s="10">
        <v>0</v>
      </c>
      <c r="R660" s="3">
        <f>(Таблица1[Размер кредита]-$AA$2)/$AA$3</f>
        <v>1.4191725315514363</v>
      </c>
      <c r="S660" s="3">
        <f>(Таблица1[Кредитный рейтинг]-$AA$7)/($AA$8-$AA$7)</f>
        <v>0.91211717709720375</v>
      </c>
      <c r="T660" s="3">
        <f>(Таблица1[Срок с последнего нарушения кредитного договора (мес,)]-$AA$12)/($AA$13-$AA$12)</f>
        <v>0.40074137090909095</v>
      </c>
      <c r="U660" s="3">
        <f>(Таблица1[Количество кредитных карт]-$AA$18)/($AA$19-$AA$18)</f>
        <v>0.26190476190476192</v>
      </c>
      <c r="V660" s="3">
        <f>(Таблица1[Число нарушений кредитных договоров]-$AA$23)/($AA$24-$AA$23)</f>
        <v>0</v>
      </c>
      <c r="W660" s="3">
        <f>Таблица1[[#This Row],[Годовой доход]]/12</f>
        <v>152999.08333333334</v>
      </c>
      <c r="X660" s="3">
        <f>Таблица1[[#This Row],[Ежемесячный платеж]]/Таблица1[[#This Row],[Ежем доход]]</f>
        <v>0.17800002069729176</v>
      </c>
      <c r="Y660" s="3"/>
      <c r="Z660" s="3"/>
      <c r="AA660" s="3"/>
      <c r="AB660" s="3"/>
    </row>
    <row r="661" spans="1:28" x14ac:dyDescent="0.2">
      <c r="A661">
        <v>1674</v>
      </c>
      <c r="B661" t="s">
        <v>1712</v>
      </c>
      <c r="C661" t="s">
        <v>18</v>
      </c>
      <c r="D661" t="s">
        <v>19</v>
      </c>
      <c r="E661" t="s">
        <v>50</v>
      </c>
      <c r="F661" t="s">
        <v>21</v>
      </c>
      <c r="G661" t="s">
        <v>25</v>
      </c>
      <c r="H661" s="1">
        <v>268664</v>
      </c>
      <c r="I661" s="3">
        <v>740</v>
      </c>
      <c r="J661" s="3">
        <v>1102171</v>
      </c>
      <c r="K661" s="3">
        <v>27462.41</v>
      </c>
      <c r="L661" s="2">
        <v>13.2</v>
      </c>
      <c r="M661" s="11">
        <v>35.265240640000002</v>
      </c>
      <c r="N661" s="3">
        <v>13</v>
      </c>
      <c r="O661" s="3">
        <v>194313</v>
      </c>
      <c r="P661" s="3">
        <v>635558</v>
      </c>
      <c r="Q661" s="10">
        <v>0</v>
      </c>
      <c r="R661" s="3">
        <f>(Таблица1[Размер кредита]-$AA$2)/$AA$3</f>
        <v>-0.23302897303703018</v>
      </c>
      <c r="S661" s="3">
        <f>(Таблица1[Кредитный рейтинг]-$AA$7)/($AA$8-$AA$7)</f>
        <v>0.98535286284953394</v>
      </c>
      <c r="T661" s="3">
        <f>(Таблица1[Срок с последнего нарушения кредитного договора (мес,)]-$AA$12)/($AA$13-$AA$12)</f>
        <v>0.40074137090909095</v>
      </c>
      <c r="U661" s="3">
        <f>(Таблица1[Количество кредитных карт]-$AA$18)/($AA$19-$AA$18)</f>
        <v>0.2857142857142857</v>
      </c>
      <c r="V661" s="3">
        <f>(Таблица1[Число нарушений кредитных договоров]-$AA$23)/($AA$24-$AA$23)</f>
        <v>0</v>
      </c>
      <c r="W661" s="3">
        <f>Таблица1[[#This Row],[Годовой доход]]/12</f>
        <v>91847.583333333328</v>
      </c>
      <c r="X661" s="3">
        <f>Таблица1[[#This Row],[Ежемесячный платеж]]/Таблица1[[#This Row],[Ежем доход]]</f>
        <v>0.29899981037425227</v>
      </c>
      <c r="Y661" s="3"/>
      <c r="Z661" s="3"/>
      <c r="AA661" s="3"/>
      <c r="AB661" s="3"/>
    </row>
    <row r="662" spans="1:28" x14ac:dyDescent="0.2">
      <c r="A662">
        <v>901</v>
      </c>
      <c r="B662" t="s">
        <v>942</v>
      </c>
      <c r="C662" t="s">
        <v>18</v>
      </c>
      <c r="D662" t="s">
        <v>19</v>
      </c>
      <c r="E662" t="s">
        <v>24</v>
      </c>
      <c r="F662" t="s">
        <v>21</v>
      </c>
      <c r="G662" t="s">
        <v>25</v>
      </c>
      <c r="H662" s="1">
        <v>485782</v>
      </c>
      <c r="I662" s="3">
        <v>0</v>
      </c>
      <c r="J662" s="3">
        <v>1168044</v>
      </c>
      <c r="K662" s="3">
        <v>21325.41</v>
      </c>
      <c r="L662" s="2">
        <v>12.7</v>
      </c>
      <c r="M662" s="11">
        <v>35.265240640000002</v>
      </c>
      <c r="N662" s="3">
        <v>8</v>
      </c>
      <c r="O662" s="3">
        <v>423339</v>
      </c>
      <c r="P662" s="3">
        <v>634128</v>
      </c>
      <c r="Q662" s="10">
        <v>0</v>
      </c>
      <c r="R662" s="3">
        <f>(Таблица1[Размер кредита]-$AA$2)/$AA$3</f>
        <v>1.0030847900426132</v>
      </c>
      <c r="S662" s="3">
        <f>(Таблица1[Кредитный рейтинг]-$AA$7)/($AA$8-$AA$7)</f>
        <v>0</v>
      </c>
      <c r="T662" s="3">
        <f>(Таблица1[Срок с последнего нарушения кредитного договора (мес,)]-$AA$12)/($AA$13-$AA$12)</f>
        <v>0.40074137090909095</v>
      </c>
      <c r="U662" s="3">
        <f>(Таблица1[Количество кредитных карт]-$AA$18)/($AA$19-$AA$18)</f>
        <v>0.16666666666666666</v>
      </c>
      <c r="V662" s="3">
        <f>(Таблица1[Число нарушений кредитных договоров]-$AA$23)/($AA$24-$AA$23)</f>
        <v>0</v>
      </c>
      <c r="W662" s="3">
        <f>Таблица1[[#This Row],[Годовой доход]]/12</f>
        <v>97337</v>
      </c>
      <c r="X662" s="3">
        <f>Таблица1[[#This Row],[Ежемесячный платеж]]/Таблица1[[#This Row],[Ежем доход]]</f>
        <v>0.21908842475112239</v>
      </c>
      <c r="Y662" s="3"/>
      <c r="Z662" s="3"/>
      <c r="AA662" s="3"/>
      <c r="AB662" s="3"/>
    </row>
    <row r="663" spans="1:28" x14ac:dyDescent="0.2">
      <c r="A663">
        <v>1752</v>
      </c>
      <c r="B663" t="s">
        <v>1790</v>
      </c>
      <c r="C663" t="s">
        <v>18</v>
      </c>
      <c r="D663" t="s">
        <v>29</v>
      </c>
      <c r="E663" t="s">
        <v>24</v>
      </c>
      <c r="F663" t="s">
        <v>21</v>
      </c>
      <c r="G663" t="s">
        <v>25</v>
      </c>
      <c r="H663" s="1">
        <v>550330</v>
      </c>
      <c r="I663" s="3">
        <v>733</v>
      </c>
      <c r="J663" s="3">
        <v>1996197</v>
      </c>
      <c r="K663" s="3">
        <v>7535.78</v>
      </c>
      <c r="L663" s="2">
        <v>39.9</v>
      </c>
      <c r="M663" s="11">
        <v>35.265240640000002</v>
      </c>
      <c r="N663" s="3">
        <v>5</v>
      </c>
      <c r="O663" s="3">
        <v>245423</v>
      </c>
      <c r="P663" s="3">
        <v>631488</v>
      </c>
      <c r="Q663" s="10">
        <v>0</v>
      </c>
      <c r="R663" s="3">
        <f>(Таблица1[Размер кредита]-$AA$2)/$AA$3</f>
        <v>1.3705746857641325</v>
      </c>
      <c r="S663" s="3">
        <f>(Таблица1[Кредитный рейтинг]-$AA$7)/($AA$8-$AA$7)</f>
        <v>0.97603195739014648</v>
      </c>
      <c r="T663" s="3">
        <f>(Таблица1[Срок с последнего нарушения кредитного договора (мес,)]-$AA$12)/($AA$13-$AA$12)</f>
        <v>0.40074137090909095</v>
      </c>
      <c r="U663" s="3">
        <f>(Таблица1[Количество кредитных карт]-$AA$18)/($AA$19-$AA$18)</f>
        <v>9.5238095238095233E-2</v>
      </c>
      <c r="V663" s="3">
        <f>(Таблица1[Число нарушений кредитных договоров]-$AA$23)/($AA$24-$AA$23)</f>
        <v>0</v>
      </c>
      <c r="W663" s="3">
        <f>Таблица1[[#This Row],[Годовой доход]]/12</f>
        <v>166349.75</v>
      </c>
      <c r="X663" s="3">
        <f>Таблица1[[#This Row],[Ежемесячный платеж]]/Таблица1[[#This Row],[Ежем доход]]</f>
        <v>4.5300819508295023E-2</v>
      </c>
      <c r="Y663" s="3"/>
      <c r="Z663" s="3"/>
      <c r="AA663" s="3"/>
      <c r="AB663" s="3"/>
    </row>
    <row r="664" spans="1:28" x14ac:dyDescent="0.2">
      <c r="A664">
        <v>1261</v>
      </c>
      <c r="B664" t="s">
        <v>1300</v>
      </c>
      <c r="C664" t="s">
        <v>18</v>
      </c>
      <c r="D664" t="s">
        <v>29</v>
      </c>
      <c r="E664" t="s">
        <v>24</v>
      </c>
      <c r="F664" t="s">
        <v>21</v>
      </c>
      <c r="G664" t="s">
        <v>25</v>
      </c>
      <c r="H664" s="1">
        <v>693660</v>
      </c>
      <c r="I664" s="3">
        <v>673</v>
      </c>
      <c r="J664" s="3">
        <v>2957863</v>
      </c>
      <c r="K664" s="3">
        <v>55460.05</v>
      </c>
      <c r="L664" s="2">
        <v>21.3</v>
      </c>
      <c r="M664" s="11">
        <v>37</v>
      </c>
      <c r="N664" s="3">
        <v>22</v>
      </c>
      <c r="O664" s="3">
        <v>350151</v>
      </c>
      <c r="P664" s="3">
        <v>630542</v>
      </c>
      <c r="Q664" s="10">
        <v>0</v>
      </c>
      <c r="R664" s="3">
        <f>(Таблица1[Размер кредита]-$AA$2)/$AA$3</f>
        <v>2.1865926375792988</v>
      </c>
      <c r="S664" s="3">
        <f>(Таблица1[Кредитный рейтинг]-$AA$7)/($AA$8-$AA$7)</f>
        <v>0.89613848202396806</v>
      </c>
      <c r="T664" s="3">
        <f>(Таблица1[Срок с последнего нарушения кредитного договора (мес,)]-$AA$12)/($AA$13-$AA$12)</f>
        <v>0.42045454545454547</v>
      </c>
      <c r="U664" s="3">
        <f>(Таблица1[Количество кредитных карт]-$AA$18)/($AA$19-$AA$18)</f>
        <v>0.5</v>
      </c>
      <c r="V664" s="3">
        <f>(Таблица1[Число нарушений кредитных договоров]-$AA$23)/($AA$24-$AA$23)</f>
        <v>0</v>
      </c>
      <c r="W664" s="3">
        <f>Таблица1[[#This Row],[Годовой доход]]/12</f>
        <v>246488.58333333334</v>
      </c>
      <c r="X664" s="3">
        <f>Таблица1[[#This Row],[Ежемесячный платеж]]/Таблица1[[#This Row],[Ежем доход]]</f>
        <v>0.22500048176673498</v>
      </c>
      <c r="Y664" s="3"/>
      <c r="Z664" s="3"/>
      <c r="AA664" s="3"/>
      <c r="AB664" s="3"/>
    </row>
    <row r="665" spans="1:28" x14ac:dyDescent="0.2">
      <c r="A665">
        <v>737</v>
      </c>
      <c r="B665" t="s">
        <v>778</v>
      </c>
      <c r="C665" t="s">
        <v>35</v>
      </c>
      <c r="D665" t="s">
        <v>19</v>
      </c>
      <c r="E665" t="s">
        <v>41</v>
      </c>
      <c r="F665" t="s">
        <v>33</v>
      </c>
      <c r="G665" t="s">
        <v>25</v>
      </c>
      <c r="H665" s="1">
        <v>623436</v>
      </c>
      <c r="I665" s="3">
        <v>0</v>
      </c>
      <c r="J665" s="3">
        <v>1168044</v>
      </c>
      <c r="K665" s="3">
        <v>17820.099999999999</v>
      </c>
      <c r="L665" s="2">
        <v>15</v>
      </c>
      <c r="M665" s="11">
        <v>35.265240640000002</v>
      </c>
      <c r="N665" s="3">
        <v>27</v>
      </c>
      <c r="O665" s="3">
        <v>448647</v>
      </c>
      <c r="P665" s="3">
        <v>630454</v>
      </c>
      <c r="Q665" s="10">
        <v>0</v>
      </c>
      <c r="R665" s="3">
        <f>(Таблица1[Размер кредита]-$AA$2)/$AA$3</f>
        <v>1.7867876794528197</v>
      </c>
      <c r="S665" s="3">
        <f>(Таблица1[Кредитный рейтинг]-$AA$7)/($AA$8-$AA$7)</f>
        <v>0</v>
      </c>
      <c r="T665" s="3">
        <f>(Таблица1[Срок с последнего нарушения кредитного договора (мес,)]-$AA$12)/($AA$13-$AA$12)</f>
        <v>0.40074137090909095</v>
      </c>
      <c r="U665" s="3">
        <f>(Таблица1[Количество кредитных карт]-$AA$18)/($AA$19-$AA$18)</f>
        <v>0.61904761904761907</v>
      </c>
      <c r="V665" s="3">
        <f>(Таблица1[Число нарушений кредитных договоров]-$AA$23)/($AA$24-$AA$23)</f>
        <v>0</v>
      </c>
      <c r="W665" s="3">
        <f>Таблица1[[#This Row],[Годовой доход]]/12</f>
        <v>97337</v>
      </c>
      <c r="X665" s="3">
        <f>Таблица1[[#This Row],[Ежемесячный платеж]]/Таблица1[[#This Row],[Ежем доход]]</f>
        <v>0.18307632246730429</v>
      </c>
      <c r="Y665" s="3"/>
      <c r="Z665" s="3"/>
      <c r="AA665" s="3"/>
      <c r="AB665" s="3"/>
    </row>
    <row r="666" spans="1:28" x14ac:dyDescent="0.2">
      <c r="A666">
        <v>263</v>
      </c>
      <c r="B666" t="s">
        <v>305</v>
      </c>
      <c r="C666" t="s">
        <v>35</v>
      </c>
      <c r="D666" t="s">
        <v>29</v>
      </c>
      <c r="E666" t="s">
        <v>24</v>
      </c>
      <c r="F666" t="s">
        <v>21</v>
      </c>
      <c r="G666" t="s">
        <v>25</v>
      </c>
      <c r="H666" s="1">
        <v>581592</v>
      </c>
      <c r="I666" s="3">
        <v>0</v>
      </c>
      <c r="J666" s="3">
        <v>1168044</v>
      </c>
      <c r="K666" s="3">
        <v>20455.02</v>
      </c>
      <c r="L666" s="2">
        <v>17.5</v>
      </c>
      <c r="M666" s="11">
        <v>35.265240640000002</v>
      </c>
      <c r="N666" s="3">
        <v>13</v>
      </c>
      <c r="O666" s="3">
        <v>363983</v>
      </c>
      <c r="P666" s="3">
        <v>629970</v>
      </c>
      <c r="Q666" s="10">
        <v>0</v>
      </c>
      <c r="R666" s="3">
        <f>(Таблица1[Размер кредита]-$AA$2)/$AA$3</f>
        <v>1.5485580333511395</v>
      </c>
      <c r="S666" s="3">
        <f>(Таблица1[Кредитный рейтинг]-$AA$7)/($AA$8-$AA$7)</f>
        <v>0</v>
      </c>
      <c r="T666" s="3">
        <f>(Таблица1[Срок с последнего нарушения кредитного договора (мес,)]-$AA$12)/($AA$13-$AA$12)</f>
        <v>0.40074137090909095</v>
      </c>
      <c r="U666" s="3">
        <f>(Таблица1[Количество кредитных карт]-$AA$18)/($AA$19-$AA$18)</f>
        <v>0.2857142857142857</v>
      </c>
      <c r="V666" s="3">
        <f>(Таблица1[Число нарушений кредитных договоров]-$AA$23)/($AA$24-$AA$23)</f>
        <v>0</v>
      </c>
      <c r="W666" s="3">
        <f>Таблица1[[#This Row],[Годовой доход]]/12</f>
        <v>97337</v>
      </c>
      <c r="X666" s="3">
        <f>Таблица1[[#This Row],[Ежемесячный платеж]]/Таблица1[[#This Row],[Ежем доход]]</f>
        <v>0.21014639859457349</v>
      </c>
      <c r="Y666" s="3"/>
      <c r="Z666" s="3"/>
      <c r="AA666" s="3"/>
      <c r="AB666" s="3"/>
    </row>
    <row r="667" spans="1:28" x14ac:dyDescent="0.2">
      <c r="A667">
        <v>1288</v>
      </c>
      <c r="B667" t="s">
        <v>1327</v>
      </c>
      <c r="C667" t="s">
        <v>18</v>
      </c>
      <c r="D667" t="s">
        <v>29</v>
      </c>
      <c r="E667" t="s">
        <v>63</v>
      </c>
      <c r="F667" t="s">
        <v>33</v>
      </c>
      <c r="G667" t="s">
        <v>25</v>
      </c>
      <c r="H667" s="1">
        <v>453530</v>
      </c>
      <c r="I667" s="3">
        <v>667</v>
      </c>
      <c r="J667" s="3">
        <v>1506472</v>
      </c>
      <c r="K667" s="3">
        <v>16571.23</v>
      </c>
      <c r="L667" s="2">
        <v>18.7</v>
      </c>
      <c r="M667" s="11">
        <v>50</v>
      </c>
      <c r="N667" s="3">
        <v>12</v>
      </c>
      <c r="O667" s="3">
        <v>353875</v>
      </c>
      <c r="P667" s="3">
        <v>628430</v>
      </c>
      <c r="Q667" s="10">
        <v>0</v>
      </c>
      <c r="R667" s="3">
        <f>(Таблица1[Размер кредита]-$AA$2)/$AA$3</f>
        <v>0.81946509436171777</v>
      </c>
      <c r="S667" s="3">
        <f>(Таблица1[Кредитный рейтинг]-$AA$7)/($AA$8-$AA$7)</f>
        <v>0.88814913448735022</v>
      </c>
      <c r="T667" s="3">
        <f>(Таблица1[Срок с последнего нарушения кредитного договора (мес,)]-$AA$12)/($AA$13-$AA$12)</f>
        <v>0.56818181818181823</v>
      </c>
      <c r="U667" s="3">
        <f>(Таблица1[Количество кредитных карт]-$AA$18)/($AA$19-$AA$18)</f>
        <v>0.26190476190476192</v>
      </c>
      <c r="V667" s="3">
        <f>(Таблица1[Число нарушений кредитных договоров]-$AA$23)/($AA$24-$AA$23)</f>
        <v>0</v>
      </c>
      <c r="W667" s="3">
        <f>Таблица1[[#This Row],[Годовой доход]]/12</f>
        <v>125539.33333333333</v>
      </c>
      <c r="X667" s="3">
        <f>Таблица1[[#This Row],[Ежемесячный платеж]]/Таблица1[[#This Row],[Ежем доход]]</f>
        <v>0.13200030269397639</v>
      </c>
      <c r="Y667" s="3"/>
      <c r="Z667" s="3"/>
      <c r="AA667" s="3"/>
      <c r="AB667" s="3"/>
    </row>
    <row r="668" spans="1:28" x14ac:dyDescent="0.2">
      <c r="A668">
        <v>1558</v>
      </c>
      <c r="B668" t="s">
        <v>1597</v>
      </c>
      <c r="C668" t="s">
        <v>18</v>
      </c>
      <c r="D668" t="s">
        <v>19</v>
      </c>
      <c r="E668" t="s">
        <v>50</v>
      </c>
      <c r="F668" t="s">
        <v>21</v>
      </c>
      <c r="G668" t="s">
        <v>25</v>
      </c>
      <c r="H668" s="1">
        <v>309594.52439999999</v>
      </c>
      <c r="I668" s="3">
        <v>744</v>
      </c>
      <c r="J668" s="3">
        <v>1232283</v>
      </c>
      <c r="K668" s="3">
        <v>11193.28</v>
      </c>
      <c r="L668" s="2">
        <v>14</v>
      </c>
      <c r="M668" s="11">
        <v>35.265240640000002</v>
      </c>
      <c r="N668" s="3">
        <v>7</v>
      </c>
      <c r="O668" s="3">
        <v>203984</v>
      </c>
      <c r="P668" s="3">
        <v>628188</v>
      </c>
      <c r="Q668" s="10">
        <v>0</v>
      </c>
      <c r="R668" s="3">
        <f>(Таблица1[Размер кредита]-$AA$2)/$AA$3</f>
        <v>-1.2411115481956205E-10</v>
      </c>
      <c r="S668" s="3">
        <f>(Таблица1[Кредитный рейтинг]-$AA$7)/($AA$8-$AA$7)</f>
        <v>0.99067909454061254</v>
      </c>
      <c r="T668" s="3">
        <f>(Таблица1[Срок с последнего нарушения кредитного договора (мес,)]-$AA$12)/($AA$13-$AA$12)</f>
        <v>0.40074137090909095</v>
      </c>
      <c r="U668" s="3">
        <f>(Таблица1[Количество кредитных карт]-$AA$18)/($AA$19-$AA$18)</f>
        <v>0.14285714285714285</v>
      </c>
      <c r="V668" s="3">
        <f>(Таблица1[Число нарушений кредитных договоров]-$AA$23)/($AA$24-$AA$23)</f>
        <v>0</v>
      </c>
      <c r="W668" s="3">
        <f>Таблица1[[#This Row],[Годовой доход]]/12</f>
        <v>102690.25</v>
      </c>
      <c r="X668" s="3">
        <f>Таблица1[[#This Row],[Ежемесячный платеж]]/Таблица1[[#This Row],[Ежем доход]]</f>
        <v>0.10900041630047644</v>
      </c>
      <c r="Y668" s="3"/>
      <c r="Z668" s="3"/>
      <c r="AA668" s="3"/>
      <c r="AB668" s="3"/>
    </row>
    <row r="669" spans="1:28" x14ac:dyDescent="0.2">
      <c r="A669">
        <v>1802</v>
      </c>
      <c r="B669" t="s">
        <v>1840</v>
      </c>
      <c r="C669" t="s">
        <v>18</v>
      </c>
      <c r="D669" t="s">
        <v>19</v>
      </c>
      <c r="E669" t="s">
        <v>69</v>
      </c>
      <c r="F669" t="s">
        <v>21</v>
      </c>
      <c r="G669" t="s">
        <v>25</v>
      </c>
      <c r="H669" s="1">
        <v>433466</v>
      </c>
      <c r="I669" s="3">
        <v>748</v>
      </c>
      <c r="J669" s="3">
        <v>947720</v>
      </c>
      <c r="K669" s="3">
        <v>12162.47</v>
      </c>
      <c r="L669" s="2">
        <v>15.9</v>
      </c>
      <c r="M669" s="11">
        <v>58</v>
      </c>
      <c r="N669" s="3">
        <v>11</v>
      </c>
      <c r="O669" s="3">
        <v>255683</v>
      </c>
      <c r="P669" s="3">
        <v>627198</v>
      </c>
      <c r="Q669" s="10">
        <v>0</v>
      </c>
      <c r="R669" s="3">
        <f>(Таблица1[Размер кредита]-$AA$2)/$AA$3</f>
        <v>0.70523510632558084</v>
      </c>
      <c r="S669" s="3">
        <f>(Таблица1[Кредитный рейтинг]-$AA$7)/($AA$8-$AA$7)</f>
        <v>0.99600532623169102</v>
      </c>
      <c r="T669" s="3">
        <f>(Таблица1[Срок с последнего нарушения кредитного договора (мес,)]-$AA$12)/($AA$13-$AA$12)</f>
        <v>0.65909090909090906</v>
      </c>
      <c r="U669" s="3">
        <f>(Таблица1[Количество кредитных карт]-$AA$18)/($AA$19-$AA$18)</f>
        <v>0.23809523809523808</v>
      </c>
      <c r="V669" s="3">
        <f>(Таблица1[Число нарушений кредитных договоров]-$AA$23)/($AA$24-$AA$23)</f>
        <v>0</v>
      </c>
      <c r="W669" s="3">
        <f>Таблица1[[#This Row],[Годовой доход]]/12</f>
        <v>78976.666666666672</v>
      </c>
      <c r="X669" s="3">
        <f>Таблица1[[#This Row],[Ежемесячный платеж]]/Таблица1[[#This Row],[Ежем доход]]</f>
        <v>0.15400080192461907</v>
      </c>
      <c r="Y669" s="3"/>
      <c r="Z669" s="3"/>
      <c r="AA669" s="3"/>
      <c r="AB669" s="3"/>
    </row>
    <row r="670" spans="1:28" x14ac:dyDescent="0.2">
      <c r="A670">
        <v>405</v>
      </c>
      <c r="B670" t="s">
        <v>447</v>
      </c>
      <c r="C670" t="s">
        <v>18</v>
      </c>
      <c r="D670" t="s">
        <v>29</v>
      </c>
      <c r="E670" t="s">
        <v>24</v>
      </c>
      <c r="F670" t="s">
        <v>21</v>
      </c>
      <c r="G670" t="s">
        <v>25</v>
      </c>
      <c r="H670" s="1">
        <v>260436</v>
      </c>
      <c r="I670" s="3">
        <v>734</v>
      </c>
      <c r="J670" s="3">
        <v>1244272</v>
      </c>
      <c r="K670" s="3">
        <v>11924.21</v>
      </c>
      <c r="L670" s="2">
        <v>28.4</v>
      </c>
      <c r="M670" s="11">
        <v>26</v>
      </c>
      <c r="N670" s="3">
        <v>12</v>
      </c>
      <c r="O670" s="3">
        <v>189696</v>
      </c>
      <c r="P670" s="3">
        <v>625812</v>
      </c>
      <c r="Q670" s="10">
        <v>0</v>
      </c>
      <c r="R670" s="3">
        <f>(Таблица1[Размер кредита]-$AA$2)/$AA$3</f>
        <v>-0.27987328830623542</v>
      </c>
      <c r="S670" s="3">
        <f>(Таблица1[Кредитный рейтинг]-$AA$7)/($AA$8-$AA$7)</f>
        <v>0.9773635153129161</v>
      </c>
      <c r="T670" s="3">
        <f>(Таблица1[Срок с последнего нарушения кредитного договора (мес,)]-$AA$12)/($AA$13-$AA$12)</f>
        <v>0.29545454545454547</v>
      </c>
      <c r="U670" s="3">
        <f>(Таблица1[Количество кредитных карт]-$AA$18)/($AA$19-$AA$18)</f>
        <v>0.26190476190476192</v>
      </c>
      <c r="V670" s="3">
        <f>(Таблица1[Число нарушений кредитных договоров]-$AA$23)/($AA$24-$AA$23)</f>
        <v>0</v>
      </c>
      <c r="W670" s="3">
        <f>Таблица1[[#This Row],[Годовой доход]]/12</f>
        <v>103689.33333333333</v>
      </c>
      <c r="X670" s="3">
        <f>Таблица1[[#This Row],[Ежемесячный платеж]]/Таблица1[[#This Row],[Ежем доход]]</f>
        <v>0.114999389201075</v>
      </c>
      <c r="Y670" s="3"/>
      <c r="Z670" s="3"/>
      <c r="AA670" s="3"/>
      <c r="AB670" s="3"/>
    </row>
    <row r="671" spans="1:28" x14ac:dyDescent="0.2">
      <c r="A671">
        <v>597</v>
      </c>
      <c r="B671" t="s">
        <v>638</v>
      </c>
      <c r="C671" t="s">
        <v>18</v>
      </c>
      <c r="D671" t="s">
        <v>29</v>
      </c>
      <c r="E671" t="s">
        <v>24</v>
      </c>
      <c r="F671" t="s">
        <v>21</v>
      </c>
      <c r="G671" t="s">
        <v>25</v>
      </c>
      <c r="H671" s="1">
        <v>483604</v>
      </c>
      <c r="I671" s="3">
        <v>731</v>
      </c>
      <c r="J671" s="3">
        <v>1213853</v>
      </c>
      <c r="K671" s="3">
        <v>20938.759999999998</v>
      </c>
      <c r="L671" s="2">
        <v>31.3</v>
      </c>
      <c r="M671" s="11">
        <v>49</v>
      </c>
      <c r="N671" s="3">
        <v>17</v>
      </c>
      <c r="O671" s="3">
        <v>310802</v>
      </c>
      <c r="P671" s="3">
        <v>624800</v>
      </c>
      <c r="Q671" s="10">
        <v>0</v>
      </c>
      <c r="R671" s="3">
        <f>(Таблица1[Размер кредита]-$AA$2)/$AA$3</f>
        <v>0.99068482423605886</v>
      </c>
      <c r="S671" s="3">
        <f>(Таблица1[Кредитный рейтинг]-$AA$7)/($AA$8-$AA$7)</f>
        <v>0.97336884154460723</v>
      </c>
      <c r="T671" s="3">
        <f>(Таблица1[Срок с последнего нарушения кредитного договора (мес,)]-$AA$12)/($AA$13-$AA$12)</f>
        <v>0.55681818181818177</v>
      </c>
      <c r="U671" s="3">
        <f>(Таблица1[Количество кредитных карт]-$AA$18)/($AA$19-$AA$18)</f>
        <v>0.38095238095238093</v>
      </c>
      <c r="V671" s="3">
        <f>(Таблица1[Число нарушений кредитных договоров]-$AA$23)/($AA$24-$AA$23)</f>
        <v>0</v>
      </c>
      <c r="W671" s="3">
        <f>Таблица1[[#This Row],[Годовой доход]]/12</f>
        <v>101154.41666666667</v>
      </c>
      <c r="X671" s="3">
        <f>Таблица1[[#This Row],[Ежемесячный платеж]]/Таблица1[[#This Row],[Ежем доход]]</f>
        <v>0.20699798080986739</v>
      </c>
      <c r="Y671" s="3"/>
      <c r="Z671" s="3"/>
      <c r="AA671" s="3"/>
      <c r="AB671" s="3"/>
    </row>
    <row r="672" spans="1:28" x14ac:dyDescent="0.2">
      <c r="A672">
        <v>768</v>
      </c>
      <c r="B672" t="s">
        <v>809</v>
      </c>
      <c r="C672" t="s">
        <v>18</v>
      </c>
      <c r="D672" t="s">
        <v>29</v>
      </c>
      <c r="E672" t="s">
        <v>52</v>
      </c>
      <c r="F672" t="s">
        <v>21</v>
      </c>
      <c r="G672" t="s">
        <v>25</v>
      </c>
      <c r="H672" s="1">
        <v>309594.52439999999</v>
      </c>
      <c r="I672" s="3">
        <v>704</v>
      </c>
      <c r="J672" s="3">
        <v>1139658</v>
      </c>
      <c r="K672" s="3">
        <v>14815.63</v>
      </c>
      <c r="L672" s="2">
        <v>21.9</v>
      </c>
      <c r="M672" s="11">
        <v>25</v>
      </c>
      <c r="N672" s="3">
        <v>17</v>
      </c>
      <c r="O672" s="3">
        <v>489782</v>
      </c>
      <c r="P672" s="3">
        <v>624580</v>
      </c>
      <c r="Q672" s="10">
        <v>0</v>
      </c>
      <c r="R672" s="3">
        <f>(Таблица1[Размер кредита]-$AA$2)/$AA$3</f>
        <v>-1.2411115481956205E-10</v>
      </c>
      <c r="S672" s="3">
        <f>(Таблица1[Кредитный рейтинг]-$AA$7)/($AA$8-$AA$7)</f>
        <v>0.93741677762982689</v>
      </c>
      <c r="T672" s="3">
        <f>(Таблица1[Срок с последнего нарушения кредитного договора (мес,)]-$AA$12)/($AA$13-$AA$12)</f>
        <v>0.28409090909090912</v>
      </c>
      <c r="U672" s="3">
        <f>(Таблица1[Количество кредитных карт]-$AA$18)/($AA$19-$AA$18)</f>
        <v>0.38095238095238093</v>
      </c>
      <c r="V672" s="3">
        <f>(Таблица1[Число нарушений кредитных договоров]-$AA$23)/($AA$24-$AA$23)</f>
        <v>0</v>
      </c>
      <c r="W672" s="3">
        <f>Таблица1[[#This Row],[Годовой доход]]/12</f>
        <v>94971.5</v>
      </c>
      <c r="X672" s="3">
        <f>Таблица1[[#This Row],[Ежемесячный платеж]]/Таблица1[[#This Row],[Ежем доход]]</f>
        <v>0.15600080024007201</v>
      </c>
      <c r="Y672" s="3"/>
      <c r="Z672" s="3"/>
      <c r="AA672" s="3"/>
      <c r="AB672" s="3"/>
    </row>
    <row r="673" spans="1:28" x14ac:dyDescent="0.2">
      <c r="A673">
        <v>1477</v>
      </c>
      <c r="B673" t="s">
        <v>1516</v>
      </c>
      <c r="C673" t="s">
        <v>35</v>
      </c>
      <c r="D673" t="s">
        <v>19</v>
      </c>
      <c r="E673" t="s">
        <v>24</v>
      </c>
      <c r="F673" t="s">
        <v>21</v>
      </c>
      <c r="G673" t="s">
        <v>25</v>
      </c>
      <c r="H673" s="1">
        <v>162580</v>
      </c>
      <c r="I673" s="3">
        <v>0</v>
      </c>
      <c r="J673" s="3">
        <v>1168044</v>
      </c>
      <c r="K673" s="3">
        <v>21805.35</v>
      </c>
      <c r="L673" s="2">
        <v>29</v>
      </c>
      <c r="M673" s="11">
        <v>40</v>
      </c>
      <c r="N673" s="3">
        <v>13</v>
      </c>
      <c r="O673" s="3">
        <v>281371</v>
      </c>
      <c r="P673" s="3">
        <v>624140</v>
      </c>
      <c r="Q673" s="10">
        <v>0</v>
      </c>
      <c r="R673" s="3">
        <f>(Таблица1[Размер кредита]-$AA$2)/$AA$3</f>
        <v>-0.83699498434213104</v>
      </c>
      <c r="S673" s="3">
        <f>(Таблица1[Кредитный рейтинг]-$AA$7)/($AA$8-$AA$7)</f>
        <v>0</v>
      </c>
      <c r="T673" s="3">
        <f>(Таблица1[Срок с последнего нарушения кредитного договора (мес,)]-$AA$12)/($AA$13-$AA$12)</f>
        <v>0.45454545454545453</v>
      </c>
      <c r="U673" s="3">
        <f>(Таблица1[Количество кредитных карт]-$AA$18)/($AA$19-$AA$18)</f>
        <v>0.2857142857142857</v>
      </c>
      <c r="V673" s="3">
        <f>(Таблица1[Число нарушений кредитных договоров]-$AA$23)/($AA$24-$AA$23)</f>
        <v>0</v>
      </c>
      <c r="W673" s="3">
        <f>Таблица1[[#This Row],[Годовой доход]]/12</f>
        <v>97337</v>
      </c>
      <c r="X673" s="3">
        <f>Таблица1[[#This Row],[Ежемесячный платеж]]/Таблица1[[#This Row],[Ежем доход]]</f>
        <v>0.2240191294163576</v>
      </c>
      <c r="Y673" s="3"/>
      <c r="Z673" s="3"/>
      <c r="AA673" s="3"/>
      <c r="AB673" s="3"/>
    </row>
    <row r="674" spans="1:28" x14ac:dyDescent="0.2">
      <c r="A674">
        <v>585</v>
      </c>
      <c r="B674" t="s">
        <v>626</v>
      </c>
      <c r="C674" t="s">
        <v>18</v>
      </c>
      <c r="D674" t="s">
        <v>19</v>
      </c>
      <c r="E674" t="s">
        <v>24</v>
      </c>
      <c r="F674" t="s">
        <v>21</v>
      </c>
      <c r="G674" t="s">
        <v>25</v>
      </c>
      <c r="H674" s="1">
        <v>309594.52439999999</v>
      </c>
      <c r="I674" s="3">
        <v>733</v>
      </c>
      <c r="J674" s="3">
        <v>1381528</v>
      </c>
      <c r="K674" s="3">
        <v>13009.49</v>
      </c>
      <c r="L674" s="2">
        <v>18.399999999999999</v>
      </c>
      <c r="M674" s="11">
        <v>35.265240640000002</v>
      </c>
      <c r="N674" s="3">
        <v>8</v>
      </c>
      <c r="O674" s="3">
        <v>411464</v>
      </c>
      <c r="P674" s="3">
        <v>622776</v>
      </c>
      <c r="Q674" s="10">
        <v>0</v>
      </c>
      <c r="R674" s="3">
        <f>(Таблица1[Размер кредита]-$AA$2)/$AA$3</f>
        <v>-1.2411115481956205E-10</v>
      </c>
      <c r="S674" s="3">
        <f>(Таблица1[Кредитный рейтинг]-$AA$7)/($AA$8-$AA$7)</f>
        <v>0.97603195739014648</v>
      </c>
      <c r="T674" s="3">
        <f>(Таблица1[Срок с последнего нарушения кредитного договора (мес,)]-$AA$12)/($AA$13-$AA$12)</f>
        <v>0.40074137090909095</v>
      </c>
      <c r="U674" s="3">
        <f>(Таблица1[Количество кредитных карт]-$AA$18)/($AA$19-$AA$18)</f>
        <v>0.16666666666666666</v>
      </c>
      <c r="V674" s="3">
        <f>(Таблица1[Число нарушений кредитных договоров]-$AA$23)/($AA$24-$AA$23)</f>
        <v>0</v>
      </c>
      <c r="W674" s="3">
        <f>Таблица1[[#This Row],[Годовой доход]]/12</f>
        <v>115127.33333333333</v>
      </c>
      <c r="X674" s="3">
        <f>Таблица1[[#This Row],[Ежемесячный платеж]]/Таблица1[[#This Row],[Ежем доход]]</f>
        <v>0.11300088018483882</v>
      </c>
      <c r="Y674" s="3"/>
      <c r="Z674" s="3"/>
      <c r="AA674" s="3"/>
      <c r="AB674" s="3"/>
    </row>
    <row r="675" spans="1:28" x14ac:dyDescent="0.2">
      <c r="A675">
        <v>808</v>
      </c>
      <c r="B675" t="s">
        <v>849</v>
      </c>
      <c r="C675" t="s">
        <v>18</v>
      </c>
      <c r="D675" t="s">
        <v>29</v>
      </c>
      <c r="E675" t="s">
        <v>32</v>
      </c>
      <c r="F675" t="s">
        <v>21</v>
      </c>
      <c r="G675" t="s">
        <v>25</v>
      </c>
      <c r="H675" s="1">
        <v>520454</v>
      </c>
      <c r="I675" s="3">
        <v>716</v>
      </c>
      <c r="J675" s="3">
        <v>1323825</v>
      </c>
      <c r="K675" s="3">
        <v>24049.63</v>
      </c>
      <c r="L675" s="2">
        <v>12.8</v>
      </c>
      <c r="M675" s="11">
        <v>35.265240640000002</v>
      </c>
      <c r="N675" s="3">
        <v>9</v>
      </c>
      <c r="O675" s="3">
        <v>441009</v>
      </c>
      <c r="P675" s="3">
        <v>622732</v>
      </c>
      <c r="Q675" s="10">
        <v>0</v>
      </c>
      <c r="R675" s="3">
        <f>(Таблица1[Размер кредита]-$AA$2)/$AA$3</f>
        <v>1.200482225508569</v>
      </c>
      <c r="S675" s="3">
        <f>(Таблица1[Кредитный рейтинг]-$AA$7)/($AA$8-$AA$7)</f>
        <v>0.95339547270306257</v>
      </c>
      <c r="T675" s="3">
        <f>(Таблица1[Срок с последнего нарушения кредитного договора (мес,)]-$AA$12)/($AA$13-$AA$12)</f>
        <v>0.40074137090909095</v>
      </c>
      <c r="U675" s="3">
        <f>(Таблица1[Количество кредитных карт]-$AA$18)/($AA$19-$AA$18)</f>
        <v>0.19047619047619047</v>
      </c>
      <c r="V675" s="3">
        <f>(Таблица1[Число нарушений кредитных договоров]-$AA$23)/($AA$24-$AA$23)</f>
        <v>0</v>
      </c>
      <c r="W675" s="3">
        <f>Таблица1[[#This Row],[Годовой доход]]/12</f>
        <v>110318.75</v>
      </c>
      <c r="X675" s="3">
        <f>Таблица1[[#This Row],[Ежемесячный платеж]]/Таблица1[[#This Row],[Ежем доход]]</f>
        <v>0.21800129171151778</v>
      </c>
      <c r="Y675" s="3"/>
      <c r="Z675" s="3"/>
      <c r="AA675" s="3"/>
      <c r="AB675" s="3"/>
    </row>
    <row r="676" spans="1:28" x14ac:dyDescent="0.2">
      <c r="A676">
        <v>332</v>
      </c>
      <c r="B676" s="4" t="s">
        <v>374</v>
      </c>
      <c r="C676" t="s">
        <v>18</v>
      </c>
      <c r="D676" t="s">
        <v>19</v>
      </c>
      <c r="E676" t="s">
        <v>69</v>
      </c>
      <c r="F676" t="s">
        <v>33</v>
      </c>
      <c r="G676" t="s">
        <v>25</v>
      </c>
      <c r="H676" s="1">
        <v>170962</v>
      </c>
      <c r="I676" s="3">
        <v>710</v>
      </c>
      <c r="J676" s="3">
        <v>598082</v>
      </c>
      <c r="K676" s="3">
        <v>7426.15</v>
      </c>
      <c r="L676" s="2">
        <v>12.8</v>
      </c>
      <c r="M676" s="11">
        <v>5</v>
      </c>
      <c r="N676" s="3">
        <v>14</v>
      </c>
      <c r="O676" s="3">
        <v>117211</v>
      </c>
      <c r="P676" s="3">
        <v>622534</v>
      </c>
      <c r="Q676" s="10">
        <v>0</v>
      </c>
      <c r="R676" s="3">
        <f>(Таблица1[Размер кредита]-$AA$2)/$AA$3</f>
        <v>-0.78927390381387652</v>
      </c>
      <c r="S676" s="3">
        <f>(Таблица1[Кредитный рейтинг]-$AA$7)/($AA$8-$AA$7)</f>
        <v>0.94540612516644473</v>
      </c>
      <c r="T676" s="3">
        <f>(Таблица1[Срок с последнего нарушения кредитного договора (мес,)]-$AA$12)/($AA$13-$AA$12)</f>
        <v>5.6818181818181816E-2</v>
      </c>
      <c r="U676" s="3">
        <f>(Таблица1[Количество кредитных карт]-$AA$18)/($AA$19-$AA$18)</f>
        <v>0.30952380952380953</v>
      </c>
      <c r="V676" s="3">
        <f>(Таблица1[Число нарушений кредитных договоров]-$AA$23)/($AA$24-$AA$23)</f>
        <v>0</v>
      </c>
      <c r="W676" s="3">
        <f>Таблица1[[#This Row],[Годовой доход]]/12</f>
        <v>49840.166666666664</v>
      </c>
      <c r="X676" s="3">
        <f>Таблица1[[#This Row],[Ежемесячный платеж]]/Таблица1[[#This Row],[Ежем доход]]</f>
        <v>0.14899930109918039</v>
      </c>
      <c r="Y676" s="3"/>
      <c r="Z676" s="3"/>
      <c r="AA676" s="3"/>
      <c r="AB676" s="3"/>
    </row>
    <row r="677" spans="1:28" x14ac:dyDescent="0.2">
      <c r="A677">
        <v>929</v>
      </c>
      <c r="B677" t="s">
        <v>970</v>
      </c>
      <c r="C677" t="s">
        <v>18</v>
      </c>
      <c r="D677" t="s">
        <v>19</v>
      </c>
      <c r="E677" t="s">
        <v>50</v>
      </c>
      <c r="F677" t="s">
        <v>33</v>
      </c>
      <c r="G677" t="s">
        <v>25</v>
      </c>
      <c r="H677" s="1">
        <v>151096</v>
      </c>
      <c r="I677" s="3">
        <v>747</v>
      </c>
      <c r="J677" s="3">
        <v>1134642</v>
      </c>
      <c r="K677" s="3">
        <v>18437.98</v>
      </c>
      <c r="L677" s="2">
        <v>16.5</v>
      </c>
      <c r="M677" s="11">
        <v>35.265240640000002</v>
      </c>
      <c r="N677" s="3">
        <v>8</v>
      </c>
      <c r="O677" s="3">
        <v>101004</v>
      </c>
      <c r="P677" s="3">
        <v>622072</v>
      </c>
      <c r="Q677" s="10">
        <v>1</v>
      </c>
      <c r="R677" s="3">
        <f>(Таблица1[Размер кредита]-$AA$2)/$AA$3</f>
        <v>-0.90237662223123571</v>
      </c>
      <c r="S677" s="3">
        <f>(Таблица1[Кредитный рейтинг]-$AA$7)/($AA$8-$AA$7)</f>
        <v>0.9946737683089214</v>
      </c>
      <c r="T677" s="3">
        <f>(Таблица1[Срок с последнего нарушения кредитного договора (мес,)]-$AA$12)/($AA$13-$AA$12)</f>
        <v>0.40074137090909095</v>
      </c>
      <c r="U677" s="3">
        <f>(Таблица1[Количество кредитных карт]-$AA$18)/($AA$19-$AA$18)</f>
        <v>0.16666666666666666</v>
      </c>
      <c r="V677" s="3">
        <f>(Таблица1[Число нарушений кредитных договоров]-$AA$23)/($AA$24-$AA$23)</f>
        <v>0.14285714285714285</v>
      </c>
      <c r="W677" s="3">
        <f>Таблица1[[#This Row],[Годовой доход]]/12</f>
        <v>94553.5</v>
      </c>
      <c r="X677" s="3">
        <f>Таблица1[[#This Row],[Ежемесячный платеж]]/Таблица1[[#This Row],[Ежем доход]]</f>
        <v>0.19500050236109714</v>
      </c>
      <c r="Y677" s="3"/>
      <c r="Z677" s="3"/>
      <c r="AA677" s="3"/>
      <c r="AB677" s="3"/>
    </row>
    <row r="678" spans="1:28" x14ac:dyDescent="0.2">
      <c r="A678">
        <v>189</v>
      </c>
      <c r="B678" t="s">
        <v>231</v>
      </c>
      <c r="C678" t="s">
        <v>18</v>
      </c>
      <c r="D678" t="s">
        <v>19</v>
      </c>
      <c r="E678" t="s">
        <v>24</v>
      </c>
      <c r="F678" t="s">
        <v>21</v>
      </c>
      <c r="G678" t="s">
        <v>22</v>
      </c>
      <c r="H678" s="1">
        <v>263450</v>
      </c>
      <c r="I678" s="3">
        <v>0</v>
      </c>
      <c r="J678" s="3">
        <v>1168044</v>
      </c>
      <c r="K678" s="3">
        <v>7319.18</v>
      </c>
      <c r="L678" s="2">
        <v>16.899999999999999</v>
      </c>
      <c r="M678" s="11">
        <v>35.265240640000002</v>
      </c>
      <c r="N678" s="3">
        <v>17</v>
      </c>
      <c r="O678" s="3">
        <v>169100</v>
      </c>
      <c r="P678" s="3">
        <v>621610</v>
      </c>
      <c r="Q678" s="10">
        <v>1</v>
      </c>
      <c r="R678" s="3">
        <f>(Таблица1[Размер кредита]-$AA$2)/$AA$3</f>
        <v>-0.26271373966484207</v>
      </c>
      <c r="S678" s="3">
        <f>(Таблица1[Кредитный рейтинг]-$AA$7)/($AA$8-$AA$7)</f>
        <v>0</v>
      </c>
      <c r="T678" s="3">
        <f>(Таблица1[Срок с последнего нарушения кредитного договора (мес,)]-$AA$12)/($AA$13-$AA$12)</f>
        <v>0.40074137090909095</v>
      </c>
      <c r="U678" s="3">
        <f>(Таблица1[Количество кредитных карт]-$AA$18)/($AA$19-$AA$18)</f>
        <v>0.38095238095238093</v>
      </c>
      <c r="V678" s="3">
        <f>(Таблица1[Число нарушений кредитных договоров]-$AA$23)/($AA$24-$AA$23)</f>
        <v>0.14285714285714285</v>
      </c>
      <c r="W678" s="3">
        <f>Таблица1[[#This Row],[Годовой доход]]/12</f>
        <v>97337</v>
      </c>
      <c r="X678" s="3">
        <f>Таблица1[[#This Row],[Ежемесячный платеж]]/Таблица1[[#This Row],[Ежем доход]]</f>
        <v>7.5194222135467503E-2</v>
      </c>
      <c r="Y678" s="3"/>
      <c r="Z678" s="3"/>
      <c r="AA678" s="3"/>
      <c r="AB678" s="3"/>
    </row>
    <row r="679" spans="1:28" x14ac:dyDescent="0.2">
      <c r="A679">
        <v>896</v>
      </c>
      <c r="B679" t="s">
        <v>937</v>
      </c>
      <c r="C679" t="s">
        <v>18</v>
      </c>
      <c r="D679" t="s">
        <v>19</v>
      </c>
      <c r="E679" t="s">
        <v>32</v>
      </c>
      <c r="F679" t="s">
        <v>21</v>
      </c>
      <c r="G679" t="s">
        <v>25</v>
      </c>
      <c r="H679" s="1">
        <v>401038</v>
      </c>
      <c r="I679" s="3">
        <v>714</v>
      </c>
      <c r="J679" s="3">
        <v>1421941</v>
      </c>
      <c r="K679" s="3">
        <v>10356.52</v>
      </c>
      <c r="L679" s="2">
        <v>15.3</v>
      </c>
      <c r="M679" s="11">
        <v>58</v>
      </c>
      <c r="N679" s="3">
        <v>22</v>
      </c>
      <c r="O679" s="3">
        <v>357485</v>
      </c>
      <c r="P679" s="3">
        <v>621500</v>
      </c>
      <c r="Q679" s="10">
        <v>0</v>
      </c>
      <c r="R679" s="3">
        <f>(Таблица1[Размер кредита]-$AA$2)/$AA$3</f>
        <v>0.52061339320577193</v>
      </c>
      <c r="S679" s="3">
        <f>(Таблица1[Кредитный рейтинг]-$AA$7)/($AA$8-$AA$7)</f>
        <v>0.95073235685752333</v>
      </c>
      <c r="T679" s="3">
        <f>(Таблица1[Срок с последнего нарушения кредитного договора (мес,)]-$AA$12)/($AA$13-$AA$12)</f>
        <v>0.65909090909090906</v>
      </c>
      <c r="U679" s="3">
        <f>(Таблица1[Количество кредитных карт]-$AA$18)/($AA$19-$AA$18)</f>
        <v>0.5</v>
      </c>
      <c r="V679" s="3">
        <f>(Таблица1[Число нарушений кредитных договоров]-$AA$23)/($AA$24-$AA$23)</f>
        <v>0</v>
      </c>
      <c r="W679" s="3">
        <f>Таблица1[[#This Row],[Годовой доход]]/12</f>
        <v>118495.08333333333</v>
      </c>
      <c r="X679" s="3">
        <f>Таблица1[[#This Row],[Ежемесячный платеж]]/Таблица1[[#This Row],[Ежем доход]]</f>
        <v>8.7400419567337892E-2</v>
      </c>
      <c r="Y679" s="3"/>
      <c r="Z679" s="3"/>
      <c r="AA679" s="3"/>
      <c r="AB679" s="3"/>
    </row>
    <row r="680" spans="1:28" x14ac:dyDescent="0.2">
      <c r="A680">
        <v>56</v>
      </c>
      <c r="B680" s="4" t="s">
        <v>96</v>
      </c>
      <c r="C680" t="s">
        <v>35</v>
      </c>
      <c r="D680" t="s">
        <v>19</v>
      </c>
      <c r="E680" t="s">
        <v>24</v>
      </c>
      <c r="F680" t="s">
        <v>21</v>
      </c>
      <c r="G680" t="s">
        <v>25</v>
      </c>
      <c r="H680" s="1">
        <v>176198</v>
      </c>
      <c r="I680" s="3">
        <v>736</v>
      </c>
      <c r="J680" s="3">
        <v>1902090</v>
      </c>
      <c r="K680" s="3">
        <v>28372.89</v>
      </c>
      <c r="L680" s="2">
        <v>15.4</v>
      </c>
      <c r="M680" s="11">
        <v>7</v>
      </c>
      <c r="N680" s="3">
        <v>9</v>
      </c>
      <c r="O680" s="3">
        <v>206872</v>
      </c>
      <c r="P680" s="3">
        <v>620554</v>
      </c>
      <c r="Q680" s="10">
        <v>0</v>
      </c>
      <c r="R680" s="3">
        <f>(Таблица1[Размер кредита]-$AA$2)/$AA$3</f>
        <v>-0.75946388500620043</v>
      </c>
      <c r="S680" s="3">
        <f>(Таблица1[Кредитный рейтинг]-$AA$7)/($AA$8-$AA$7)</f>
        <v>0.98002663115845534</v>
      </c>
      <c r="T680" s="3">
        <f>(Таблица1[Срок с последнего нарушения кредитного договора (мес,)]-$AA$12)/($AA$13-$AA$12)</f>
        <v>7.9545454545454544E-2</v>
      </c>
      <c r="U680" s="3">
        <f>(Таблица1[Количество кредитных карт]-$AA$18)/($AA$19-$AA$18)</f>
        <v>0.19047619047619047</v>
      </c>
      <c r="V680" s="3">
        <f>(Таблица1[Число нарушений кредитных договоров]-$AA$23)/($AA$24-$AA$23)</f>
        <v>0</v>
      </c>
      <c r="W680" s="3">
        <f>Таблица1[[#This Row],[Годовой доход]]/12</f>
        <v>158507.5</v>
      </c>
      <c r="X680" s="3">
        <f>Таблица1[[#This Row],[Ежемесячный платеж]]/Таблица1[[#This Row],[Ежем доход]]</f>
        <v>0.1790002996703626</v>
      </c>
      <c r="Y680" s="3"/>
      <c r="Z680" s="3"/>
      <c r="AA680" s="3"/>
      <c r="AB680" s="3"/>
    </row>
    <row r="681" spans="1:28" x14ac:dyDescent="0.2">
      <c r="A681">
        <v>199</v>
      </c>
      <c r="B681" t="s">
        <v>241</v>
      </c>
      <c r="C681" t="s">
        <v>35</v>
      </c>
      <c r="D681" t="s">
        <v>19</v>
      </c>
      <c r="E681" t="s">
        <v>63</v>
      </c>
      <c r="F681" t="s">
        <v>33</v>
      </c>
      <c r="G681" t="s">
        <v>25</v>
      </c>
      <c r="H681" s="1">
        <v>304590</v>
      </c>
      <c r="I681" s="3">
        <v>746</v>
      </c>
      <c r="J681" s="3">
        <v>1202510</v>
      </c>
      <c r="K681" s="3">
        <v>28960.18</v>
      </c>
      <c r="L681" s="2">
        <v>19.7</v>
      </c>
      <c r="M681" s="11">
        <v>35.265240640000002</v>
      </c>
      <c r="N681" s="3">
        <v>9</v>
      </c>
      <c r="O681" s="3">
        <v>314830</v>
      </c>
      <c r="P681" s="3">
        <v>619982</v>
      </c>
      <c r="Q681" s="10">
        <v>0</v>
      </c>
      <c r="R681" s="3">
        <f>(Таблица1[Размер кредита]-$AA$2)/$AA$3</f>
        <v>-2.8492163318815822E-2</v>
      </c>
      <c r="S681" s="3">
        <f>(Таблица1[Кредитный рейтинг]-$AA$7)/($AA$8-$AA$7)</f>
        <v>0.99334221038615178</v>
      </c>
      <c r="T681" s="3">
        <f>(Таблица1[Срок с последнего нарушения кредитного договора (мес,)]-$AA$12)/($AA$13-$AA$12)</f>
        <v>0.40074137090909095</v>
      </c>
      <c r="U681" s="3">
        <f>(Таблица1[Количество кредитных карт]-$AA$18)/($AA$19-$AA$18)</f>
        <v>0.19047619047619047</v>
      </c>
      <c r="V681" s="3">
        <f>(Таблица1[Число нарушений кредитных договоров]-$AA$23)/($AA$24-$AA$23)</f>
        <v>0</v>
      </c>
      <c r="W681" s="3">
        <f>Таблица1[[#This Row],[Годовой доход]]/12</f>
        <v>100209.16666666667</v>
      </c>
      <c r="X681" s="3">
        <f>Таблица1[[#This Row],[Ежемесячный платеж]]/Таблица1[[#This Row],[Ежем доход]]</f>
        <v>0.28899731395165112</v>
      </c>
      <c r="Y681" s="3"/>
      <c r="Z681" s="3"/>
      <c r="AA681" s="3"/>
      <c r="AB681" s="3"/>
    </row>
    <row r="682" spans="1:28" x14ac:dyDescent="0.2">
      <c r="A682">
        <v>108</v>
      </c>
      <c r="B682" t="s">
        <v>150</v>
      </c>
      <c r="C682" t="s">
        <v>18</v>
      </c>
      <c r="D682" t="s">
        <v>19</v>
      </c>
      <c r="E682" t="s">
        <v>63</v>
      </c>
      <c r="F682" t="s">
        <v>21</v>
      </c>
      <c r="G682" t="s">
        <v>25</v>
      </c>
      <c r="H682" s="1">
        <v>541310</v>
      </c>
      <c r="I682" s="3">
        <v>722</v>
      </c>
      <c r="J682" s="3">
        <v>1682982</v>
      </c>
      <c r="K682" s="3">
        <v>52733.36</v>
      </c>
      <c r="L682" s="2">
        <v>17.899999999999999</v>
      </c>
      <c r="M682" s="11">
        <v>35</v>
      </c>
      <c r="N682" s="3">
        <v>13</v>
      </c>
      <c r="O682" s="3">
        <v>356288</v>
      </c>
      <c r="P682" s="3">
        <v>619432</v>
      </c>
      <c r="Q682" s="10">
        <v>0</v>
      </c>
      <c r="R682" s="3">
        <f>(Таблица1[Размер кредита]-$AA$2)/$AA$3</f>
        <v>1.3192212920198165</v>
      </c>
      <c r="S682" s="3">
        <f>(Таблица1[Кредитный рейтинг]-$AA$7)/($AA$8-$AA$7)</f>
        <v>0.96138482023968042</v>
      </c>
      <c r="T682" s="3">
        <f>(Таблица1[Срок с последнего нарушения кредитного договора (мес,)]-$AA$12)/($AA$13-$AA$12)</f>
        <v>0.39772727272727271</v>
      </c>
      <c r="U682" s="3">
        <f>(Таблица1[Количество кредитных карт]-$AA$18)/($AA$19-$AA$18)</f>
        <v>0.2857142857142857</v>
      </c>
      <c r="V682" s="3">
        <f>(Таблица1[Число нарушений кредитных договоров]-$AA$23)/($AA$24-$AA$23)</f>
        <v>0</v>
      </c>
      <c r="W682" s="3">
        <f>Таблица1[[#This Row],[Годовой доход]]/12</f>
        <v>140248.5</v>
      </c>
      <c r="X682" s="3">
        <f>Таблица1[[#This Row],[Ежемесячный платеж]]/Таблица1[[#This Row],[Ежем доход]]</f>
        <v>0.37599945810472124</v>
      </c>
      <c r="Y682" s="3"/>
      <c r="Z682" s="3"/>
      <c r="AA682" s="3"/>
      <c r="AB682" s="3"/>
    </row>
    <row r="683" spans="1:28" x14ac:dyDescent="0.2">
      <c r="A683">
        <v>1981</v>
      </c>
      <c r="B683" t="s">
        <v>2017</v>
      </c>
      <c r="C683" t="s">
        <v>18</v>
      </c>
      <c r="D683" t="s">
        <v>19</v>
      </c>
      <c r="E683" t="s">
        <v>24</v>
      </c>
      <c r="F683" t="s">
        <v>33</v>
      </c>
      <c r="G683" t="s">
        <v>25</v>
      </c>
      <c r="H683" s="1">
        <v>255156</v>
      </c>
      <c r="I683" s="3">
        <v>737</v>
      </c>
      <c r="J683" s="3">
        <v>862277</v>
      </c>
      <c r="K683" s="3">
        <v>8622.77</v>
      </c>
      <c r="L683" s="2">
        <v>38.299999999999997</v>
      </c>
      <c r="M683" s="11">
        <v>73</v>
      </c>
      <c r="N683" s="3">
        <v>11</v>
      </c>
      <c r="O683" s="3">
        <v>297654</v>
      </c>
      <c r="P683" s="3">
        <v>618772</v>
      </c>
      <c r="Q683" s="10">
        <v>1</v>
      </c>
      <c r="R683" s="3">
        <f>(Таблица1[Размер кредита]-$AA$2)/$AA$3</f>
        <v>-0.30993381147363991</v>
      </c>
      <c r="S683" s="3">
        <f>(Таблица1[Кредитный рейтинг]-$AA$7)/($AA$8-$AA$7)</f>
        <v>0.98135818908122507</v>
      </c>
      <c r="T683" s="3">
        <f>(Таблица1[Срок с последнего нарушения кредитного договора (мес,)]-$AA$12)/($AA$13-$AA$12)</f>
        <v>0.82954545454545459</v>
      </c>
      <c r="U683" s="3">
        <f>(Таблица1[Количество кредитных карт]-$AA$18)/($AA$19-$AA$18)</f>
        <v>0.23809523809523808</v>
      </c>
      <c r="V683" s="3">
        <f>(Таблица1[Число нарушений кредитных договоров]-$AA$23)/($AA$24-$AA$23)</f>
        <v>0.14285714285714285</v>
      </c>
      <c r="W683" s="3">
        <f>Таблица1[[#This Row],[Годовой доход]]/12</f>
        <v>71856.416666666672</v>
      </c>
      <c r="X683" s="3">
        <f>Таблица1[[#This Row],[Ежемесячный платеж]]/Таблица1[[#This Row],[Ежем доход]]</f>
        <v>0.12</v>
      </c>
      <c r="Y683" s="3"/>
      <c r="Z683" s="3"/>
      <c r="AA683" s="3"/>
      <c r="AB683" s="3"/>
    </row>
    <row r="684" spans="1:28" x14ac:dyDescent="0.2">
      <c r="A684">
        <v>1386</v>
      </c>
      <c r="B684" t="s">
        <v>1425</v>
      </c>
      <c r="C684" t="s">
        <v>35</v>
      </c>
      <c r="D684" t="s">
        <v>29</v>
      </c>
      <c r="E684" t="s">
        <v>32</v>
      </c>
      <c r="F684" t="s">
        <v>27</v>
      </c>
      <c r="G684" t="s">
        <v>22</v>
      </c>
      <c r="H684" s="1">
        <v>780560</v>
      </c>
      <c r="I684" s="3">
        <v>614</v>
      </c>
      <c r="J684" s="3">
        <v>1637135</v>
      </c>
      <c r="K684" s="3">
        <v>43383.839999999997</v>
      </c>
      <c r="L684" s="2">
        <v>25.7</v>
      </c>
      <c r="M684" s="11">
        <v>30</v>
      </c>
      <c r="N684" s="3">
        <v>10</v>
      </c>
      <c r="O684" s="3">
        <v>265354</v>
      </c>
      <c r="P684" s="3">
        <v>618200</v>
      </c>
      <c r="Q684" s="10">
        <v>1</v>
      </c>
      <c r="R684" s="3">
        <f>(Таблица1[Размер кредита]-$AA$2)/$AA$3</f>
        <v>2.6813387480428301</v>
      </c>
      <c r="S684" s="3">
        <f>(Таблица1[Кредитный рейтинг]-$AA$7)/($AA$8-$AA$7)</f>
        <v>0.81757656458055927</v>
      </c>
      <c r="T684" s="3">
        <f>(Таблица1[Срок с последнего нарушения кредитного договора (мес,)]-$AA$12)/($AA$13-$AA$12)</f>
        <v>0.34090909090909088</v>
      </c>
      <c r="U684" s="3">
        <f>(Таблица1[Количество кредитных карт]-$AA$18)/($AA$19-$AA$18)</f>
        <v>0.21428571428571427</v>
      </c>
      <c r="V684" s="3">
        <f>(Таблица1[Число нарушений кредитных договоров]-$AA$23)/($AA$24-$AA$23)</f>
        <v>0.14285714285714285</v>
      </c>
      <c r="W684" s="3">
        <f>Таблица1[[#This Row],[Годовой доход]]/12</f>
        <v>136427.91666666666</v>
      </c>
      <c r="X684" s="3">
        <f>Таблица1[[#This Row],[Ежемесячный платеж]]/Таблица1[[#This Row],[Ежем доход]]</f>
        <v>0.3179982591539488</v>
      </c>
      <c r="Y684" s="3"/>
      <c r="Z684" s="3"/>
      <c r="AA684" s="3"/>
      <c r="AB684" s="3"/>
    </row>
    <row r="685" spans="1:28" x14ac:dyDescent="0.2">
      <c r="A685">
        <v>1694</v>
      </c>
      <c r="B685" t="s">
        <v>1732</v>
      </c>
      <c r="C685" t="s">
        <v>18</v>
      </c>
      <c r="D685" t="s">
        <v>19</v>
      </c>
      <c r="E685" t="s">
        <v>63</v>
      </c>
      <c r="F685" t="s">
        <v>21</v>
      </c>
      <c r="G685" t="s">
        <v>25</v>
      </c>
      <c r="H685" s="1">
        <v>240240</v>
      </c>
      <c r="I685" s="3">
        <v>743</v>
      </c>
      <c r="J685" s="3">
        <v>1400566</v>
      </c>
      <c r="K685" s="3">
        <v>19689.7</v>
      </c>
      <c r="L685" s="2">
        <v>22.1</v>
      </c>
      <c r="M685" s="11">
        <v>6</v>
      </c>
      <c r="N685" s="3">
        <v>11</v>
      </c>
      <c r="O685" s="3">
        <v>203889</v>
      </c>
      <c r="P685" s="3">
        <v>618002</v>
      </c>
      <c r="Q685" s="10">
        <v>1</v>
      </c>
      <c r="R685" s="3">
        <f>(Таблица1[Размер кредита]-$AA$2)/$AA$3</f>
        <v>-0.39485478942155744</v>
      </c>
      <c r="S685" s="3">
        <f>(Таблица1[Кредитный рейтинг]-$AA$7)/($AA$8-$AA$7)</f>
        <v>0.98934753661784292</v>
      </c>
      <c r="T685" s="3">
        <f>(Таблица1[Срок с последнего нарушения кредитного договора (мес,)]-$AA$12)/($AA$13-$AA$12)</f>
        <v>6.8181818181818177E-2</v>
      </c>
      <c r="U685" s="3">
        <f>(Таблица1[Количество кредитных карт]-$AA$18)/($AA$19-$AA$18)</f>
        <v>0.23809523809523808</v>
      </c>
      <c r="V685" s="3">
        <f>(Таблица1[Число нарушений кредитных договоров]-$AA$23)/($AA$24-$AA$23)</f>
        <v>0.14285714285714285</v>
      </c>
      <c r="W685" s="3">
        <f>Таблица1[[#This Row],[Годовой доход]]/12</f>
        <v>116713.83333333333</v>
      </c>
      <c r="X685" s="3">
        <f>Таблица1[[#This Row],[Ежемесячный платеж]]/Таблица1[[#This Row],[Ежем доход]]</f>
        <v>0.16870065387850341</v>
      </c>
      <c r="Y685" s="3"/>
      <c r="Z685" s="3"/>
      <c r="AA685" s="3"/>
      <c r="AB685" s="3"/>
    </row>
    <row r="686" spans="1:28" x14ac:dyDescent="0.2">
      <c r="A686">
        <v>519</v>
      </c>
      <c r="B686" t="s">
        <v>560</v>
      </c>
      <c r="C686" t="s">
        <v>18</v>
      </c>
      <c r="D686" t="s">
        <v>19</v>
      </c>
      <c r="E686" t="s">
        <v>30</v>
      </c>
      <c r="F686" t="s">
        <v>21</v>
      </c>
      <c r="G686" t="s">
        <v>25</v>
      </c>
      <c r="H686" s="1">
        <v>268752</v>
      </c>
      <c r="I686" s="3">
        <v>747</v>
      </c>
      <c r="J686" s="3">
        <v>812364</v>
      </c>
      <c r="K686" s="3">
        <v>6654.56</v>
      </c>
      <c r="L686" s="2">
        <v>15.3</v>
      </c>
      <c r="M686" s="11">
        <v>35.265240640000002</v>
      </c>
      <c r="N686" s="3">
        <v>9</v>
      </c>
      <c r="O686" s="3">
        <v>278103</v>
      </c>
      <c r="P686" s="3">
        <v>615692</v>
      </c>
      <c r="Q686" s="10">
        <v>0</v>
      </c>
      <c r="R686" s="3">
        <f>(Таблица1[Размер кредита]-$AA$2)/$AA$3</f>
        <v>-0.23252796431757344</v>
      </c>
      <c r="S686" s="3">
        <f>(Таблица1[Кредитный рейтинг]-$AA$7)/($AA$8-$AA$7)</f>
        <v>0.9946737683089214</v>
      </c>
      <c r="T686" s="3">
        <f>(Таблица1[Срок с последнего нарушения кредитного договора (мес,)]-$AA$12)/($AA$13-$AA$12)</f>
        <v>0.40074137090909095</v>
      </c>
      <c r="U686" s="3">
        <f>(Таблица1[Количество кредитных карт]-$AA$18)/($AA$19-$AA$18)</f>
        <v>0.19047619047619047</v>
      </c>
      <c r="V686" s="3">
        <f>(Таблица1[Число нарушений кредитных договоров]-$AA$23)/($AA$24-$AA$23)</f>
        <v>0</v>
      </c>
      <c r="W686" s="3">
        <f>Таблица1[[#This Row],[Годовой доход]]/12</f>
        <v>67697</v>
      </c>
      <c r="X686" s="3">
        <f>Таблица1[[#This Row],[Ежемесячный платеж]]/Таблица1[[#This Row],[Ежем доход]]</f>
        <v>9.8299186079146797E-2</v>
      </c>
      <c r="Y686" s="3"/>
      <c r="Z686" s="3"/>
      <c r="AA686" s="3"/>
      <c r="AB686" s="3"/>
    </row>
    <row r="687" spans="1:28" x14ac:dyDescent="0.2">
      <c r="A687">
        <v>1213</v>
      </c>
      <c r="B687" t="s">
        <v>1252</v>
      </c>
      <c r="C687" t="s">
        <v>18</v>
      </c>
      <c r="D687" t="s">
        <v>29</v>
      </c>
      <c r="E687" t="s">
        <v>37</v>
      </c>
      <c r="F687" t="s">
        <v>33</v>
      </c>
      <c r="G687" t="s">
        <v>25</v>
      </c>
      <c r="H687" s="1">
        <v>486002</v>
      </c>
      <c r="I687" s="3">
        <v>688</v>
      </c>
      <c r="J687" s="3">
        <v>1217957</v>
      </c>
      <c r="K687" s="3">
        <v>24866.63</v>
      </c>
      <c r="L687" s="2">
        <v>18</v>
      </c>
      <c r="M687" s="11">
        <v>35.265240640000002</v>
      </c>
      <c r="N687" s="3">
        <v>12</v>
      </c>
      <c r="O687" s="3">
        <v>511917</v>
      </c>
      <c r="P687" s="3">
        <v>614240</v>
      </c>
      <c r="Q687" s="10">
        <v>0</v>
      </c>
      <c r="R687" s="3">
        <f>(Таблица1[Размер кредита]-$AA$2)/$AA$3</f>
        <v>1.0043373118412551</v>
      </c>
      <c r="S687" s="3">
        <f>(Таблица1[Кредитный рейтинг]-$AA$7)/($AA$8-$AA$7)</f>
        <v>0.91611185086551261</v>
      </c>
      <c r="T687" s="3">
        <f>(Таблица1[Срок с последнего нарушения кредитного договора (мес,)]-$AA$12)/($AA$13-$AA$12)</f>
        <v>0.40074137090909095</v>
      </c>
      <c r="U687" s="3">
        <f>(Таблица1[Количество кредитных карт]-$AA$18)/($AA$19-$AA$18)</f>
        <v>0.26190476190476192</v>
      </c>
      <c r="V687" s="3">
        <f>(Таблица1[Число нарушений кредитных договоров]-$AA$23)/($AA$24-$AA$23)</f>
        <v>0</v>
      </c>
      <c r="W687" s="3">
        <f>Таблица1[[#This Row],[Годовой доход]]/12</f>
        <v>101496.41666666667</v>
      </c>
      <c r="X687" s="3">
        <f>Таблица1[[#This Row],[Ежемесячный платеж]]/Таблица1[[#This Row],[Ежем доход]]</f>
        <v>0.2450000779994696</v>
      </c>
      <c r="Y687" s="3"/>
      <c r="Z687" s="3"/>
      <c r="AA687" s="3"/>
      <c r="AB687" s="3"/>
    </row>
    <row r="688" spans="1:28" x14ac:dyDescent="0.2">
      <c r="A688">
        <v>1389</v>
      </c>
      <c r="B688" t="s">
        <v>1428</v>
      </c>
      <c r="C688" t="s">
        <v>18</v>
      </c>
      <c r="D688" t="s">
        <v>29</v>
      </c>
      <c r="E688" t="s">
        <v>32</v>
      </c>
      <c r="F688" t="s">
        <v>21</v>
      </c>
      <c r="G688" t="s">
        <v>25</v>
      </c>
      <c r="H688" s="1">
        <v>444840</v>
      </c>
      <c r="I688" s="3">
        <v>728</v>
      </c>
      <c r="J688" s="3">
        <v>916275</v>
      </c>
      <c r="K688" s="3">
        <v>10995.3</v>
      </c>
      <c r="L688" s="2">
        <v>7.8</v>
      </c>
      <c r="M688" s="11">
        <v>35.265240640000002</v>
      </c>
      <c r="N688" s="3">
        <v>8</v>
      </c>
      <c r="O688" s="3">
        <v>354692</v>
      </c>
      <c r="P688" s="3">
        <v>613910</v>
      </c>
      <c r="Q688" s="10">
        <v>0</v>
      </c>
      <c r="R688" s="3">
        <f>(Таблица1[Размер кредита]-$AA$2)/$AA$3</f>
        <v>0.76999048331536457</v>
      </c>
      <c r="S688" s="3">
        <f>(Таблица1[Кредитный рейтинг]-$AA$7)/($AA$8-$AA$7)</f>
        <v>0.96937416777629826</v>
      </c>
      <c r="T688" s="3">
        <f>(Таблица1[Срок с последнего нарушения кредитного договора (мес,)]-$AA$12)/($AA$13-$AA$12)</f>
        <v>0.40074137090909095</v>
      </c>
      <c r="U688" s="3">
        <f>(Таблица1[Количество кредитных карт]-$AA$18)/($AA$19-$AA$18)</f>
        <v>0.16666666666666666</v>
      </c>
      <c r="V688" s="3">
        <f>(Таблица1[Число нарушений кредитных договоров]-$AA$23)/($AA$24-$AA$23)</f>
        <v>0</v>
      </c>
      <c r="W688" s="3">
        <f>Таблица1[[#This Row],[Годовой доход]]/12</f>
        <v>76356.25</v>
      </c>
      <c r="X688" s="3">
        <f>Таблица1[[#This Row],[Ежемесячный платеж]]/Таблица1[[#This Row],[Ежем доход]]</f>
        <v>0.14399999999999999</v>
      </c>
      <c r="Y688" s="3"/>
      <c r="Z688" s="3"/>
      <c r="AA688" s="3"/>
      <c r="AB688" s="3"/>
    </row>
    <row r="689" spans="1:28" x14ac:dyDescent="0.2">
      <c r="A689">
        <v>1101</v>
      </c>
      <c r="B689" t="s">
        <v>1140</v>
      </c>
      <c r="C689" t="s">
        <v>18</v>
      </c>
      <c r="D689" t="s">
        <v>19</v>
      </c>
      <c r="E689" t="s">
        <v>37</v>
      </c>
      <c r="F689" t="s">
        <v>33</v>
      </c>
      <c r="G689" t="s">
        <v>70</v>
      </c>
      <c r="H689" s="1">
        <v>437580</v>
      </c>
      <c r="I689" s="3">
        <v>747</v>
      </c>
      <c r="J689" s="3">
        <v>982566</v>
      </c>
      <c r="K689" s="3">
        <v>17931.82</v>
      </c>
      <c r="L689" s="2">
        <v>14.1</v>
      </c>
      <c r="M689" s="11">
        <v>72</v>
      </c>
      <c r="N689" s="3">
        <v>11</v>
      </c>
      <c r="O689" s="3">
        <v>78926</v>
      </c>
      <c r="P689" s="3">
        <v>613360</v>
      </c>
      <c r="Q689" s="10">
        <v>0</v>
      </c>
      <c r="R689" s="3">
        <f>(Таблица1[Размер кредита]-$AA$2)/$AA$3</f>
        <v>0.72865726396018349</v>
      </c>
      <c r="S689" s="3">
        <f>(Таблица1[Кредитный рейтинг]-$AA$7)/($AA$8-$AA$7)</f>
        <v>0.9946737683089214</v>
      </c>
      <c r="T689" s="3">
        <f>(Таблица1[Срок с последнего нарушения кредитного договора (мес,)]-$AA$12)/($AA$13-$AA$12)</f>
        <v>0.81818181818181823</v>
      </c>
      <c r="U689" s="3">
        <f>(Таблица1[Количество кредитных карт]-$AA$18)/($AA$19-$AA$18)</f>
        <v>0.23809523809523808</v>
      </c>
      <c r="V689" s="3">
        <f>(Таблица1[Число нарушений кредитных договоров]-$AA$23)/($AA$24-$AA$23)</f>
        <v>0</v>
      </c>
      <c r="W689" s="3">
        <f>Таблица1[[#This Row],[Годовой доход]]/12</f>
        <v>81880.5</v>
      </c>
      <c r="X689" s="3">
        <f>Таблица1[[#This Row],[Ежемесячный платеж]]/Таблица1[[#This Row],[Ежем доход]]</f>
        <v>0.21899988397725953</v>
      </c>
      <c r="Y689" s="3"/>
      <c r="Z689" s="3"/>
      <c r="AA689" s="3"/>
      <c r="AB689" s="3"/>
    </row>
    <row r="690" spans="1:28" x14ac:dyDescent="0.2">
      <c r="A690">
        <v>79</v>
      </c>
      <c r="B690" t="s">
        <v>121</v>
      </c>
      <c r="C690" t="s">
        <v>18</v>
      </c>
      <c r="D690" t="s">
        <v>19</v>
      </c>
      <c r="E690" t="s">
        <v>52</v>
      </c>
      <c r="F690" t="s">
        <v>21</v>
      </c>
      <c r="G690" t="s">
        <v>25</v>
      </c>
      <c r="H690" s="1">
        <v>433312</v>
      </c>
      <c r="I690" s="3">
        <v>736</v>
      </c>
      <c r="J690" s="3">
        <v>1010401</v>
      </c>
      <c r="K690" s="3">
        <v>22228.86</v>
      </c>
      <c r="L690" s="2">
        <v>16.100000000000001</v>
      </c>
      <c r="M690" s="11">
        <v>11</v>
      </c>
      <c r="N690" s="3">
        <v>19</v>
      </c>
      <c r="O690" s="3">
        <v>201780</v>
      </c>
      <c r="P690" s="3">
        <v>613228</v>
      </c>
      <c r="Q690" s="10">
        <v>0</v>
      </c>
      <c r="R690" s="3">
        <f>(Таблица1[Размер кредита]-$AA$2)/$AA$3</f>
        <v>0.70435834106653161</v>
      </c>
      <c r="S690" s="3">
        <f>(Таблица1[Кредитный рейтинг]-$AA$7)/($AA$8-$AA$7)</f>
        <v>0.98002663115845534</v>
      </c>
      <c r="T690" s="3">
        <f>(Таблица1[Срок с последнего нарушения кредитного договора (мес,)]-$AA$12)/($AA$13-$AA$12)</f>
        <v>0.125</v>
      </c>
      <c r="U690" s="3">
        <f>(Таблица1[Количество кредитных карт]-$AA$18)/($AA$19-$AA$18)</f>
        <v>0.42857142857142855</v>
      </c>
      <c r="V690" s="3">
        <f>(Таблица1[Число нарушений кредитных договоров]-$AA$23)/($AA$24-$AA$23)</f>
        <v>0</v>
      </c>
      <c r="W690" s="3">
        <f>Таблица1[[#This Row],[Годовой доход]]/12</f>
        <v>84200.083333333328</v>
      </c>
      <c r="X690" s="3">
        <f>Таблица1[[#This Row],[Ежемесячный платеж]]/Таблица1[[#This Row],[Ежем доход]]</f>
        <v>0.26400045130596667</v>
      </c>
      <c r="Y690" s="3"/>
      <c r="Z690" s="3"/>
      <c r="AA690" s="3"/>
      <c r="AB690" s="3"/>
    </row>
    <row r="691" spans="1:28" x14ac:dyDescent="0.2">
      <c r="A691">
        <v>1300</v>
      </c>
      <c r="B691" t="s">
        <v>1339</v>
      </c>
      <c r="C691" t="s">
        <v>18</v>
      </c>
      <c r="D691" t="s">
        <v>19</v>
      </c>
      <c r="E691" t="s">
        <v>69</v>
      </c>
      <c r="F691" t="s">
        <v>33</v>
      </c>
      <c r="G691" t="s">
        <v>25</v>
      </c>
      <c r="H691" s="1">
        <v>394900</v>
      </c>
      <c r="I691" s="3">
        <v>747</v>
      </c>
      <c r="J691" s="3">
        <v>1686269</v>
      </c>
      <c r="K691" s="3">
        <v>15878.87</v>
      </c>
      <c r="L691" s="2">
        <v>9.1</v>
      </c>
      <c r="M691" s="11">
        <v>54</v>
      </c>
      <c r="N691" s="3">
        <v>12</v>
      </c>
      <c r="O691" s="3">
        <v>8987</v>
      </c>
      <c r="P691" s="3">
        <v>611688</v>
      </c>
      <c r="Q691" s="10">
        <v>0</v>
      </c>
      <c r="R691" s="3">
        <f>(Таблица1[Размер кредита]-$AA$2)/$AA$3</f>
        <v>0.48566803502366429</v>
      </c>
      <c r="S691" s="3">
        <f>(Таблица1[Кредитный рейтинг]-$AA$7)/($AA$8-$AA$7)</f>
        <v>0.9946737683089214</v>
      </c>
      <c r="T691" s="3">
        <f>(Таблица1[Срок с последнего нарушения кредитного договора (мес,)]-$AA$12)/($AA$13-$AA$12)</f>
        <v>0.61363636363636365</v>
      </c>
      <c r="U691" s="3">
        <f>(Таблица1[Количество кредитных карт]-$AA$18)/($AA$19-$AA$18)</f>
        <v>0.26190476190476192</v>
      </c>
      <c r="V691" s="3">
        <f>(Таблица1[Число нарушений кредитных договоров]-$AA$23)/($AA$24-$AA$23)</f>
        <v>0</v>
      </c>
      <c r="W691" s="3">
        <f>Таблица1[[#This Row],[Годовой доход]]/12</f>
        <v>140522.41666666666</v>
      </c>
      <c r="X691" s="3">
        <f>Таблица1[[#This Row],[Ежемесячный платеж]]/Таблица1[[#This Row],[Ежем доход]]</f>
        <v>0.11299883944969635</v>
      </c>
      <c r="Y691" s="3"/>
      <c r="Z691" s="3"/>
      <c r="AA691" s="3"/>
      <c r="AB691" s="3"/>
    </row>
    <row r="692" spans="1:28" x14ac:dyDescent="0.2">
      <c r="A692">
        <v>411</v>
      </c>
      <c r="B692" t="s">
        <v>453</v>
      </c>
      <c r="C692" t="s">
        <v>35</v>
      </c>
      <c r="D692" t="s">
        <v>29</v>
      </c>
      <c r="E692" t="s">
        <v>32</v>
      </c>
      <c r="F692" t="s">
        <v>33</v>
      </c>
      <c r="G692" t="s">
        <v>25</v>
      </c>
      <c r="H692" s="1">
        <v>444752</v>
      </c>
      <c r="I692" s="3">
        <v>706</v>
      </c>
      <c r="J692" s="3">
        <v>1920520</v>
      </c>
      <c r="K692" s="3">
        <v>43371.68</v>
      </c>
      <c r="L692" s="2">
        <v>16.100000000000001</v>
      </c>
      <c r="M692" s="11">
        <v>72</v>
      </c>
      <c r="N692" s="3">
        <v>22</v>
      </c>
      <c r="O692" s="3">
        <v>353362</v>
      </c>
      <c r="P692" s="3">
        <v>611578</v>
      </c>
      <c r="Q692" s="10">
        <v>0</v>
      </c>
      <c r="R692" s="3">
        <f>(Таблица1[Размер кредита]-$AA$2)/$AA$3</f>
        <v>0.76948947459590789</v>
      </c>
      <c r="S692" s="3">
        <f>(Таблица1[Кредитный рейтинг]-$AA$7)/($AA$8-$AA$7)</f>
        <v>0.94007989347536614</v>
      </c>
      <c r="T692" s="3">
        <f>(Таблица1[Срок с последнего нарушения кредитного договора (мес,)]-$AA$12)/($AA$13-$AA$12)</f>
        <v>0.81818181818181823</v>
      </c>
      <c r="U692" s="3">
        <f>(Таблица1[Количество кредитных карт]-$AA$18)/($AA$19-$AA$18)</f>
        <v>0.5</v>
      </c>
      <c r="V692" s="3">
        <f>(Таблица1[Число нарушений кредитных договоров]-$AA$23)/($AA$24-$AA$23)</f>
        <v>0</v>
      </c>
      <c r="W692" s="3">
        <f>Таблица1[[#This Row],[Годовой доход]]/12</f>
        <v>160043.33333333334</v>
      </c>
      <c r="X692" s="3">
        <f>Таблица1[[#This Row],[Ежемесячный платеж]]/Таблица1[[#This Row],[Ежем доход]]</f>
        <v>0.27099960427384251</v>
      </c>
      <c r="Y692" s="3"/>
      <c r="Z692" s="3"/>
      <c r="AA692" s="3"/>
      <c r="AB692" s="3"/>
    </row>
    <row r="693" spans="1:28" x14ac:dyDescent="0.2">
      <c r="A693">
        <v>257</v>
      </c>
      <c r="B693" t="s">
        <v>299</v>
      </c>
      <c r="C693" t="s">
        <v>18</v>
      </c>
      <c r="D693" t="s">
        <v>19</v>
      </c>
      <c r="E693" t="s">
        <v>24</v>
      </c>
      <c r="F693" t="s">
        <v>21</v>
      </c>
      <c r="G693" t="s">
        <v>25</v>
      </c>
      <c r="H693" s="1">
        <v>117854</v>
      </c>
      <c r="I693" s="3">
        <v>709</v>
      </c>
      <c r="J693" s="3">
        <v>848958</v>
      </c>
      <c r="K693" s="3">
        <v>15069.09</v>
      </c>
      <c r="L693" s="2">
        <v>15.4</v>
      </c>
      <c r="M693" s="11">
        <v>35.265240640000002</v>
      </c>
      <c r="N693" s="3">
        <v>10</v>
      </c>
      <c r="O693" s="3">
        <v>404073</v>
      </c>
      <c r="P693" s="3">
        <v>609994</v>
      </c>
      <c r="Q693" s="10">
        <v>0</v>
      </c>
      <c r="R693" s="3">
        <f>(Таблица1[Размер кредита]-$AA$2)/$AA$3</f>
        <v>-1.0916326660060196</v>
      </c>
      <c r="S693" s="3">
        <f>(Таблица1[Кредитный рейтинг]-$AA$7)/($AA$8-$AA$7)</f>
        <v>0.94407456724367511</v>
      </c>
      <c r="T693" s="3">
        <f>(Таблица1[Срок с последнего нарушения кредитного договора (мес,)]-$AA$12)/($AA$13-$AA$12)</f>
        <v>0.40074137090909095</v>
      </c>
      <c r="U693" s="3">
        <f>(Таблица1[Количество кредитных карт]-$AA$18)/($AA$19-$AA$18)</f>
        <v>0.21428571428571427</v>
      </c>
      <c r="V693" s="3">
        <f>(Таблица1[Число нарушений кредитных договоров]-$AA$23)/($AA$24-$AA$23)</f>
        <v>0</v>
      </c>
      <c r="W693" s="3">
        <f>Таблица1[[#This Row],[Годовой доход]]/12</f>
        <v>70746.5</v>
      </c>
      <c r="X693" s="3">
        <f>Таблица1[[#This Row],[Ежемесячный платеж]]/Таблица1[[#This Row],[Ежем доход]]</f>
        <v>0.21300120854035182</v>
      </c>
      <c r="Y693" s="3"/>
      <c r="Z693" s="3"/>
      <c r="AA693" s="3"/>
      <c r="AB693" s="3"/>
    </row>
    <row r="694" spans="1:28" x14ac:dyDescent="0.2">
      <c r="A694">
        <v>965</v>
      </c>
      <c r="B694" t="s">
        <v>1006</v>
      </c>
      <c r="C694" t="s">
        <v>18</v>
      </c>
      <c r="D694" t="s">
        <v>29</v>
      </c>
      <c r="E694" t="s">
        <v>24</v>
      </c>
      <c r="F694" t="s">
        <v>21</v>
      </c>
      <c r="G694" t="s">
        <v>22</v>
      </c>
      <c r="H694" s="1">
        <v>269104</v>
      </c>
      <c r="I694" s="3">
        <v>715</v>
      </c>
      <c r="J694" s="3">
        <v>1297567</v>
      </c>
      <c r="K694" s="3">
        <v>13624.52</v>
      </c>
      <c r="L694" s="2">
        <v>20.3</v>
      </c>
      <c r="M694" s="11">
        <v>48</v>
      </c>
      <c r="N694" s="3">
        <v>20</v>
      </c>
      <c r="O694" s="3">
        <v>182020</v>
      </c>
      <c r="P694" s="3">
        <v>609158</v>
      </c>
      <c r="Q694" s="10">
        <v>1</v>
      </c>
      <c r="R694" s="3">
        <f>(Таблица1[Размер кредита]-$AA$2)/$AA$3</f>
        <v>-0.23052392943974651</v>
      </c>
      <c r="S694" s="3">
        <f>(Таблица1[Кредитный рейтинг]-$AA$7)/($AA$8-$AA$7)</f>
        <v>0.95206391478029295</v>
      </c>
      <c r="T694" s="3">
        <f>(Таблица1[Срок с последнего нарушения кредитного договора (мес,)]-$AA$12)/($AA$13-$AA$12)</f>
        <v>0.54545454545454541</v>
      </c>
      <c r="U694" s="3">
        <f>(Таблица1[Количество кредитных карт]-$AA$18)/($AA$19-$AA$18)</f>
        <v>0.45238095238095238</v>
      </c>
      <c r="V694" s="3">
        <f>(Таблица1[Число нарушений кредитных договоров]-$AA$23)/($AA$24-$AA$23)</f>
        <v>0.14285714285714285</v>
      </c>
      <c r="W694" s="3">
        <f>Таблица1[[#This Row],[Годовой доход]]/12</f>
        <v>108130.58333333333</v>
      </c>
      <c r="X694" s="3">
        <f>Таблица1[[#This Row],[Ежемесячный платеж]]/Таблица1[[#This Row],[Ежем доход]]</f>
        <v>0.12600061499714466</v>
      </c>
      <c r="Y694" s="3"/>
      <c r="Z694" s="3"/>
      <c r="AA694" s="3"/>
      <c r="AB694" s="3"/>
    </row>
    <row r="695" spans="1:28" x14ac:dyDescent="0.2">
      <c r="A695">
        <v>972</v>
      </c>
      <c r="B695" t="s">
        <v>1012</v>
      </c>
      <c r="C695" t="s">
        <v>18</v>
      </c>
      <c r="D695" t="s">
        <v>19</v>
      </c>
      <c r="E695" t="s">
        <v>41</v>
      </c>
      <c r="F695" t="s">
        <v>21</v>
      </c>
      <c r="G695" t="s">
        <v>25</v>
      </c>
      <c r="H695" s="1">
        <v>87252</v>
      </c>
      <c r="I695" s="3">
        <v>746</v>
      </c>
      <c r="J695" s="3">
        <v>1789667</v>
      </c>
      <c r="K695" s="3">
        <v>16121.88</v>
      </c>
      <c r="L695" s="2">
        <v>14.6</v>
      </c>
      <c r="M695" s="11">
        <v>35.265240640000002</v>
      </c>
      <c r="N695" s="3">
        <v>9</v>
      </c>
      <c r="O695" s="3">
        <v>315609</v>
      </c>
      <c r="P695" s="3">
        <v>609070</v>
      </c>
      <c r="Q695" s="10">
        <v>0</v>
      </c>
      <c r="R695" s="3">
        <f>(Таблица1[Размер кредита]-$AA$2)/$AA$3</f>
        <v>-1.2658584481971011</v>
      </c>
      <c r="S695" s="3">
        <f>(Таблица1[Кредитный рейтинг]-$AA$7)/($AA$8-$AA$7)</f>
        <v>0.99334221038615178</v>
      </c>
      <c r="T695" s="3">
        <f>(Таблица1[Срок с последнего нарушения кредитного договора (мес,)]-$AA$12)/($AA$13-$AA$12)</f>
        <v>0.40074137090909095</v>
      </c>
      <c r="U695" s="3">
        <f>(Таблица1[Количество кредитных карт]-$AA$18)/($AA$19-$AA$18)</f>
        <v>0.19047619047619047</v>
      </c>
      <c r="V695" s="3">
        <f>(Таблица1[Число нарушений кредитных договоров]-$AA$23)/($AA$24-$AA$23)</f>
        <v>0</v>
      </c>
      <c r="W695" s="3">
        <f>Таблица1[[#This Row],[Годовой доход]]/12</f>
        <v>149138.91666666666</v>
      </c>
      <c r="X695" s="3">
        <f>Таблица1[[#This Row],[Ежемесячный платеж]]/Таблица1[[#This Row],[Ежем доход]]</f>
        <v>0.10809975263554616</v>
      </c>
      <c r="Y695" s="3"/>
      <c r="Z695" s="3"/>
      <c r="AA695" s="3"/>
      <c r="AB695" s="3"/>
    </row>
    <row r="696" spans="1:28" x14ac:dyDescent="0.2">
      <c r="A696">
        <v>730</v>
      </c>
      <c r="B696" t="s">
        <v>771</v>
      </c>
      <c r="C696" t="s">
        <v>18</v>
      </c>
      <c r="D696" t="s">
        <v>19</v>
      </c>
      <c r="E696" t="s">
        <v>24</v>
      </c>
      <c r="F696" t="s">
        <v>21</v>
      </c>
      <c r="G696" t="s">
        <v>25</v>
      </c>
      <c r="H696" s="1">
        <v>259270</v>
      </c>
      <c r="I696" s="3">
        <v>741</v>
      </c>
      <c r="J696" s="3">
        <v>1306193</v>
      </c>
      <c r="K696" s="3">
        <v>33090.21</v>
      </c>
      <c r="L696" s="2">
        <v>21</v>
      </c>
      <c r="M696" s="11">
        <v>35.265240640000002</v>
      </c>
      <c r="N696" s="3">
        <v>10</v>
      </c>
      <c r="O696" s="3">
        <v>498579</v>
      </c>
      <c r="P696" s="3">
        <v>607046</v>
      </c>
      <c r="Q696" s="10">
        <v>0</v>
      </c>
      <c r="R696" s="3">
        <f>(Таблица1[Размер кредита]-$AA$2)/$AA$3</f>
        <v>-0.28651165383903726</v>
      </c>
      <c r="S696" s="3">
        <f>(Таблица1[Кредитный рейтинг]-$AA$7)/($AA$8-$AA$7)</f>
        <v>0.98668442077230356</v>
      </c>
      <c r="T696" s="3">
        <f>(Таблица1[Срок с последнего нарушения кредитного договора (мес,)]-$AA$12)/($AA$13-$AA$12)</f>
        <v>0.40074137090909095</v>
      </c>
      <c r="U696" s="3">
        <f>(Таблица1[Количество кредитных карт]-$AA$18)/($AA$19-$AA$18)</f>
        <v>0.21428571428571427</v>
      </c>
      <c r="V696" s="3">
        <f>(Таблица1[Число нарушений кредитных договоров]-$AA$23)/($AA$24-$AA$23)</f>
        <v>0</v>
      </c>
      <c r="W696" s="3">
        <f>Таблица1[[#This Row],[Годовой доход]]/12</f>
        <v>108849.41666666667</v>
      </c>
      <c r="X696" s="3">
        <f>Таблица1[[#This Row],[Ежемесячный платеж]]/Таблица1[[#This Row],[Ежем доход]]</f>
        <v>0.30399988363128572</v>
      </c>
      <c r="Y696" s="3"/>
      <c r="Z696" s="3"/>
      <c r="AA696" s="3"/>
      <c r="AB696" s="3"/>
    </row>
    <row r="697" spans="1:28" x14ac:dyDescent="0.2">
      <c r="A697">
        <v>305</v>
      </c>
      <c r="B697" t="s">
        <v>347</v>
      </c>
      <c r="C697" t="s">
        <v>18</v>
      </c>
      <c r="D697" t="s">
        <v>29</v>
      </c>
      <c r="E697" t="s">
        <v>24</v>
      </c>
      <c r="F697" t="s">
        <v>21</v>
      </c>
      <c r="G697" t="s">
        <v>25</v>
      </c>
      <c r="H697" s="1">
        <v>628474</v>
      </c>
      <c r="I697" s="3">
        <v>676</v>
      </c>
      <c r="J697" s="3">
        <v>1235741</v>
      </c>
      <c r="K697" s="3">
        <v>26568.46</v>
      </c>
      <c r="L697" s="2">
        <v>26.5</v>
      </c>
      <c r="M697" s="11">
        <v>7</v>
      </c>
      <c r="N697" s="3">
        <v>12</v>
      </c>
      <c r="O697" s="3">
        <v>252871</v>
      </c>
      <c r="P697" s="3">
        <v>603702</v>
      </c>
      <c r="Q697" s="10">
        <v>0</v>
      </c>
      <c r="R697" s="3">
        <f>(Таблица1[Размер кредита]-$AA$2)/$AA$3</f>
        <v>1.8154704286417183</v>
      </c>
      <c r="S697" s="3">
        <f>(Таблица1[Кредитный рейтинг]-$AA$7)/($AA$8-$AA$7)</f>
        <v>0.90013315579227693</v>
      </c>
      <c r="T697" s="3">
        <f>(Таблица1[Срок с последнего нарушения кредитного договора (мес,)]-$AA$12)/($AA$13-$AA$12)</f>
        <v>7.9545454545454544E-2</v>
      </c>
      <c r="U697" s="3">
        <f>(Таблица1[Количество кредитных карт]-$AA$18)/($AA$19-$AA$18)</f>
        <v>0.26190476190476192</v>
      </c>
      <c r="V697" s="3">
        <f>(Таблица1[Число нарушений кредитных договоров]-$AA$23)/($AA$24-$AA$23)</f>
        <v>0</v>
      </c>
      <c r="W697" s="3">
        <f>Таблица1[[#This Row],[Годовой доход]]/12</f>
        <v>102978.41666666667</v>
      </c>
      <c r="X697" s="3">
        <f>Таблица1[[#This Row],[Ежемесячный платеж]]/Таблица1[[#This Row],[Ежем доход]]</f>
        <v>0.2580002767570227</v>
      </c>
      <c r="Y697" s="3"/>
      <c r="Z697" s="3"/>
      <c r="AA697" s="3"/>
      <c r="AB697" s="3"/>
    </row>
    <row r="698" spans="1:28" x14ac:dyDescent="0.2">
      <c r="A698">
        <v>1918</v>
      </c>
      <c r="B698" t="s">
        <v>1954</v>
      </c>
      <c r="C698" t="s">
        <v>18</v>
      </c>
      <c r="D698" t="s">
        <v>19</v>
      </c>
      <c r="E698" t="s">
        <v>20</v>
      </c>
      <c r="F698" t="s">
        <v>21</v>
      </c>
      <c r="G698" t="s">
        <v>25</v>
      </c>
      <c r="H698" s="1">
        <v>225192</v>
      </c>
      <c r="I698" s="3">
        <v>710</v>
      </c>
      <c r="J698" s="3">
        <v>1166904</v>
      </c>
      <c r="K698" s="3">
        <v>10307.69</v>
      </c>
      <c r="L698" s="2">
        <v>20.100000000000001</v>
      </c>
      <c r="M698" s="11">
        <v>45</v>
      </c>
      <c r="N698" s="3">
        <v>14</v>
      </c>
      <c r="O698" s="3">
        <v>431319</v>
      </c>
      <c r="P698" s="3">
        <v>603174</v>
      </c>
      <c r="Q698" s="10">
        <v>0</v>
      </c>
      <c r="R698" s="3">
        <f>(Таблица1[Размер кредита]-$AA$2)/$AA$3</f>
        <v>-0.48052728044866005</v>
      </c>
      <c r="S698" s="3">
        <f>(Таблица1[Кредитный рейтинг]-$AA$7)/($AA$8-$AA$7)</f>
        <v>0.94540612516644473</v>
      </c>
      <c r="T698" s="3">
        <f>(Таблица1[Срок с последнего нарушения кредитного договора (мес,)]-$AA$12)/($AA$13-$AA$12)</f>
        <v>0.51136363636363635</v>
      </c>
      <c r="U698" s="3">
        <f>(Таблица1[Количество кредитных карт]-$AA$18)/($AA$19-$AA$18)</f>
        <v>0.30952380952380953</v>
      </c>
      <c r="V698" s="3">
        <f>(Таблица1[Число нарушений кредитных договоров]-$AA$23)/($AA$24-$AA$23)</f>
        <v>0</v>
      </c>
      <c r="W698" s="3">
        <f>Таблица1[[#This Row],[Годовой доход]]/12</f>
        <v>97242</v>
      </c>
      <c r="X698" s="3">
        <f>Таблица1[[#This Row],[Ежемесячный платеж]]/Таблица1[[#This Row],[Ежем доход]]</f>
        <v>0.10600039077764753</v>
      </c>
      <c r="Y698" s="3"/>
      <c r="Z698" s="3"/>
      <c r="AA698" s="3"/>
      <c r="AB698" s="3"/>
    </row>
    <row r="699" spans="1:28" x14ac:dyDescent="0.2">
      <c r="A699">
        <v>1170</v>
      </c>
      <c r="B699" t="s">
        <v>1209</v>
      </c>
      <c r="C699" t="s">
        <v>35</v>
      </c>
      <c r="D699" t="s">
        <v>29</v>
      </c>
      <c r="E699" t="s">
        <v>24</v>
      </c>
      <c r="F699" t="s">
        <v>21</v>
      </c>
      <c r="G699" t="s">
        <v>25</v>
      </c>
      <c r="H699" s="1">
        <v>668976</v>
      </c>
      <c r="I699" s="3">
        <v>691</v>
      </c>
      <c r="J699" s="3">
        <v>2311008</v>
      </c>
      <c r="K699" s="3">
        <v>35242.910000000003</v>
      </c>
      <c r="L699" s="2">
        <v>30</v>
      </c>
      <c r="M699" s="11">
        <v>14</v>
      </c>
      <c r="N699" s="3">
        <v>13</v>
      </c>
      <c r="O699" s="3">
        <v>184889</v>
      </c>
      <c r="P699" s="3">
        <v>601326</v>
      </c>
      <c r="Q699" s="10">
        <v>0</v>
      </c>
      <c r="R699" s="3">
        <f>(Таблица1[Размер кредита]-$AA$2)/$AA$3</f>
        <v>2.0460596917716831</v>
      </c>
      <c r="S699" s="3">
        <f>(Таблица1[Кредитный рейтинг]-$AA$7)/($AA$8-$AA$7)</f>
        <v>0.92010652463382159</v>
      </c>
      <c r="T699" s="3">
        <f>(Таблица1[Срок с последнего нарушения кредитного договора (мес,)]-$AA$12)/($AA$13-$AA$12)</f>
        <v>0.15909090909090909</v>
      </c>
      <c r="U699" s="3">
        <f>(Таблица1[Количество кредитных карт]-$AA$18)/($AA$19-$AA$18)</f>
        <v>0.2857142857142857</v>
      </c>
      <c r="V699" s="3">
        <f>(Таблица1[Число нарушений кредитных договоров]-$AA$23)/($AA$24-$AA$23)</f>
        <v>0</v>
      </c>
      <c r="W699" s="3">
        <f>Таблица1[[#This Row],[Годовой доход]]/12</f>
        <v>192584</v>
      </c>
      <c r="X699" s="3">
        <f>Таблица1[[#This Row],[Ежемесячный платеж]]/Таблица1[[#This Row],[Ежем доход]]</f>
        <v>0.18300019731649567</v>
      </c>
      <c r="Y699" s="3"/>
      <c r="Z699" s="3"/>
      <c r="AA699" s="3"/>
      <c r="AB699" s="3"/>
    </row>
    <row r="700" spans="1:28" x14ac:dyDescent="0.2">
      <c r="A700">
        <v>387</v>
      </c>
      <c r="B700" t="s">
        <v>429</v>
      </c>
      <c r="C700" t="s">
        <v>18</v>
      </c>
      <c r="D700" t="s">
        <v>19</v>
      </c>
      <c r="E700" t="s">
        <v>24</v>
      </c>
      <c r="F700" t="s">
        <v>21</v>
      </c>
      <c r="G700" t="s">
        <v>25</v>
      </c>
      <c r="H700" s="1">
        <v>328350</v>
      </c>
      <c r="I700" s="3">
        <v>745</v>
      </c>
      <c r="J700" s="3">
        <v>1343243</v>
      </c>
      <c r="K700" s="3">
        <v>11529.39</v>
      </c>
      <c r="L700" s="2">
        <v>19.399999999999999</v>
      </c>
      <c r="M700" s="11">
        <v>35.265240640000002</v>
      </c>
      <c r="N700" s="3">
        <v>7</v>
      </c>
      <c r="O700" s="3">
        <v>373958</v>
      </c>
      <c r="P700" s="3">
        <v>600578</v>
      </c>
      <c r="Q700" s="10">
        <v>0</v>
      </c>
      <c r="R700" s="3">
        <f>(Таблица1[Размер кредита]-$AA$2)/$AA$3</f>
        <v>0.10678019093450415</v>
      </c>
      <c r="S700" s="3">
        <f>(Таблица1[Кредитный рейтинг]-$AA$7)/($AA$8-$AA$7)</f>
        <v>0.99201065246338216</v>
      </c>
      <c r="T700" s="3">
        <f>(Таблица1[Срок с последнего нарушения кредитного договора (мес,)]-$AA$12)/($AA$13-$AA$12)</f>
        <v>0.40074137090909095</v>
      </c>
      <c r="U700" s="3">
        <f>(Таблица1[Количество кредитных карт]-$AA$18)/($AA$19-$AA$18)</f>
        <v>0.14285714285714285</v>
      </c>
      <c r="V700" s="3">
        <f>(Таблица1[Число нарушений кредитных договоров]-$AA$23)/($AA$24-$AA$23)</f>
        <v>0</v>
      </c>
      <c r="W700" s="3">
        <f>Таблица1[[#This Row],[Годовой доход]]/12</f>
        <v>111936.91666666667</v>
      </c>
      <c r="X700" s="3">
        <f>Таблица1[[#This Row],[Ежемесячный платеж]]/Таблица1[[#This Row],[Ежем доход]]</f>
        <v>0.10299899571410384</v>
      </c>
      <c r="Y700" s="3"/>
      <c r="Z700" s="3"/>
      <c r="AA700" s="3"/>
      <c r="AB700" s="3"/>
    </row>
    <row r="701" spans="1:28" x14ac:dyDescent="0.2">
      <c r="A701">
        <v>667</v>
      </c>
      <c r="B701" t="s">
        <v>708</v>
      </c>
      <c r="C701" t="s">
        <v>18</v>
      </c>
      <c r="D701" t="s">
        <v>19</v>
      </c>
      <c r="E701" t="s">
        <v>20</v>
      </c>
      <c r="F701" t="s">
        <v>33</v>
      </c>
      <c r="G701" t="s">
        <v>25</v>
      </c>
      <c r="H701" s="1">
        <v>318538</v>
      </c>
      <c r="I701" s="3">
        <v>749</v>
      </c>
      <c r="J701" s="3">
        <v>1623892</v>
      </c>
      <c r="K701" s="3">
        <v>5264.14</v>
      </c>
      <c r="L701" s="2">
        <v>16.8</v>
      </c>
      <c r="M701" s="11">
        <v>35.265240640000002</v>
      </c>
      <c r="N701" s="3">
        <v>6</v>
      </c>
      <c r="O701" s="3">
        <v>213199</v>
      </c>
      <c r="P701" s="3">
        <v>599192</v>
      </c>
      <c r="Q701" s="10">
        <v>0</v>
      </c>
      <c r="R701" s="3">
        <f>(Таблица1[Размер кредита]-$AA$2)/$AA$3</f>
        <v>5.0917718715077574E-2</v>
      </c>
      <c r="S701" s="3">
        <f>(Таблица1[Кредитный рейтинг]-$AA$7)/($AA$8-$AA$7)</f>
        <v>0.99733688415446076</v>
      </c>
      <c r="T701" s="3">
        <f>(Таблица1[Срок с последнего нарушения кредитного договора (мес,)]-$AA$12)/($AA$13-$AA$12)</f>
        <v>0.40074137090909095</v>
      </c>
      <c r="U701" s="3">
        <f>(Таблица1[Количество кредитных карт]-$AA$18)/($AA$19-$AA$18)</f>
        <v>0.11904761904761904</v>
      </c>
      <c r="V701" s="3">
        <f>(Таблица1[Число нарушений кредитных договоров]-$AA$23)/($AA$24-$AA$23)</f>
        <v>0</v>
      </c>
      <c r="W701" s="3">
        <f>Таблица1[[#This Row],[Годовой доход]]/12</f>
        <v>135324.33333333334</v>
      </c>
      <c r="X701" s="3">
        <f>Таблица1[[#This Row],[Ежемесячный платеж]]/Таблица1[[#This Row],[Ежем доход]]</f>
        <v>3.8900173164225206E-2</v>
      </c>
      <c r="Y701" s="3"/>
      <c r="Z701" s="3"/>
      <c r="AA701" s="3"/>
      <c r="AB701" s="3"/>
    </row>
    <row r="702" spans="1:28" x14ac:dyDescent="0.2">
      <c r="A702">
        <v>1668</v>
      </c>
      <c r="B702" t="s">
        <v>1706</v>
      </c>
      <c r="C702" t="s">
        <v>18</v>
      </c>
      <c r="D702" t="s">
        <v>19</v>
      </c>
      <c r="E702" t="s">
        <v>30</v>
      </c>
      <c r="F702" t="s">
        <v>21</v>
      </c>
      <c r="G702" t="s">
        <v>25</v>
      </c>
      <c r="H702" s="1">
        <v>445456</v>
      </c>
      <c r="I702" s="3">
        <v>745</v>
      </c>
      <c r="J702" s="3">
        <v>2885340</v>
      </c>
      <c r="K702" s="3">
        <v>53859.68</v>
      </c>
      <c r="L702" s="2">
        <v>15.6</v>
      </c>
      <c r="M702" s="11">
        <v>35.265240640000002</v>
      </c>
      <c r="N702" s="3">
        <v>13</v>
      </c>
      <c r="O702" s="3">
        <v>261231</v>
      </c>
      <c r="P702" s="3">
        <v>598972</v>
      </c>
      <c r="Q702" s="10">
        <v>0</v>
      </c>
      <c r="R702" s="3">
        <f>(Таблица1[Размер кредита]-$AA$2)/$AA$3</f>
        <v>0.77349754435156182</v>
      </c>
      <c r="S702" s="3">
        <f>(Таблица1[Кредитный рейтинг]-$AA$7)/($AA$8-$AA$7)</f>
        <v>0.99201065246338216</v>
      </c>
      <c r="T702" s="3">
        <f>(Таблица1[Срок с последнего нарушения кредитного договора (мес,)]-$AA$12)/($AA$13-$AA$12)</f>
        <v>0.40074137090909095</v>
      </c>
      <c r="U702" s="3">
        <f>(Таблица1[Количество кредитных карт]-$AA$18)/($AA$19-$AA$18)</f>
        <v>0.2857142857142857</v>
      </c>
      <c r="V702" s="3">
        <f>(Таблица1[Число нарушений кредитных договоров]-$AA$23)/($AA$24-$AA$23)</f>
        <v>0</v>
      </c>
      <c r="W702" s="3">
        <f>Таблица1[[#This Row],[Годовой доход]]/12</f>
        <v>240445</v>
      </c>
      <c r="X702" s="3">
        <f>Таблица1[[#This Row],[Ежемесячный платеж]]/Таблица1[[#This Row],[Ежем доход]]</f>
        <v>0.224</v>
      </c>
      <c r="Y702" s="3"/>
      <c r="Z702" s="3"/>
      <c r="AA702" s="3"/>
      <c r="AB702" s="3"/>
    </row>
    <row r="703" spans="1:28" x14ac:dyDescent="0.2">
      <c r="A703">
        <v>1683</v>
      </c>
      <c r="B703" t="s">
        <v>1721</v>
      </c>
      <c r="C703" t="s">
        <v>35</v>
      </c>
      <c r="D703" t="s">
        <v>29</v>
      </c>
      <c r="E703" t="s">
        <v>52</v>
      </c>
      <c r="F703" t="s">
        <v>21</v>
      </c>
      <c r="G703" t="s">
        <v>25</v>
      </c>
      <c r="H703" s="1">
        <v>335060</v>
      </c>
      <c r="I703" s="3">
        <v>681</v>
      </c>
      <c r="J703" s="3">
        <v>1936955</v>
      </c>
      <c r="K703" s="3">
        <v>20983.599999999999</v>
      </c>
      <c r="L703" s="2">
        <v>17.5</v>
      </c>
      <c r="M703" s="11">
        <v>35.265240640000002</v>
      </c>
      <c r="N703" s="3">
        <v>13</v>
      </c>
      <c r="O703" s="3">
        <v>381691</v>
      </c>
      <c r="P703" s="3">
        <v>598862</v>
      </c>
      <c r="Q703" s="10">
        <v>1</v>
      </c>
      <c r="R703" s="3">
        <f>(Таблица1[Размер кредита]-$AA$2)/$AA$3</f>
        <v>0.14498210579308063</v>
      </c>
      <c r="S703" s="3">
        <f>(Таблица1[Кредитный рейтинг]-$AA$7)/($AA$8-$AA$7)</f>
        <v>0.90679094540612515</v>
      </c>
      <c r="T703" s="3">
        <f>(Таблица1[Срок с последнего нарушения кредитного договора (мес,)]-$AA$12)/($AA$13-$AA$12)</f>
        <v>0.40074137090909095</v>
      </c>
      <c r="U703" s="3">
        <f>(Таблица1[Количество кредитных карт]-$AA$18)/($AA$19-$AA$18)</f>
        <v>0.2857142857142857</v>
      </c>
      <c r="V703" s="3">
        <f>(Таблица1[Число нарушений кредитных договоров]-$AA$23)/($AA$24-$AA$23)</f>
        <v>0.14285714285714285</v>
      </c>
      <c r="W703" s="3">
        <f>Таблица1[[#This Row],[Годовой доход]]/12</f>
        <v>161412.91666666666</v>
      </c>
      <c r="X703" s="3">
        <f>Таблица1[[#This Row],[Ежемесячный платеж]]/Таблица1[[#This Row],[Ежем доход]]</f>
        <v>0.12999950953945755</v>
      </c>
      <c r="Y703" s="3"/>
      <c r="Z703" s="3"/>
      <c r="AA703" s="3"/>
      <c r="AB703" s="3"/>
    </row>
    <row r="704" spans="1:28" x14ac:dyDescent="0.2">
      <c r="A704">
        <v>1586</v>
      </c>
      <c r="B704" t="s">
        <v>1625</v>
      </c>
      <c r="C704" t="s">
        <v>18</v>
      </c>
      <c r="D704" t="s">
        <v>19</v>
      </c>
      <c r="E704" t="s">
        <v>50</v>
      </c>
      <c r="F704" t="s">
        <v>21</v>
      </c>
      <c r="G704" t="s">
        <v>25</v>
      </c>
      <c r="H704" s="1">
        <v>522456</v>
      </c>
      <c r="I704" s="3">
        <v>735</v>
      </c>
      <c r="J704" s="3">
        <v>2068055</v>
      </c>
      <c r="K704" s="3">
        <v>44290.71</v>
      </c>
      <c r="L704" s="2">
        <v>24.5</v>
      </c>
      <c r="M704" s="11">
        <v>39</v>
      </c>
      <c r="N704" s="3">
        <v>16</v>
      </c>
      <c r="O704" s="3">
        <v>392502</v>
      </c>
      <c r="P704" s="3">
        <v>598774</v>
      </c>
      <c r="Q704" s="10">
        <v>0</v>
      </c>
      <c r="R704" s="3">
        <f>(Таблица1[Размер кредита]-$AA$2)/$AA$3</f>
        <v>1.2118801738762099</v>
      </c>
      <c r="S704" s="3">
        <f>(Таблица1[Кредитный рейтинг]-$AA$7)/($AA$8-$AA$7)</f>
        <v>0.97869507323568572</v>
      </c>
      <c r="T704" s="3">
        <f>(Таблица1[Срок с последнего нарушения кредитного договора (мес,)]-$AA$12)/($AA$13-$AA$12)</f>
        <v>0.44318181818181818</v>
      </c>
      <c r="U704" s="3">
        <f>(Таблица1[Количество кредитных карт]-$AA$18)/($AA$19-$AA$18)</f>
        <v>0.35714285714285715</v>
      </c>
      <c r="V704" s="3">
        <f>(Таблица1[Число нарушений кредитных договоров]-$AA$23)/($AA$24-$AA$23)</f>
        <v>0</v>
      </c>
      <c r="W704" s="3">
        <f>Таблица1[[#This Row],[Годовой доход]]/12</f>
        <v>172337.91666666666</v>
      </c>
      <c r="X704" s="3">
        <f>Таблица1[[#This Row],[Ежемесячный платеж]]/Таблица1[[#This Row],[Ежем доход]]</f>
        <v>0.25699921907299372</v>
      </c>
      <c r="Y704" s="3"/>
      <c r="Z704" s="3"/>
      <c r="AA704" s="3"/>
      <c r="AB704" s="3"/>
    </row>
    <row r="705" spans="1:28" x14ac:dyDescent="0.2">
      <c r="A705">
        <v>1854</v>
      </c>
      <c r="B705" t="s">
        <v>1891</v>
      </c>
      <c r="C705" t="s">
        <v>35</v>
      </c>
      <c r="D705" t="s">
        <v>29</v>
      </c>
      <c r="E705" t="s">
        <v>52</v>
      </c>
      <c r="F705" t="s">
        <v>21</v>
      </c>
      <c r="G705" t="s">
        <v>25</v>
      </c>
      <c r="H705" s="1">
        <v>380314</v>
      </c>
      <c r="I705" s="3">
        <v>0</v>
      </c>
      <c r="J705" s="3">
        <v>1168044</v>
      </c>
      <c r="K705" s="3">
        <v>32346.36</v>
      </c>
      <c r="L705" s="2">
        <v>17.5</v>
      </c>
      <c r="M705" s="11">
        <v>35.265240640000002</v>
      </c>
      <c r="N705" s="3">
        <v>12</v>
      </c>
      <c r="O705" s="3">
        <v>380893</v>
      </c>
      <c r="P705" s="3">
        <v>598422</v>
      </c>
      <c r="Q705" s="10">
        <v>0</v>
      </c>
      <c r="R705" s="3">
        <f>(Таблица1[Размер кредита]-$AA$2)/$AA$3</f>
        <v>0.40262583977370953</v>
      </c>
      <c r="S705" s="3">
        <f>(Таблица1[Кредитный рейтинг]-$AA$7)/($AA$8-$AA$7)</f>
        <v>0</v>
      </c>
      <c r="T705" s="3">
        <f>(Таблица1[Срок с последнего нарушения кредитного договора (мес,)]-$AA$12)/($AA$13-$AA$12)</f>
        <v>0.40074137090909095</v>
      </c>
      <c r="U705" s="3">
        <f>(Таблица1[Количество кредитных карт]-$AA$18)/($AA$19-$AA$18)</f>
        <v>0.26190476190476192</v>
      </c>
      <c r="V705" s="3">
        <f>(Таблица1[Число нарушений кредитных договоров]-$AA$23)/($AA$24-$AA$23)</f>
        <v>0</v>
      </c>
      <c r="W705" s="3">
        <f>Таблица1[[#This Row],[Годовой доход]]/12</f>
        <v>97337</v>
      </c>
      <c r="X705" s="3">
        <f>Таблица1[[#This Row],[Ежемесячный платеж]]/Таблица1[[#This Row],[Ежем доход]]</f>
        <v>0.33231309779426116</v>
      </c>
      <c r="Y705" s="3"/>
      <c r="Z705" s="3"/>
      <c r="AA705" s="3"/>
      <c r="AB705" s="3"/>
    </row>
    <row r="706" spans="1:28" x14ac:dyDescent="0.2">
      <c r="A706">
        <v>1111</v>
      </c>
      <c r="B706" t="s">
        <v>1150</v>
      </c>
      <c r="C706" t="s">
        <v>18</v>
      </c>
      <c r="D706" t="s">
        <v>19</v>
      </c>
      <c r="E706" t="s">
        <v>69</v>
      </c>
      <c r="F706" t="s">
        <v>27</v>
      </c>
      <c r="G706" t="s">
        <v>25</v>
      </c>
      <c r="H706" s="1">
        <v>44748</v>
      </c>
      <c r="I706" s="3">
        <v>736</v>
      </c>
      <c r="J706" s="3">
        <v>734274</v>
      </c>
      <c r="K706" s="3">
        <v>10035.040000000001</v>
      </c>
      <c r="L706" s="2">
        <v>8.3000000000000007</v>
      </c>
      <c r="M706" s="11">
        <v>35.265240640000002</v>
      </c>
      <c r="N706" s="3">
        <v>9</v>
      </c>
      <c r="O706" s="3">
        <v>97052</v>
      </c>
      <c r="P706" s="3">
        <v>597784</v>
      </c>
      <c r="Q706" s="10">
        <v>0</v>
      </c>
      <c r="R706" s="3">
        <f>(Таблица1[Размер кредита]-$AA$2)/$AA$3</f>
        <v>-1.5078456596947067</v>
      </c>
      <c r="S706" s="3">
        <f>(Таблица1[Кредитный рейтинг]-$AA$7)/($AA$8-$AA$7)</f>
        <v>0.98002663115845534</v>
      </c>
      <c r="T706" s="3">
        <f>(Таблица1[Срок с последнего нарушения кредитного договора (мес,)]-$AA$12)/($AA$13-$AA$12)</f>
        <v>0.40074137090909095</v>
      </c>
      <c r="U706" s="3">
        <f>(Таблица1[Количество кредитных карт]-$AA$18)/($AA$19-$AA$18)</f>
        <v>0.19047619047619047</v>
      </c>
      <c r="V706" s="3">
        <f>(Таблица1[Число нарушений кредитных договоров]-$AA$23)/($AA$24-$AA$23)</f>
        <v>0</v>
      </c>
      <c r="W706" s="3">
        <f>Таблица1[[#This Row],[Годовой доход]]/12</f>
        <v>61189.5</v>
      </c>
      <c r="X706" s="3">
        <f>Таблица1[[#This Row],[Ежемесячный платеж]]/Таблица1[[#This Row],[Ежем доход]]</f>
        <v>0.16399937897841951</v>
      </c>
      <c r="Y706" s="3"/>
      <c r="Z706" s="3"/>
      <c r="AA706" s="3"/>
      <c r="AB706" s="3"/>
    </row>
    <row r="707" spans="1:28" x14ac:dyDescent="0.2">
      <c r="A707">
        <v>1089</v>
      </c>
      <c r="B707" t="s">
        <v>1128</v>
      </c>
      <c r="C707" t="s">
        <v>18</v>
      </c>
      <c r="D707" t="s">
        <v>19</v>
      </c>
      <c r="E707" t="s">
        <v>37</v>
      </c>
      <c r="F707" t="s">
        <v>27</v>
      </c>
      <c r="G707" t="s">
        <v>25</v>
      </c>
      <c r="H707" s="1">
        <v>216304</v>
      </c>
      <c r="I707" s="3">
        <v>0</v>
      </c>
      <c r="J707" s="3">
        <v>1168044</v>
      </c>
      <c r="K707" s="3">
        <v>34123.620000000003</v>
      </c>
      <c r="L707" s="2">
        <v>27</v>
      </c>
      <c r="M707" s="11">
        <v>34</v>
      </c>
      <c r="N707" s="3">
        <v>18</v>
      </c>
      <c r="O707" s="3">
        <v>372058</v>
      </c>
      <c r="P707" s="3">
        <v>596706</v>
      </c>
      <c r="Q707" s="10">
        <v>0</v>
      </c>
      <c r="R707" s="3">
        <f>(Таблица1[Размер кредита]-$AA$2)/$AA$3</f>
        <v>-0.53112916111379094</v>
      </c>
      <c r="S707" s="3">
        <f>(Таблица1[Кредитный рейтинг]-$AA$7)/($AA$8-$AA$7)</f>
        <v>0</v>
      </c>
      <c r="T707" s="3">
        <f>(Таблица1[Срок с последнего нарушения кредитного договора (мес,)]-$AA$12)/($AA$13-$AA$12)</f>
        <v>0.38636363636363635</v>
      </c>
      <c r="U707" s="3">
        <f>(Таблица1[Количество кредитных карт]-$AA$18)/($AA$19-$AA$18)</f>
        <v>0.40476190476190477</v>
      </c>
      <c r="V707" s="3">
        <f>(Таблица1[Число нарушений кредитных договоров]-$AA$23)/($AA$24-$AA$23)</f>
        <v>0</v>
      </c>
      <c r="W707" s="3">
        <f>Таблица1[[#This Row],[Годовой доход]]/12</f>
        <v>97337</v>
      </c>
      <c r="X707" s="3">
        <f>Таблица1[[#This Row],[Ежемесячный платеж]]/Таблица1[[#This Row],[Ежем доход]]</f>
        <v>0.35057193050946711</v>
      </c>
      <c r="Y707" s="3"/>
      <c r="Z707" s="3"/>
      <c r="AA707" s="3"/>
      <c r="AB707" s="3"/>
    </row>
    <row r="708" spans="1:28" x14ac:dyDescent="0.2">
      <c r="A708">
        <v>1830</v>
      </c>
      <c r="B708" t="s">
        <v>1867</v>
      </c>
      <c r="C708" t="s">
        <v>35</v>
      </c>
      <c r="D708" t="s">
        <v>29</v>
      </c>
      <c r="E708" t="s">
        <v>24</v>
      </c>
      <c r="F708" t="s">
        <v>21</v>
      </c>
      <c r="G708" t="s">
        <v>25</v>
      </c>
      <c r="H708" s="1">
        <v>446952</v>
      </c>
      <c r="I708" s="3">
        <v>0</v>
      </c>
      <c r="J708" s="3">
        <v>1168044</v>
      </c>
      <c r="K708" s="3">
        <v>31668.44</v>
      </c>
      <c r="L708" s="2">
        <v>21.5</v>
      </c>
      <c r="M708" s="11">
        <v>36</v>
      </c>
      <c r="N708" s="3">
        <v>13</v>
      </c>
      <c r="O708" s="3">
        <v>298813</v>
      </c>
      <c r="P708" s="3">
        <v>596530</v>
      </c>
      <c r="Q708" s="10">
        <v>0</v>
      </c>
      <c r="R708" s="3">
        <f>(Таблица1[Размер кредита]-$AA$2)/$AA$3</f>
        <v>0.78201469258232637</v>
      </c>
      <c r="S708" s="3">
        <f>(Таблица1[Кредитный рейтинг]-$AA$7)/($AA$8-$AA$7)</f>
        <v>0</v>
      </c>
      <c r="T708" s="3">
        <f>(Таблица1[Срок с последнего нарушения кредитного договора (мес,)]-$AA$12)/($AA$13-$AA$12)</f>
        <v>0.40909090909090912</v>
      </c>
      <c r="U708" s="3">
        <f>(Таблица1[Количество кредитных карт]-$AA$18)/($AA$19-$AA$18)</f>
        <v>0.2857142857142857</v>
      </c>
      <c r="V708" s="3">
        <f>(Таблица1[Число нарушений кредитных договоров]-$AA$23)/($AA$24-$AA$23)</f>
        <v>0</v>
      </c>
      <c r="W708" s="3">
        <f>Таблица1[[#This Row],[Годовой доход]]/12</f>
        <v>97337</v>
      </c>
      <c r="X708" s="3">
        <f>Таблица1[[#This Row],[Ежемесячный платеж]]/Таблица1[[#This Row],[Ежем доход]]</f>
        <v>0.3253484286550849</v>
      </c>
      <c r="Y708" s="3"/>
      <c r="Z708" s="3"/>
      <c r="AA708" s="3"/>
      <c r="AB708" s="3"/>
    </row>
    <row r="709" spans="1:28" x14ac:dyDescent="0.2">
      <c r="A709">
        <v>1688</v>
      </c>
      <c r="B709" t="s">
        <v>1726</v>
      </c>
      <c r="C709" t="s">
        <v>18</v>
      </c>
      <c r="D709" t="s">
        <v>19</v>
      </c>
      <c r="E709" t="s">
        <v>52</v>
      </c>
      <c r="F709" t="s">
        <v>33</v>
      </c>
      <c r="G709" t="s">
        <v>25</v>
      </c>
      <c r="H709" s="1">
        <v>309594.52439999999</v>
      </c>
      <c r="I709" s="3">
        <v>745</v>
      </c>
      <c r="J709" s="3">
        <v>1042188</v>
      </c>
      <c r="K709" s="3">
        <v>20496.25</v>
      </c>
      <c r="L709" s="2">
        <v>14</v>
      </c>
      <c r="M709" s="11">
        <v>35.265240640000002</v>
      </c>
      <c r="N709" s="3">
        <v>17</v>
      </c>
      <c r="O709" s="3">
        <v>148333</v>
      </c>
      <c r="P709" s="3">
        <v>596376</v>
      </c>
      <c r="Q709" s="10">
        <v>0</v>
      </c>
      <c r="R709" s="3">
        <f>(Таблица1[Размер кредита]-$AA$2)/$AA$3</f>
        <v>-1.2411115481956205E-10</v>
      </c>
      <c r="S709" s="3">
        <f>(Таблица1[Кредитный рейтинг]-$AA$7)/($AA$8-$AA$7)</f>
        <v>0.99201065246338216</v>
      </c>
      <c r="T709" s="3">
        <f>(Таблица1[Срок с последнего нарушения кредитного договора (мес,)]-$AA$12)/($AA$13-$AA$12)</f>
        <v>0.40074137090909095</v>
      </c>
      <c r="U709" s="3">
        <f>(Таблица1[Количество кредитных карт]-$AA$18)/($AA$19-$AA$18)</f>
        <v>0.38095238095238093</v>
      </c>
      <c r="V709" s="3">
        <f>(Таблица1[Число нарушений кредитных договоров]-$AA$23)/($AA$24-$AA$23)</f>
        <v>0</v>
      </c>
      <c r="W709" s="3">
        <f>Таблица1[[#This Row],[Годовой доход]]/12</f>
        <v>86849</v>
      </c>
      <c r="X709" s="3">
        <f>Таблица1[[#This Row],[Ежемесячный платеж]]/Таблица1[[#This Row],[Ежем доход]]</f>
        <v>0.2359986873769416</v>
      </c>
      <c r="Y709" s="3"/>
      <c r="Z709" s="3"/>
      <c r="AA709" s="3"/>
      <c r="AB709" s="3"/>
    </row>
    <row r="710" spans="1:28" x14ac:dyDescent="0.2">
      <c r="A710">
        <v>68</v>
      </c>
      <c r="B710" t="s">
        <v>110</v>
      </c>
      <c r="C710" t="s">
        <v>35</v>
      </c>
      <c r="D710" t="s">
        <v>29</v>
      </c>
      <c r="E710" t="s">
        <v>69</v>
      </c>
      <c r="F710" t="s">
        <v>21</v>
      </c>
      <c r="G710" t="s">
        <v>25</v>
      </c>
      <c r="H710" s="1">
        <v>751520</v>
      </c>
      <c r="I710" s="3">
        <v>0</v>
      </c>
      <c r="J710" s="3">
        <v>1168044</v>
      </c>
      <c r="K710" s="3">
        <v>27204.01</v>
      </c>
      <c r="L710" s="2">
        <v>20.5</v>
      </c>
      <c r="M710" s="11">
        <v>48</v>
      </c>
      <c r="N710" s="3">
        <v>19</v>
      </c>
      <c r="O710" s="3">
        <v>483968</v>
      </c>
      <c r="P710" s="3">
        <v>594880</v>
      </c>
      <c r="Q710" s="10">
        <v>0</v>
      </c>
      <c r="R710" s="3">
        <f>(Таблица1[Размер кредита]-$AA$2)/$AA$3</f>
        <v>2.5160058706221058</v>
      </c>
      <c r="S710" s="3">
        <f>(Таблица1[Кредитный рейтинг]-$AA$7)/($AA$8-$AA$7)</f>
        <v>0</v>
      </c>
      <c r="T710" s="3">
        <f>(Таблица1[Срок с последнего нарушения кредитного договора (мес,)]-$AA$12)/($AA$13-$AA$12)</f>
        <v>0.54545454545454541</v>
      </c>
      <c r="U710" s="3">
        <f>(Таблица1[Количество кредитных карт]-$AA$18)/($AA$19-$AA$18)</f>
        <v>0.42857142857142855</v>
      </c>
      <c r="V710" s="3">
        <f>(Таблица1[Число нарушений кредитных договоров]-$AA$23)/($AA$24-$AA$23)</f>
        <v>0</v>
      </c>
      <c r="W710" s="3">
        <f>Таблица1[[#This Row],[Годовой доход]]/12</f>
        <v>97337</v>
      </c>
      <c r="X710" s="3">
        <f>Таблица1[[#This Row],[Ежемесячный платеж]]/Таблица1[[#This Row],[Ежем доход]]</f>
        <v>0.27948272496584031</v>
      </c>
      <c r="Y710" s="3"/>
      <c r="Z710" s="3"/>
      <c r="AA710" s="3"/>
      <c r="AB710" s="3"/>
    </row>
    <row r="711" spans="1:28" x14ac:dyDescent="0.2">
      <c r="A711">
        <v>1624</v>
      </c>
      <c r="B711" t="s">
        <v>1663</v>
      </c>
      <c r="C711" t="s">
        <v>35</v>
      </c>
      <c r="D711" t="s">
        <v>19</v>
      </c>
      <c r="E711" t="s">
        <v>52</v>
      </c>
      <c r="F711" t="s">
        <v>33</v>
      </c>
      <c r="G711" t="s">
        <v>25</v>
      </c>
      <c r="H711" s="1">
        <v>265716</v>
      </c>
      <c r="I711" s="3">
        <v>719</v>
      </c>
      <c r="J711" s="3">
        <v>658312</v>
      </c>
      <c r="K711" s="3">
        <v>11959.36</v>
      </c>
      <c r="L711" s="2">
        <v>27.5</v>
      </c>
      <c r="M711" s="11">
        <v>35.265240640000002</v>
      </c>
      <c r="N711" s="3">
        <v>9</v>
      </c>
      <c r="O711" s="3">
        <v>397119</v>
      </c>
      <c r="P711" s="3">
        <v>594858</v>
      </c>
      <c r="Q711" s="10">
        <v>0</v>
      </c>
      <c r="R711" s="3">
        <f>(Таблица1[Размер кредита]-$AA$2)/$AA$3</f>
        <v>-0.24981276513883099</v>
      </c>
      <c r="S711" s="3">
        <f>(Таблица1[Кредитный рейтинг]-$AA$7)/($AA$8-$AA$7)</f>
        <v>0.95739014647137155</v>
      </c>
      <c r="T711" s="3">
        <f>(Таблица1[Срок с последнего нарушения кредитного договора (мес,)]-$AA$12)/($AA$13-$AA$12)</f>
        <v>0.40074137090909095</v>
      </c>
      <c r="U711" s="3">
        <f>(Таблица1[Количество кредитных карт]-$AA$18)/($AA$19-$AA$18)</f>
        <v>0.19047619047619047</v>
      </c>
      <c r="V711" s="3">
        <f>(Таблица1[Число нарушений кредитных договоров]-$AA$23)/($AA$24-$AA$23)</f>
        <v>0</v>
      </c>
      <c r="W711" s="3">
        <f>Таблица1[[#This Row],[Годовой доход]]/12</f>
        <v>54859.333333333336</v>
      </c>
      <c r="X711" s="3">
        <f>Таблица1[[#This Row],[Ежемесячный платеж]]/Таблица1[[#This Row],[Ежем доход]]</f>
        <v>0.21800046178711613</v>
      </c>
      <c r="Y711" s="3"/>
      <c r="Z711" s="3"/>
      <c r="AA711" s="3"/>
      <c r="AB711" s="3"/>
    </row>
    <row r="712" spans="1:28" x14ac:dyDescent="0.2">
      <c r="A712">
        <v>1029</v>
      </c>
      <c r="B712" t="s">
        <v>1068</v>
      </c>
      <c r="C712" t="s">
        <v>35</v>
      </c>
      <c r="D712" t="s">
        <v>29</v>
      </c>
      <c r="E712" t="s">
        <v>24</v>
      </c>
      <c r="F712" t="s">
        <v>21</v>
      </c>
      <c r="G712" t="s">
        <v>25</v>
      </c>
      <c r="H712" s="1">
        <v>523204</v>
      </c>
      <c r="I712" s="3">
        <v>739</v>
      </c>
      <c r="J712" s="3">
        <v>1694439</v>
      </c>
      <c r="K712" s="3">
        <v>28240.65</v>
      </c>
      <c r="L712" s="2">
        <v>19.600000000000001</v>
      </c>
      <c r="M712" s="11">
        <v>35.265240640000002</v>
      </c>
      <c r="N712" s="3">
        <v>10</v>
      </c>
      <c r="O712" s="3">
        <v>339055</v>
      </c>
      <c r="P712" s="3">
        <v>594836</v>
      </c>
      <c r="Q712" s="10">
        <v>0</v>
      </c>
      <c r="R712" s="3">
        <f>(Таблица1[Размер кредита]-$AA$2)/$AA$3</f>
        <v>1.2161387479915922</v>
      </c>
      <c r="S712" s="3">
        <f>(Таблица1[Кредитный рейтинг]-$AA$7)/($AA$8-$AA$7)</f>
        <v>0.98402130492676432</v>
      </c>
      <c r="T712" s="3">
        <f>(Таблица1[Срок с последнего нарушения кредитного договора (мес,)]-$AA$12)/($AA$13-$AA$12)</f>
        <v>0.40074137090909095</v>
      </c>
      <c r="U712" s="3">
        <f>(Таблица1[Количество кредитных карт]-$AA$18)/($AA$19-$AA$18)</f>
        <v>0.21428571428571427</v>
      </c>
      <c r="V712" s="3">
        <f>(Таблица1[Число нарушений кредитных договоров]-$AA$23)/($AA$24-$AA$23)</f>
        <v>0</v>
      </c>
      <c r="W712" s="3">
        <f>Таблица1[[#This Row],[Годовой доход]]/12</f>
        <v>141203.25</v>
      </c>
      <c r="X712" s="3">
        <f>Таблица1[[#This Row],[Ежемесячный платеж]]/Таблица1[[#This Row],[Ежем доход]]</f>
        <v>0.2</v>
      </c>
      <c r="Y712" s="3"/>
      <c r="Z712" s="3"/>
      <c r="AA712" s="3"/>
      <c r="AB712" s="3"/>
    </row>
    <row r="713" spans="1:28" x14ac:dyDescent="0.2">
      <c r="A713">
        <v>821</v>
      </c>
      <c r="B713" t="s">
        <v>862</v>
      </c>
      <c r="C713" t="s">
        <v>18</v>
      </c>
      <c r="D713" t="s">
        <v>19</v>
      </c>
      <c r="E713" t="s">
        <v>24</v>
      </c>
      <c r="F713" t="s">
        <v>21</v>
      </c>
      <c r="G713" t="s">
        <v>25</v>
      </c>
      <c r="H713" s="1">
        <v>435512</v>
      </c>
      <c r="I713" s="3">
        <v>745</v>
      </c>
      <c r="J713" s="3">
        <v>1128372</v>
      </c>
      <c r="K713" s="3">
        <v>16925.580000000002</v>
      </c>
      <c r="L713" s="2">
        <v>27</v>
      </c>
      <c r="M713" s="11">
        <v>35.265240640000002</v>
      </c>
      <c r="N713" s="3">
        <v>9</v>
      </c>
      <c r="O713" s="3">
        <v>242801</v>
      </c>
      <c r="P713" s="3">
        <v>594396</v>
      </c>
      <c r="Q713" s="10">
        <v>0</v>
      </c>
      <c r="R713" s="3">
        <f>(Таблица1[Размер кредита]-$AA$2)/$AA$3</f>
        <v>0.71688355905295009</v>
      </c>
      <c r="S713" s="3">
        <f>(Таблица1[Кредитный рейтинг]-$AA$7)/($AA$8-$AA$7)</f>
        <v>0.99201065246338216</v>
      </c>
      <c r="T713" s="3">
        <f>(Таблица1[Срок с последнего нарушения кредитного договора (мес,)]-$AA$12)/($AA$13-$AA$12)</f>
        <v>0.40074137090909095</v>
      </c>
      <c r="U713" s="3">
        <f>(Таблица1[Количество кредитных карт]-$AA$18)/($AA$19-$AA$18)</f>
        <v>0.19047619047619047</v>
      </c>
      <c r="V713" s="3">
        <f>(Таблица1[Число нарушений кредитных договоров]-$AA$23)/($AA$24-$AA$23)</f>
        <v>0</v>
      </c>
      <c r="W713" s="3">
        <f>Таблица1[[#This Row],[Годовой доход]]/12</f>
        <v>94031</v>
      </c>
      <c r="X713" s="3">
        <f>Таблица1[[#This Row],[Ежемесячный платеж]]/Таблица1[[#This Row],[Ежем доход]]</f>
        <v>0.18000000000000002</v>
      </c>
      <c r="Y713" s="3"/>
      <c r="Z713" s="3"/>
      <c r="AA713" s="3"/>
      <c r="AB713" s="3"/>
    </row>
    <row r="714" spans="1:28" x14ac:dyDescent="0.2">
      <c r="A714">
        <v>187</v>
      </c>
      <c r="B714" t="s">
        <v>229</v>
      </c>
      <c r="C714" t="s">
        <v>18</v>
      </c>
      <c r="D714" t="s">
        <v>19</v>
      </c>
      <c r="E714" t="s">
        <v>63</v>
      </c>
      <c r="F714" t="s">
        <v>33</v>
      </c>
      <c r="G714" t="s">
        <v>67</v>
      </c>
      <c r="H714" s="1">
        <v>309594.52439999999</v>
      </c>
      <c r="I714" s="3">
        <v>736</v>
      </c>
      <c r="J714" s="3">
        <v>1111367</v>
      </c>
      <c r="K714" s="3">
        <v>16577.88</v>
      </c>
      <c r="L714" s="2">
        <v>13.5</v>
      </c>
      <c r="M714" s="11">
        <v>77</v>
      </c>
      <c r="N714" s="3">
        <v>8</v>
      </c>
      <c r="O714" s="3">
        <v>378746</v>
      </c>
      <c r="P714" s="3">
        <v>594242</v>
      </c>
      <c r="Q714" s="10">
        <v>0</v>
      </c>
      <c r="R714" s="3">
        <f>(Таблица1[Размер кредита]-$AA$2)/$AA$3</f>
        <v>-1.2411115481956205E-10</v>
      </c>
      <c r="S714" s="3">
        <f>(Таблица1[Кредитный рейтинг]-$AA$7)/($AA$8-$AA$7)</f>
        <v>0.98002663115845534</v>
      </c>
      <c r="T714" s="3">
        <f>(Таблица1[Срок с последнего нарушения кредитного договора (мес,)]-$AA$12)/($AA$13-$AA$12)</f>
        <v>0.875</v>
      </c>
      <c r="U714" s="3">
        <f>(Таблица1[Количество кредитных карт]-$AA$18)/($AA$19-$AA$18)</f>
        <v>0.16666666666666666</v>
      </c>
      <c r="V714" s="3">
        <f>(Таблица1[Число нарушений кредитных договоров]-$AA$23)/($AA$24-$AA$23)</f>
        <v>0</v>
      </c>
      <c r="W714" s="3">
        <f>Таблица1[[#This Row],[Годовой доход]]/12</f>
        <v>92613.916666666672</v>
      </c>
      <c r="X714" s="3">
        <f>Таблица1[[#This Row],[Ежемесячный платеж]]/Таблица1[[#This Row],[Ежем доход]]</f>
        <v>0.17899988032756056</v>
      </c>
      <c r="Y714" s="3"/>
      <c r="Z714" s="3"/>
      <c r="AA714" s="3"/>
      <c r="AB714" s="3"/>
    </row>
    <row r="715" spans="1:28" x14ac:dyDescent="0.2">
      <c r="A715">
        <v>176</v>
      </c>
      <c r="B715" t="s">
        <v>218</v>
      </c>
      <c r="C715" t="s">
        <v>18</v>
      </c>
      <c r="D715" t="s">
        <v>29</v>
      </c>
      <c r="E715" t="s">
        <v>24</v>
      </c>
      <c r="F715" t="s">
        <v>33</v>
      </c>
      <c r="G715" t="s">
        <v>25</v>
      </c>
      <c r="H715" s="1">
        <v>405856</v>
      </c>
      <c r="I715" s="3">
        <v>708</v>
      </c>
      <c r="J715" s="3">
        <v>1155751</v>
      </c>
      <c r="K715" s="3">
        <v>32264.85</v>
      </c>
      <c r="L715" s="2">
        <v>22.7</v>
      </c>
      <c r="M715" s="11">
        <v>35.265240640000002</v>
      </c>
      <c r="N715" s="3">
        <v>13</v>
      </c>
      <c r="O715" s="3">
        <v>338181</v>
      </c>
      <c r="P715" s="3">
        <v>594198</v>
      </c>
      <c r="Q715" s="10">
        <v>0</v>
      </c>
      <c r="R715" s="3">
        <f>(Таблица1[Размер кредита]-$AA$2)/$AA$3</f>
        <v>0.54804362059602851</v>
      </c>
      <c r="S715" s="3">
        <f>(Таблица1[Кредитный рейтинг]-$AA$7)/($AA$8-$AA$7)</f>
        <v>0.94274300932090549</v>
      </c>
      <c r="T715" s="3">
        <f>(Таблица1[Срок с последнего нарушения кредитного договора (мес,)]-$AA$12)/($AA$13-$AA$12)</f>
        <v>0.40074137090909095</v>
      </c>
      <c r="U715" s="3">
        <f>(Таблица1[Количество кредитных карт]-$AA$18)/($AA$19-$AA$18)</f>
        <v>0.2857142857142857</v>
      </c>
      <c r="V715" s="3">
        <f>(Таблица1[Число нарушений кредитных договоров]-$AA$23)/($AA$24-$AA$23)</f>
        <v>0</v>
      </c>
      <c r="W715" s="3">
        <f>Таблица1[[#This Row],[Годовой доход]]/12</f>
        <v>96312.583333333328</v>
      </c>
      <c r="X715" s="3">
        <f>Таблица1[[#This Row],[Ежемесячный платеж]]/Таблица1[[#This Row],[Ежем доход]]</f>
        <v>0.33500139735981194</v>
      </c>
      <c r="Y715" s="3"/>
      <c r="Z715" s="3"/>
      <c r="AA715" s="3"/>
      <c r="AB715" s="3"/>
    </row>
    <row r="716" spans="1:28" x14ac:dyDescent="0.2">
      <c r="A716">
        <v>1140</v>
      </c>
      <c r="B716" t="s">
        <v>1179</v>
      </c>
      <c r="C716" t="s">
        <v>18</v>
      </c>
      <c r="D716" t="s">
        <v>19</v>
      </c>
      <c r="E716" t="s">
        <v>37</v>
      </c>
      <c r="F716" t="s">
        <v>33</v>
      </c>
      <c r="G716" t="s">
        <v>25</v>
      </c>
      <c r="H716" s="1">
        <v>440000</v>
      </c>
      <c r="I716" s="3">
        <v>680</v>
      </c>
      <c r="J716" s="3">
        <v>1425000</v>
      </c>
      <c r="K716" s="3">
        <v>6234.47</v>
      </c>
      <c r="L716" s="2">
        <v>8.8000000000000007</v>
      </c>
      <c r="M716" s="11">
        <v>35.265240640000002</v>
      </c>
      <c r="N716" s="3">
        <v>7</v>
      </c>
      <c r="O716" s="3">
        <v>361703</v>
      </c>
      <c r="P716" s="3">
        <v>594066</v>
      </c>
      <c r="Q716" s="10">
        <v>0</v>
      </c>
      <c r="R716" s="3">
        <f>(Таблица1[Размер кредита]-$AA$2)/$AA$3</f>
        <v>0.74243500374524385</v>
      </c>
      <c r="S716" s="3">
        <f>(Таблица1[Кредитный рейтинг]-$AA$7)/($AA$8-$AA$7)</f>
        <v>0.90545938748335553</v>
      </c>
      <c r="T716" s="3">
        <f>(Таблица1[Срок с последнего нарушения кредитного договора (мес,)]-$AA$12)/($AA$13-$AA$12)</f>
        <v>0.40074137090909095</v>
      </c>
      <c r="U716" s="3">
        <f>(Таблица1[Количество кредитных карт]-$AA$18)/($AA$19-$AA$18)</f>
        <v>0.14285714285714285</v>
      </c>
      <c r="V716" s="3">
        <f>(Таблица1[Число нарушений кредитных договоров]-$AA$23)/($AA$24-$AA$23)</f>
        <v>0</v>
      </c>
      <c r="W716" s="3">
        <f>Таблица1[[#This Row],[Годовой доход]]/12</f>
        <v>118750</v>
      </c>
      <c r="X716" s="3">
        <f>Таблица1[[#This Row],[Ежемесячный платеж]]/Таблица1[[#This Row],[Ежем доход]]</f>
        <v>5.25008E-2</v>
      </c>
      <c r="Y716" s="3"/>
      <c r="Z716" s="3"/>
      <c r="AA716" s="3"/>
      <c r="AB716" s="3"/>
    </row>
    <row r="717" spans="1:28" x14ac:dyDescent="0.2">
      <c r="A717">
        <v>1418</v>
      </c>
      <c r="B717" t="s">
        <v>1457</v>
      </c>
      <c r="C717" t="s">
        <v>18</v>
      </c>
      <c r="D717" t="s">
        <v>29</v>
      </c>
      <c r="E717" t="s">
        <v>30</v>
      </c>
      <c r="F717" t="s">
        <v>33</v>
      </c>
      <c r="G717" t="s">
        <v>25</v>
      </c>
      <c r="H717" s="1">
        <v>411730</v>
      </c>
      <c r="I717" s="3">
        <v>725</v>
      </c>
      <c r="J717" s="3">
        <v>2621164</v>
      </c>
      <c r="K717" s="3">
        <v>18020.55</v>
      </c>
      <c r="L717" s="2">
        <v>16</v>
      </c>
      <c r="M717" s="11">
        <v>35.265240640000002</v>
      </c>
      <c r="N717" s="3">
        <v>3</v>
      </c>
      <c r="O717" s="3">
        <v>117762</v>
      </c>
      <c r="P717" s="3">
        <v>592856</v>
      </c>
      <c r="Q717" s="10">
        <v>0</v>
      </c>
      <c r="R717" s="3">
        <f>(Таблица1[Размер кредита]-$AA$2)/$AA$3</f>
        <v>0.58148595261976588</v>
      </c>
      <c r="S717" s="3">
        <f>(Таблица1[Кредитный рейтинг]-$AA$7)/($AA$8-$AA$7)</f>
        <v>0.96537949400798939</v>
      </c>
      <c r="T717" s="3">
        <f>(Таблица1[Срок с последнего нарушения кредитного договора (мес,)]-$AA$12)/($AA$13-$AA$12)</f>
        <v>0.40074137090909095</v>
      </c>
      <c r="U717" s="3">
        <f>(Таблица1[Количество кредитных карт]-$AA$18)/($AA$19-$AA$18)</f>
        <v>4.7619047619047616E-2</v>
      </c>
      <c r="V717" s="3">
        <f>(Таблица1[Число нарушений кредитных договоров]-$AA$23)/($AA$24-$AA$23)</f>
        <v>0</v>
      </c>
      <c r="W717" s="3">
        <f>Таблица1[[#This Row],[Годовой доход]]/12</f>
        <v>218430.33333333334</v>
      </c>
      <c r="X717" s="3">
        <f>Таблица1[[#This Row],[Ежемесячный платеж]]/Таблица1[[#This Row],[Ежем доход]]</f>
        <v>8.250021746063961E-2</v>
      </c>
      <c r="Y717" s="3"/>
      <c r="Z717" s="3"/>
      <c r="AA717" s="3"/>
      <c r="AB717" s="3"/>
    </row>
    <row r="718" spans="1:28" x14ac:dyDescent="0.2">
      <c r="A718">
        <v>1896</v>
      </c>
      <c r="B718" t="s">
        <v>1932</v>
      </c>
      <c r="C718" t="s">
        <v>18</v>
      </c>
      <c r="D718" t="s">
        <v>19</v>
      </c>
      <c r="E718" t="s">
        <v>52</v>
      </c>
      <c r="F718" t="s">
        <v>27</v>
      </c>
      <c r="G718" t="s">
        <v>25</v>
      </c>
      <c r="H718" s="1">
        <v>440660</v>
      </c>
      <c r="I718" s="3">
        <v>0</v>
      </c>
      <c r="J718" s="3">
        <v>1168044</v>
      </c>
      <c r="K718" s="3">
        <v>17442.95</v>
      </c>
      <c r="L718" s="2">
        <v>12.1</v>
      </c>
      <c r="M718" s="11">
        <v>15</v>
      </c>
      <c r="N718" s="3">
        <v>9</v>
      </c>
      <c r="O718" s="3">
        <v>273885</v>
      </c>
      <c r="P718" s="3">
        <v>592746</v>
      </c>
      <c r="Q718" s="10">
        <v>0</v>
      </c>
      <c r="R718" s="3">
        <f>(Таблица1[Размер кредита]-$AA$2)/$AA$3</f>
        <v>0.74619256914116938</v>
      </c>
      <c r="S718" s="3">
        <f>(Таблица1[Кредитный рейтинг]-$AA$7)/($AA$8-$AA$7)</f>
        <v>0</v>
      </c>
      <c r="T718" s="3">
        <f>(Таблица1[Срок с последнего нарушения кредитного договора (мес,)]-$AA$12)/($AA$13-$AA$12)</f>
        <v>0.17045454545454544</v>
      </c>
      <c r="U718" s="3">
        <f>(Таблица1[Количество кредитных карт]-$AA$18)/($AA$19-$AA$18)</f>
        <v>0.19047619047619047</v>
      </c>
      <c r="V718" s="3">
        <f>(Таблица1[Число нарушений кредитных договоров]-$AA$23)/($AA$24-$AA$23)</f>
        <v>0</v>
      </c>
      <c r="W718" s="3">
        <f>Таблица1[[#This Row],[Годовой доход]]/12</f>
        <v>97337</v>
      </c>
      <c r="X718" s="3">
        <f>Таблица1[[#This Row],[Ежемесячный платеж]]/Таблица1[[#This Row],[Ежем доход]]</f>
        <v>0.17920163966425923</v>
      </c>
      <c r="Y718" s="3"/>
      <c r="Z718" s="3"/>
      <c r="AA718" s="3"/>
      <c r="AB718" s="3"/>
    </row>
    <row r="719" spans="1:28" x14ac:dyDescent="0.2">
      <c r="A719">
        <v>1908</v>
      </c>
      <c r="B719" t="s">
        <v>1944</v>
      </c>
      <c r="C719" t="s">
        <v>18</v>
      </c>
      <c r="D719" t="s">
        <v>29</v>
      </c>
      <c r="E719" t="s">
        <v>24</v>
      </c>
      <c r="F719" t="s">
        <v>21</v>
      </c>
      <c r="G719" t="s">
        <v>67</v>
      </c>
      <c r="H719" s="1">
        <v>343200</v>
      </c>
      <c r="I719" s="3">
        <v>726</v>
      </c>
      <c r="J719" s="3">
        <v>1389375</v>
      </c>
      <c r="K719" s="3">
        <v>16440.89</v>
      </c>
      <c r="L719" s="2">
        <v>23.2</v>
      </c>
      <c r="M719" s="11">
        <v>35.265240640000002</v>
      </c>
      <c r="N719" s="3">
        <v>7</v>
      </c>
      <c r="O719" s="3">
        <v>355661</v>
      </c>
      <c r="P719" s="3">
        <v>591690</v>
      </c>
      <c r="Q719" s="10">
        <v>0</v>
      </c>
      <c r="R719" s="3">
        <f>(Таблица1[Размер кредита]-$AA$2)/$AA$3</f>
        <v>0.19132541234282915</v>
      </c>
      <c r="S719" s="3">
        <f>(Таблица1[Кредитный рейтинг]-$AA$7)/($AA$8-$AA$7)</f>
        <v>0.96671105193075901</v>
      </c>
      <c r="T719" s="3">
        <f>(Таблица1[Срок с последнего нарушения кредитного договора (мес,)]-$AA$12)/($AA$13-$AA$12)</f>
        <v>0.40074137090909095</v>
      </c>
      <c r="U719" s="3">
        <f>(Таблица1[Количество кредитных карт]-$AA$18)/($AA$19-$AA$18)</f>
        <v>0.14285714285714285</v>
      </c>
      <c r="V719" s="3">
        <f>(Таблица1[Число нарушений кредитных договоров]-$AA$23)/($AA$24-$AA$23)</f>
        <v>0</v>
      </c>
      <c r="W719" s="3">
        <f>Таблица1[[#This Row],[Годовой доход]]/12</f>
        <v>115781.25</v>
      </c>
      <c r="X719" s="3">
        <f>Таблица1[[#This Row],[Ежемесячный платеж]]/Таблица1[[#This Row],[Ежем доход]]</f>
        <v>0.14199958974358973</v>
      </c>
      <c r="Y719" s="3"/>
      <c r="Z719" s="3"/>
      <c r="AA719" s="3"/>
      <c r="AB719" s="3"/>
    </row>
    <row r="720" spans="1:28" x14ac:dyDescent="0.2">
      <c r="A720">
        <v>1106</v>
      </c>
      <c r="B720" t="s">
        <v>1145</v>
      </c>
      <c r="C720" t="s">
        <v>18</v>
      </c>
      <c r="D720" t="s">
        <v>29</v>
      </c>
      <c r="E720" t="s">
        <v>30</v>
      </c>
      <c r="F720" t="s">
        <v>21</v>
      </c>
      <c r="G720" t="s">
        <v>22</v>
      </c>
      <c r="H720" s="1">
        <v>577764</v>
      </c>
      <c r="I720" s="3">
        <v>715</v>
      </c>
      <c r="J720" s="3">
        <v>1135098</v>
      </c>
      <c r="K720" s="3">
        <v>10688.83</v>
      </c>
      <c r="L720" s="2">
        <v>17.8</v>
      </c>
      <c r="M720" s="11">
        <v>34</v>
      </c>
      <c r="N720" s="3">
        <v>4</v>
      </c>
      <c r="O720" s="3">
        <v>46987</v>
      </c>
      <c r="P720" s="3">
        <v>591448</v>
      </c>
      <c r="Q720" s="10">
        <v>0</v>
      </c>
      <c r="R720" s="3">
        <f>(Таблица1[Размер кредита]-$AA$2)/$AA$3</f>
        <v>1.5267641540547714</v>
      </c>
      <c r="S720" s="3">
        <f>(Таблица1[Кредитный рейтинг]-$AA$7)/($AA$8-$AA$7)</f>
        <v>0.95206391478029295</v>
      </c>
      <c r="T720" s="3">
        <f>(Таблица1[Срок с последнего нарушения кредитного договора (мес,)]-$AA$12)/($AA$13-$AA$12)</f>
        <v>0.38636363636363635</v>
      </c>
      <c r="U720" s="3">
        <f>(Таблица1[Количество кредитных карт]-$AA$18)/($AA$19-$AA$18)</f>
        <v>7.1428571428571425E-2</v>
      </c>
      <c r="V720" s="3">
        <f>(Таблица1[Число нарушений кредитных договоров]-$AA$23)/($AA$24-$AA$23)</f>
        <v>0</v>
      </c>
      <c r="W720" s="3">
        <f>Таблица1[[#This Row],[Годовой доход]]/12</f>
        <v>94591.5</v>
      </c>
      <c r="X720" s="3">
        <f>Таблица1[[#This Row],[Ежемесячный платеж]]/Таблица1[[#This Row],[Ежем доход]]</f>
        <v>0.11299989956814302</v>
      </c>
      <c r="Y720" s="3"/>
      <c r="Z720" s="3"/>
      <c r="AA720" s="3"/>
      <c r="AB720" s="3"/>
    </row>
    <row r="721" spans="1:28" x14ac:dyDescent="0.2">
      <c r="A721">
        <v>109</v>
      </c>
      <c r="B721" t="s">
        <v>151</v>
      </c>
      <c r="C721" t="s">
        <v>18</v>
      </c>
      <c r="D721" t="s">
        <v>29</v>
      </c>
      <c r="E721" t="s">
        <v>69</v>
      </c>
      <c r="F721" t="s">
        <v>21</v>
      </c>
      <c r="G721" t="s">
        <v>25</v>
      </c>
      <c r="H721" s="1">
        <v>311872</v>
      </c>
      <c r="I721" s="3">
        <v>680</v>
      </c>
      <c r="J721" s="3">
        <v>1063810</v>
      </c>
      <c r="K721" s="3">
        <v>28191.06</v>
      </c>
      <c r="L721" s="2">
        <v>12.2</v>
      </c>
      <c r="M721" s="11">
        <v>35.265240640000002</v>
      </c>
      <c r="N721" s="3">
        <v>10</v>
      </c>
      <c r="O721" s="3">
        <v>391723</v>
      </c>
      <c r="P721" s="3">
        <v>591338</v>
      </c>
      <c r="Q721" s="10">
        <v>0</v>
      </c>
      <c r="R721" s="3">
        <f>(Таблица1[Размер кредита]-$AA$2)/$AA$3</f>
        <v>1.2966308216229468E-2</v>
      </c>
      <c r="S721" s="3">
        <f>(Таблица1[Кредитный рейтинг]-$AA$7)/($AA$8-$AA$7)</f>
        <v>0.90545938748335553</v>
      </c>
      <c r="T721" s="3">
        <f>(Таблица1[Срок с последнего нарушения кредитного договора (мес,)]-$AA$12)/($AA$13-$AA$12)</f>
        <v>0.40074137090909095</v>
      </c>
      <c r="U721" s="3">
        <f>(Таблица1[Количество кредитных карт]-$AA$18)/($AA$19-$AA$18)</f>
        <v>0.21428571428571427</v>
      </c>
      <c r="V721" s="3">
        <f>(Таблица1[Число нарушений кредитных договоров]-$AA$23)/($AA$24-$AA$23)</f>
        <v>0</v>
      </c>
      <c r="W721" s="3">
        <f>Таблица1[[#This Row],[Годовой доход]]/12</f>
        <v>88650.833333333328</v>
      </c>
      <c r="X721" s="3">
        <f>Таблица1[[#This Row],[Ежемесячный платеж]]/Таблица1[[#This Row],[Ежем доход]]</f>
        <v>0.31800107161993219</v>
      </c>
      <c r="Y721" s="3"/>
      <c r="Z721" s="3"/>
      <c r="AA721" s="3"/>
      <c r="AB721" s="3"/>
    </row>
    <row r="722" spans="1:28" x14ac:dyDescent="0.2">
      <c r="A722">
        <v>1373</v>
      </c>
      <c r="B722" t="s">
        <v>1412</v>
      </c>
      <c r="C722" t="s">
        <v>18</v>
      </c>
      <c r="D722" t="s">
        <v>19</v>
      </c>
      <c r="E722" t="s">
        <v>20</v>
      </c>
      <c r="F722" t="s">
        <v>21</v>
      </c>
      <c r="G722" t="s">
        <v>25</v>
      </c>
      <c r="H722" s="1">
        <v>309594.52439999999</v>
      </c>
      <c r="I722" s="3">
        <v>689</v>
      </c>
      <c r="J722" s="3">
        <v>2072026</v>
      </c>
      <c r="K722" s="3">
        <v>25382.29</v>
      </c>
      <c r="L722" s="2">
        <v>17.5</v>
      </c>
      <c r="M722" s="11">
        <v>25</v>
      </c>
      <c r="N722" s="3">
        <v>15</v>
      </c>
      <c r="O722" s="3">
        <v>344147</v>
      </c>
      <c r="P722" s="3">
        <v>591228</v>
      </c>
      <c r="Q722" s="10">
        <v>0</v>
      </c>
      <c r="R722" s="3">
        <f>(Таблица1[Размер кредита]-$AA$2)/$AA$3</f>
        <v>-1.2411115481956205E-10</v>
      </c>
      <c r="S722" s="3">
        <f>(Таблица1[Кредитный рейтинг]-$AA$7)/($AA$8-$AA$7)</f>
        <v>0.91744340878828234</v>
      </c>
      <c r="T722" s="3">
        <f>(Таблица1[Срок с последнего нарушения кредитного договора (мес,)]-$AA$12)/($AA$13-$AA$12)</f>
        <v>0.28409090909090912</v>
      </c>
      <c r="U722" s="3">
        <f>(Таблица1[Количество кредитных карт]-$AA$18)/($AA$19-$AA$18)</f>
        <v>0.33333333333333331</v>
      </c>
      <c r="V722" s="3">
        <f>(Таблица1[Число нарушений кредитных договоров]-$AA$23)/($AA$24-$AA$23)</f>
        <v>0</v>
      </c>
      <c r="W722" s="3">
        <f>Таблица1[[#This Row],[Годовой доход]]/12</f>
        <v>172668.83333333334</v>
      </c>
      <c r="X722" s="3">
        <f>Таблица1[[#This Row],[Ежемесячный платеж]]/Таблица1[[#This Row],[Ежем доход]]</f>
        <v>0.14699983494415611</v>
      </c>
      <c r="Y722" s="3"/>
      <c r="Z722" s="3"/>
      <c r="AA722" s="3"/>
      <c r="AB722" s="3"/>
    </row>
    <row r="723" spans="1:28" x14ac:dyDescent="0.2">
      <c r="A723">
        <v>1311</v>
      </c>
      <c r="B723" t="s">
        <v>1350</v>
      </c>
      <c r="C723" t="s">
        <v>18</v>
      </c>
      <c r="D723" t="s">
        <v>29</v>
      </c>
      <c r="E723" t="s">
        <v>37</v>
      </c>
      <c r="F723" t="s">
        <v>27</v>
      </c>
      <c r="G723" t="s">
        <v>25</v>
      </c>
      <c r="H723" s="1">
        <v>306130</v>
      </c>
      <c r="I723" s="3">
        <v>714</v>
      </c>
      <c r="J723" s="3">
        <v>1605158</v>
      </c>
      <c r="K723" s="3">
        <v>18191.55</v>
      </c>
      <c r="L723" s="2">
        <v>13.5</v>
      </c>
      <c r="M723" s="11">
        <v>18</v>
      </c>
      <c r="N723" s="3">
        <v>15</v>
      </c>
      <c r="O723" s="3">
        <v>271757</v>
      </c>
      <c r="P723" s="3">
        <v>590370</v>
      </c>
      <c r="Q723" s="10">
        <v>0</v>
      </c>
      <c r="R723" s="3">
        <f>(Таблица1[Размер кредита]-$AA$2)/$AA$3</f>
        <v>-1.9724510728322861E-2</v>
      </c>
      <c r="S723" s="3">
        <f>(Таблица1[Кредитный рейтинг]-$AA$7)/($AA$8-$AA$7)</f>
        <v>0.95073235685752333</v>
      </c>
      <c r="T723" s="3">
        <f>(Таблица1[Срок с последнего нарушения кредитного договора (мес,)]-$AA$12)/($AA$13-$AA$12)</f>
        <v>0.20454545454545456</v>
      </c>
      <c r="U723" s="3">
        <f>(Таблица1[Количество кредитных карт]-$AA$18)/($AA$19-$AA$18)</f>
        <v>0.33333333333333331</v>
      </c>
      <c r="V723" s="3">
        <f>(Таблица1[Число нарушений кредитных договоров]-$AA$23)/($AA$24-$AA$23)</f>
        <v>0</v>
      </c>
      <c r="W723" s="3">
        <f>Таблица1[[#This Row],[Годовой доход]]/12</f>
        <v>133763.16666666666</v>
      </c>
      <c r="X723" s="3">
        <f>Таблица1[[#This Row],[Ежемесячный платеж]]/Таблица1[[#This Row],[Ежем доход]]</f>
        <v>0.13599820080017044</v>
      </c>
      <c r="Y723" s="3"/>
      <c r="Z723" s="3"/>
      <c r="AA723" s="3"/>
      <c r="AB723" s="3"/>
    </row>
    <row r="724" spans="1:28" x14ac:dyDescent="0.2">
      <c r="A724">
        <v>1042</v>
      </c>
      <c r="B724" t="s">
        <v>1081</v>
      </c>
      <c r="C724" t="s">
        <v>35</v>
      </c>
      <c r="D724" t="s">
        <v>19</v>
      </c>
      <c r="E724" t="s">
        <v>32</v>
      </c>
      <c r="F724" t="s">
        <v>21</v>
      </c>
      <c r="G724" t="s">
        <v>25</v>
      </c>
      <c r="H724" s="1">
        <v>367796</v>
      </c>
      <c r="I724" s="3">
        <v>710</v>
      </c>
      <c r="J724" s="3">
        <v>1172566</v>
      </c>
      <c r="K724" s="3">
        <v>34101.96</v>
      </c>
      <c r="L724" s="2">
        <v>11.5</v>
      </c>
      <c r="M724" s="11">
        <v>35.265240640000002</v>
      </c>
      <c r="N724" s="3">
        <v>12</v>
      </c>
      <c r="O724" s="3">
        <v>338352</v>
      </c>
      <c r="P724" s="3">
        <v>590018</v>
      </c>
      <c r="Q724" s="10">
        <v>0</v>
      </c>
      <c r="R724" s="3">
        <f>(Таблица1[Размер кредита]-$AA$2)/$AA$3</f>
        <v>0.33135734943098816</v>
      </c>
      <c r="S724" s="3">
        <f>(Таблица1[Кредитный рейтинг]-$AA$7)/($AA$8-$AA$7)</f>
        <v>0.94540612516644473</v>
      </c>
      <c r="T724" s="3">
        <f>(Таблица1[Срок с последнего нарушения кредитного договора (мес,)]-$AA$12)/($AA$13-$AA$12)</f>
        <v>0.40074137090909095</v>
      </c>
      <c r="U724" s="3">
        <f>(Таблица1[Количество кредитных карт]-$AA$18)/($AA$19-$AA$18)</f>
        <v>0.26190476190476192</v>
      </c>
      <c r="V724" s="3">
        <f>(Таблица1[Число нарушений кредитных договоров]-$AA$23)/($AA$24-$AA$23)</f>
        <v>0</v>
      </c>
      <c r="W724" s="3">
        <f>Таблица1[[#This Row],[Годовой доход]]/12</f>
        <v>97713.833333333328</v>
      </c>
      <c r="X724" s="3">
        <f>Таблица1[[#This Row],[Ежемесячный платеж]]/Таблица1[[#This Row],[Ежем доход]]</f>
        <v>0.34899828239945557</v>
      </c>
      <c r="Y724" s="3"/>
      <c r="Z724" s="3"/>
      <c r="AA724" s="3"/>
      <c r="AB724" s="3"/>
    </row>
    <row r="725" spans="1:28" x14ac:dyDescent="0.2">
      <c r="A725">
        <v>349</v>
      </c>
      <c r="B725" t="s">
        <v>391</v>
      </c>
      <c r="C725" t="s">
        <v>18</v>
      </c>
      <c r="D725" t="s">
        <v>29</v>
      </c>
      <c r="E725" t="s">
        <v>63</v>
      </c>
      <c r="F725" t="s">
        <v>33</v>
      </c>
      <c r="G725" t="s">
        <v>25</v>
      </c>
      <c r="H725" s="1">
        <v>533698</v>
      </c>
      <c r="I725" s="3">
        <v>699</v>
      </c>
      <c r="J725" s="3">
        <v>1853298</v>
      </c>
      <c r="K725" s="3">
        <v>30270.61</v>
      </c>
      <c r="L725" s="2">
        <v>21.6</v>
      </c>
      <c r="M725" s="11">
        <v>72</v>
      </c>
      <c r="N725" s="3">
        <v>18</v>
      </c>
      <c r="O725" s="3">
        <v>342209</v>
      </c>
      <c r="P725" s="3">
        <v>589644</v>
      </c>
      <c r="Q725" s="10">
        <v>0</v>
      </c>
      <c r="R725" s="3">
        <f>(Таблица1[Размер кредита]-$AA$2)/$AA$3</f>
        <v>1.2758840377868086</v>
      </c>
      <c r="S725" s="3">
        <f>(Таблица1[Кредитный рейтинг]-$AA$7)/($AA$8-$AA$7)</f>
        <v>0.93075898801597867</v>
      </c>
      <c r="T725" s="3">
        <f>(Таблица1[Срок с последнего нарушения кредитного договора (мес,)]-$AA$12)/($AA$13-$AA$12)</f>
        <v>0.81818181818181823</v>
      </c>
      <c r="U725" s="3">
        <f>(Таблица1[Количество кредитных карт]-$AA$18)/($AA$19-$AA$18)</f>
        <v>0.40476190476190477</v>
      </c>
      <c r="V725" s="3">
        <f>(Таблица1[Число нарушений кредитных договоров]-$AA$23)/($AA$24-$AA$23)</f>
        <v>0</v>
      </c>
      <c r="W725" s="3">
        <f>Таблица1[[#This Row],[Годовой доход]]/12</f>
        <v>154441.5</v>
      </c>
      <c r="X725" s="3">
        <f>Таблица1[[#This Row],[Ежемесячный платеж]]/Таблица1[[#This Row],[Ежем доход]]</f>
        <v>0.19600049209571263</v>
      </c>
      <c r="Y725" s="3"/>
      <c r="Z725" s="3"/>
      <c r="AA725" s="3"/>
      <c r="AB725" s="3"/>
    </row>
    <row r="726" spans="1:28" x14ac:dyDescent="0.2">
      <c r="A726">
        <v>1825</v>
      </c>
      <c r="B726" t="s">
        <v>1863</v>
      </c>
      <c r="C726" t="s">
        <v>18</v>
      </c>
      <c r="D726" t="s">
        <v>19</v>
      </c>
      <c r="E726" t="s">
        <v>69</v>
      </c>
      <c r="F726" t="s">
        <v>21</v>
      </c>
      <c r="G726" t="s">
        <v>25</v>
      </c>
      <c r="H726" s="1">
        <v>57552</v>
      </c>
      <c r="I726" s="3">
        <v>739</v>
      </c>
      <c r="J726" s="3">
        <v>439622</v>
      </c>
      <c r="K726" s="3">
        <v>11796.53</v>
      </c>
      <c r="L726" s="2">
        <v>18.5</v>
      </c>
      <c r="M726" s="11">
        <v>35.265240640000002</v>
      </c>
      <c r="N726" s="3">
        <v>9</v>
      </c>
      <c r="O726" s="3">
        <v>237063</v>
      </c>
      <c r="P726" s="3">
        <v>589072</v>
      </c>
      <c r="Q726" s="10">
        <v>0</v>
      </c>
      <c r="R726" s="3">
        <f>(Таблица1[Размер кредита]-$AA$2)/$AA$3</f>
        <v>-1.4349488910137511</v>
      </c>
      <c r="S726" s="3">
        <f>(Таблица1[Кредитный рейтинг]-$AA$7)/($AA$8-$AA$7)</f>
        <v>0.98402130492676432</v>
      </c>
      <c r="T726" s="3">
        <f>(Таблица1[Срок с последнего нарушения кредитного договора (мес,)]-$AA$12)/($AA$13-$AA$12)</f>
        <v>0.40074137090909095</v>
      </c>
      <c r="U726" s="3">
        <f>(Таблица1[Количество кредитных карт]-$AA$18)/($AA$19-$AA$18)</f>
        <v>0.19047619047619047</v>
      </c>
      <c r="V726" s="3">
        <f>(Таблица1[Число нарушений кредитных договоров]-$AA$23)/($AA$24-$AA$23)</f>
        <v>0</v>
      </c>
      <c r="W726" s="3">
        <f>Таблица1[[#This Row],[Годовой доход]]/12</f>
        <v>36635.166666666664</v>
      </c>
      <c r="X726" s="3">
        <f>Таблица1[[#This Row],[Ежемесячный платеж]]/Таблица1[[#This Row],[Ежем доход]]</f>
        <v>0.3220001728757888</v>
      </c>
      <c r="Y726" s="3"/>
      <c r="Z726" s="3"/>
      <c r="AA726" s="3"/>
      <c r="AB726" s="3"/>
    </row>
    <row r="727" spans="1:28" x14ac:dyDescent="0.2">
      <c r="A727">
        <v>1931</v>
      </c>
      <c r="B727" t="s">
        <v>1967</v>
      </c>
      <c r="C727" t="s">
        <v>35</v>
      </c>
      <c r="D727" t="s">
        <v>19</v>
      </c>
      <c r="E727" t="s">
        <v>24</v>
      </c>
      <c r="F727" t="s">
        <v>33</v>
      </c>
      <c r="G727" t="s">
        <v>25</v>
      </c>
      <c r="H727" s="1">
        <v>261734</v>
      </c>
      <c r="I727" s="3">
        <v>742</v>
      </c>
      <c r="J727" s="3">
        <v>941830</v>
      </c>
      <c r="K727" s="3">
        <v>13421.03</v>
      </c>
      <c r="L727" s="2">
        <v>17.2</v>
      </c>
      <c r="M727" s="11">
        <v>35.265240640000002</v>
      </c>
      <c r="N727" s="3">
        <v>9</v>
      </c>
      <c r="O727" s="3">
        <v>295830</v>
      </c>
      <c r="P727" s="3">
        <v>588566</v>
      </c>
      <c r="Q727" s="10">
        <v>0</v>
      </c>
      <c r="R727" s="3">
        <f>(Таблица1[Размер кредита]-$AA$2)/$AA$3</f>
        <v>-0.2724834096942485</v>
      </c>
      <c r="S727" s="3">
        <f>(Таблица1[Кредитный рейтинг]-$AA$7)/($AA$8-$AA$7)</f>
        <v>0.98801597869507318</v>
      </c>
      <c r="T727" s="3">
        <f>(Таблица1[Срок с последнего нарушения кредитного договора (мес,)]-$AA$12)/($AA$13-$AA$12)</f>
        <v>0.40074137090909095</v>
      </c>
      <c r="U727" s="3">
        <f>(Таблица1[Количество кредитных карт]-$AA$18)/($AA$19-$AA$18)</f>
        <v>0.19047619047619047</v>
      </c>
      <c r="V727" s="3">
        <f>(Таблица1[Число нарушений кредитных договоров]-$AA$23)/($AA$24-$AA$23)</f>
        <v>0</v>
      </c>
      <c r="W727" s="3">
        <f>Таблица1[[#This Row],[Годовой доход]]/12</f>
        <v>78485.833333333328</v>
      </c>
      <c r="X727" s="3">
        <f>Таблица1[[#This Row],[Ежемесячный платеж]]/Таблица1[[#This Row],[Ежем доход]]</f>
        <v>0.17099939479523907</v>
      </c>
      <c r="Y727" s="3"/>
      <c r="Z727" s="3"/>
      <c r="AA727" s="3"/>
      <c r="AB727" s="3"/>
    </row>
    <row r="728" spans="1:28" x14ac:dyDescent="0.2">
      <c r="A728">
        <v>247</v>
      </c>
      <c r="B728" t="s">
        <v>289</v>
      </c>
      <c r="C728" t="s">
        <v>18</v>
      </c>
      <c r="D728" t="s">
        <v>19</v>
      </c>
      <c r="E728" t="s">
        <v>32</v>
      </c>
      <c r="F728" t="s">
        <v>21</v>
      </c>
      <c r="G728" t="s">
        <v>25</v>
      </c>
      <c r="H728" s="1">
        <v>204248</v>
      </c>
      <c r="I728" s="3">
        <v>737</v>
      </c>
      <c r="J728" s="3">
        <v>779893</v>
      </c>
      <c r="K728" s="3">
        <v>10788.39</v>
      </c>
      <c r="L728" s="2">
        <v>23</v>
      </c>
      <c r="M728" s="11">
        <v>35.265240640000002</v>
      </c>
      <c r="N728" s="3">
        <v>10</v>
      </c>
      <c r="O728" s="3">
        <v>225663</v>
      </c>
      <c r="P728" s="3">
        <v>588522</v>
      </c>
      <c r="Q728" s="10">
        <v>0</v>
      </c>
      <c r="R728" s="3">
        <f>(Таблица1[Размер кредита]-$AA$2)/$AA$3</f>
        <v>-0.59976735567936434</v>
      </c>
      <c r="S728" s="3">
        <f>(Таблица1[Кредитный рейтинг]-$AA$7)/($AA$8-$AA$7)</f>
        <v>0.98135818908122507</v>
      </c>
      <c r="T728" s="3">
        <f>(Таблица1[Срок с последнего нарушения кредитного договора (мес,)]-$AA$12)/($AA$13-$AA$12)</f>
        <v>0.40074137090909095</v>
      </c>
      <c r="U728" s="3">
        <f>(Таблица1[Количество кредитных карт]-$AA$18)/($AA$19-$AA$18)</f>
        <v>0.21428571428571427</v>
      </c>
      <c r="V728" s="3">
        <f>(Таблица1[Число нарушений кредитных договоров]-$AA$23)/($AA$24-$AA$23)</f>
        <v>0</v>
      </c>
      <c r="W728" s="3">
        <f>Таблица1[[#This Row],[Годовой доход]]/12</f>
        <v>64991.083333333336</v>
      </c>
      <c r="X728" s="3">
        <f>Таблица1[[#This Row],[Ежемесячный платеж]]/Таблица1[[#This Row],[Ежем доход]]</f>
        <v>0.16599800229005773</v>
      </c>
      <c r="Y728" s="3"/>
      <c r="Z728" s="3"/>
      <c r="AA728" s="3"/>
      <c r="AB728" s="3"/>
    </row>
    <row r="729" spans="1:28" x14ac:dyDescent="0.2">
      <c r="A729">
        <v>1902</v>
      </c>
      <c r="B729" t="s">
        <v>1938</v>
      </c>
      <c r="C729" t="s">
        <v>18</v>
      </c>
      <c r="D729" t="s">
        <v>19</v>
      </c>
      <c r="E729" t="s">
        <v>37</v>
      </c>
      <c r="F729" t="s">
        <v>27</v>
      </c>
      <c r="G729" t="s">
        <v>25</v>
      </c>
      <c r="H729" s="1">
        <v>264946</v>
      </c>
      <c r="I729" s="3">
        <v>746</v>
      </c>
      <c r="J729" s="3">
        <v>858078</v>
      </c>
      <c r="K729" s="3">
        <v>11155.09</v>
      </c>
      <c r="L729" s="2">
        <v>13.7</v>
      </c>
      <c r="M729" s="11">
        <v>35.265240640000002</v>
      </c>
      <c r="N729" s="3">
        <v>11</v>
      </c>
      <c r="O729" s="3">
        <v>57437</v>
      </c>
      <c r="P729" s="3">
        <v>588522</v>
      </c>
      <c r="Q729" s="10">
        <v>0</v>
      </c>
      <c r="R729" s="3">
        <f>(Таблица1[Размер кредита]-$AA$2)/$AA$3</f>
        <v>-0.25419659143407747</v>
      </c>
      <c r="S729" s="3">
        <f>(Таблица1[Кредитный рейтинг]-$AA$7)/($AA$8-$AA$7)</f>
        <v>0.99334221038615178</v>
      </c>
      <c r="T729" s="3">
        <f>(Таблица1[Срок с последнего нарушения кредитного договора (мес,)]-$AA$12)/($AA$13-$AA$12)</f>
        <v>0.40074137090909095</v>
      </c>
      <c r="U729" s="3">
        <f>(Таблица1[Количество кредитных карт]-$AA$18)/($AA$19-$AA$18)</f>
        <v>0.23809523809523808</v>
      </c>
      <c r="V729" s="3">
        <f>(Таблица1[Число нарушений кредитных договоров]-$AA$23)/($AA$24-$AA$23)</f>
        <v>0</v>
      </c>
      <c r="W729" s="3">
        <f>Таблица1[[#This Row],[Годовой доход]]/12</f>
        <v>71506.5</v>
      </c>
      <c r="X729" s="3">
        <f>Таблица1[[#This Row],[Ежемесячный платеж]]/Таблица1[[#This Row],[Ежем доход]]</f>
        <v>0.15600106284044107</v>
      </c>
      <c r="Y729" s="3"/>
      <c r="Z729" s="3"/>
      <c r="AA729" s="3"/>
      <c r="AB729" s="3"/>
    </row>
    <row r="730" spans="1:28" x14ac:dyDescent="0.2">
      <c r="A730">
        <v>287</v>
      </c>
      <c r="B730" t="s">
        <v>329</v>
      </c>
      <c r="C730" t="s">
        <v>18</v>
      </c>
      <c r="D730" t="s">
        <v>19</v>
      </c>
      <c r="E730" t="s">
        <v>20</v>
      </c>
      <c r="F730" t="s">
        <v>27</v>
      </c>
      <c r="G730" t="s">
        <v>25</v>
      </c>
      <c r="H730" s="1">
        <v>416834</v>
      </c>
      <c r="I730" s="3">
        <v>0</v>
      </c>
      <c r="J730" s="3">
        <v>1168044</v>
      </c>
      <c r="K730" s="3">
        <v>17525.79</v>
      </c>
      <c r="L730" s="2">
        <v>9.6999999999999993</v>
      </c>
      <c r="M730" s="11">
        <v>35.265240640000002</v>
      </c>
      <c r="N730" s="3">
        <v>13</v>
      </c>
      <c r="O730" s="3">
        <v>219849</v>
      </c>
      <c r="P730" s="3">
        <v>587884</v>
      </c>
      <c r="Q730" s="10">
        <v>0</v>
      </c>
      <c r="R730" s="3">
        <f>(Таблица1[Размер кредита]-$AA$2)/$AA$3</f>
        <v>0.61054445834825688</v>
      </c>
      <c r="S730" s="3">
        <f>(Таблица1[Кредитный рейтинг]-$AA$7)/($AA$8-$AA$7)</f>
        <v>0</v>
      </c>
      <c r="T730" s="3">
        <f>(Таблица1[Срок с последнего нарушения кредитного договора (мес,)]-$AA$12)/($AA$13-$AA$12)</f>
        <v>0.40074137090909095</v>
      </c>
      <c r="U730" s="3">
        <f>(Таблица1[Количество кредитных карт]-$AA$18)/($AA$19-$AA$18)</f>
        <v>0.2857142857142857</v>
      </c>
      <c r="V730" s="3">
        <f>(Таблица1[Число нарушений кредитных договоров]-$AA$23)/($AA$24-$AA$23)</f>
        <v>0</v>
      </c>
      <c r="W730" s="3">
        <f>Таблица1[[#This Row],[Годовой доход]]/12</f>
        <v>97337</v>
      </c>
      <c r="X730" s="3">
        <f>Таблица1[[#This Row],[Ежемесячный платеж]]/Таблица1[[#This Row],[Ежем доход]]</f>
        <v>0.18005270349404648</v>
      </c>
      <c r="Y730" s="3"/>
      <c r="Z730" s="3"/>
      <c r="AA730" s="3"/>
      <c r="AB730" s="3"/>
    </row>
    <row r="731" spans="1:28" x14ac:dyDescent="0.2">
      <c r="A731">
        <v>143</v>
      </c>
      <c r="B731" t="s">
        <v>185</v>
      </c>
      <c r="C731" t="s">
        <v>18</v>
      </c>
      <c r="D731" t="s">
        <v>19</v>
      </c>
      <c r="E731" t="s">
        <v>52</v>
      </c>
      <c r="F731" t="s">
        <v>21</v>
      </c>
      <c r="G731" t="s">
        <v>25</v>
      </c>
      <c r="H731" s="1">
        <v>223256</v>
      </c>
      <c r="I731" s="3">
        <v>740</v>
      </c>
      <c r="J731" s="3">
        <v>804916</v>
      </c>
      <c r="K731" s="3">
        <v>6774.64</v>
      </c>
      <c r="L731" s="2">
        <v>34.4</v>
      </c>
      <c r="M731" s="11">
        <v>7</v>
      </c>
      <c r="N731" s="3">
        <v>13</v>
      </c>
      <c r="O731" s="3">
        <v>308142</v>
      </c>
      <c r="P731" s="3">
        <v>587818</v>
      </c>
      <c r="Q731" s="10">
        <v>0</v>
      </c>
      <c r="R731" s="3">
        <f>(Таблица1[Размер кредита]-$AA$2)/$AA$3</f>
        <v>-0.49154947227670837</v>
      </c>
      <c r="S731" s="3">
        <f>(Таблица1[Кредитный рейтинг]-$AA$7)/($AA$8-$AA$7)</f>
        <v>0.98535286284953394</v>
      </c>
      <c r="T731" s="3">
        <f>(Таблица1[Срок с последнего нарушения кредитного договора (мес,)]-$AA$12)/($AA$13-$AA$12)</f>
        <v>7.9545454545454544E-2</v>
      </c>
      <c r="U731" s="3">
        <f>(Таблица1[Количество кредитных карт]-$AA$18)/($AA$19-$AA$18)</f>
        <v>0.2857142857142857</v>
      </c>
      <c r="V731" s="3">
        <f>(Таблица1[Число нарушений кредитных договоров]-$AA$23)/($AA$24-$AA$23)</f>
        <v>0</v>
      </c>
      <c r="W731" s="3">
        <f>Таблица1[[#This Row],[Годовой доход]]/12</f>
        <v>67076.333333333328</v>
      </c>
      <c r="X731" s="3">
        <f>Таблица1[[#This Row],[Ежемесячный платеж]]/Таблица1[[#This Row],[Ежем доход]]</f>
        <v>0.10099896138230574</v>
      </c>
      <c r="Y731" s="3"/>
      <c r="Z731" s="3"/>
      <c r="AA731" s="3"/>
      <c r="AB731" s="3"/>
    </row>
    <row r="732" spans="1:28" x14ac:dyDescent="0.2">
      <c r="A732">
        <v>937</v>
      </c>
      <c r="B732" t="s">
        <v>978</v>
      </c>
      <c r="C732" t="s">
        <v>18</v>
      </c>
      <c r="D732" t="s">
        <v>29</v>
      </c>
      <c r="E732" t="s">
        <v>24</v>
      </c>
      <c r="F732" t="s">
        <v>21</v>
      </c>
      <c r="G732" t="s">
        <v>25</v>
      </c>
      <c r="H732" s="1">
        <v>616484</v>
      </c>
      <c r="I732" s="3">
        <v>0</v>
      </c>
      <c r="J732" s="3">
        <v>1168044</v>
      </c>
      <c r="K732" s="3">
        <v>22659.78</v>
      </c>
      <c r="L732" s="2">
        <v>20.6</v>
      </c>
      <c r="M732" s="11">
        <v>35.265240640000002</v>
      </c>
      <c r="N732" s="3">
        <v>10</v>
      </c>
      <c r="O732" s="3">
        <v>407474</v>
      </c>
      <c r="P732" s="3">
        <v>587554</v>
      </c>
      <c r="Q732" s="10">
        <v>0</v>
      </c>
      <c r="R732" s="3">
        <f>(Таблица1[Размер кредита]-$AA$2)/$AA$3</f>
        <v>1.7472079906157372</v>
      </c>
      <c r="S732" s="3">
        <f>(Таблица1[Кредитный рейтинг]-$AA$7)/($AA$8-$AA$7)</f>
        <v>0</v>
      </c>
      <c r="T732" s="3">
        <f>(Таблица1[Срок с последнего нарушения кредитного договора (мес,)]-$AA$12)/($AA$13-$AA$12)</f>
        <v>0.40074137090909095</v>
      </c>
      <c r="U732" s="3">
        <f>(Таблица1[Количество кредитных карт]-$AA$18)/($AA$19-$AA$18)</f>
        <v>0.21428571428571427</v>
      </c>
      <c r="V732" s="3">
        <f>(Таблица1[Число нарушений кредитных договоров]-$AA$23)/($AA$24-$AA$23)</f>
        <v>0</v>
      </c>
      <c r="W732" s="3">
        <f>Таблица1[[#This Row],[Годовой доход]]/12</f>
        <v>97337</v>
      </c>
      <c r="X732" s="3">
        <f>Таблица1[[#This Row],[Ежемесячный платеж]]/Таблица1[[#This Row],[Ежем доход]]</f>
        <v>0.23279718914698419</v>
      </c>
      <c r="Y732" s="3"/>
      <c r="Z732" s="3"/>
      <c r="AA732" s="3"/>
      <c r="AB732" s="3"/>
    </row>
    <row r="733" spans="1:28" x14ac:dyDescent="0.2">
      <c r="A733">
        <v>1748</v>
      </c>
      <c r="B733" t="s">
        <v>1786</v>
      </c>
      <c r="C733" t="s">
        <v>18</v>
      </c>
      <c r="D733" t="s">
        <v>19</v>
      </c>
      <c r="E733" t="s">
        <v>24</v>
      </c>
      <c r="F733" t="s">
        <v>21</v>
      </c>
      <c r="G733" t="s">
        <v>67</v>
      </c>
      <c r="H733" s="1">
        <v>359876</v>
      </c>
      <c r="I733" s="3">
        <v>718</v>
      </c>
      <c r="J733" s="3">
        <v>961571</v>
      </c>
      <c r="K733" s="3">
        <v>24199.35</v>
      </c>
      <c r="L733" s="2">
        <v>16.600000000000001</v>
      </c>
      <c r="M733" s="11">
        <v>37</v>
      </c>
      <c r="N733" s="3">
        <v>15</v>
      </c>
      <c r="O733" s="3">
        <v>305900</v>
      </c>
      <c r="P733" s="3">
        <v>587378</v>
      </c>
      <c r="Q733" s="10">
        <v>0</v>
      </c>
      <c r="R733" s="3">
        <f>(Таблица1[Размер кредита]-$AA$2)/$AA$3</f>
        <v>0.28626656467988149</v>
      </c>
      <c r="S733" s="3">
        <f>(Таблица1[Кредитный рейтинг]-$AA$7)/($AA$8-$AA$7)</f>
        <v>0.95605858854860182</v>
      </c>
      <c r="T733" s="3">
        <f>(Таблица1[Срок с последнего нарушения кредитного договора (мес,)]-$AA$12)/($AA$13-$AA$12)</f>
        <v>0.42045454545454547</v>
      </c>
      <c r="U733" s="3">
        <f>(Таблица1[Количество кредитных карт]-$AA$18)/($AA$19-$AA$18)</f>
        <v>0.33333333333333331</v>
      </c>
      <c r="V733" s="3">
        <f>(Таблица1[Число нарушений кредитных договоров]-$AA$23)/($AA$24-$AA$23)</f>
        <v>0</v>
      </c>
      <c r="W733" s="3">
        <f>Таблица1[[#This Row],[Годовой доход]]/12</f>
        <v>80130.916666666672</v>
      </c>
      <c r="X733" s="3">
        <f>Таблица1[[#This Row],[Ежемесячный платеж]]/Таблица1[[#This Row],[Ежем доход]]</f>
        <v>0.30199766839890135</v>
      </c>
      <c r="Y733" s="3"/>
      <c r="Z733" s="3"/>
      <c r="AA733" s="3"/>
      <c r="AB733" s="3"/>
    </row>
    <row r="734" spans="1:28" x14ac:dyDescent="0.2">
      <c r="A734">
        <v>655</v>
      </c>
      <c r="B734" t="s">
        <v>696</v>
      </c>
      <c r="C734" t="s">
        <v>18</v>
      </c>
      <c r="D734" t="s">
        <v>29</v>
      </c>
      <c r="E734" t="s">
        <v>69</v>
      </c>
      <c r="F734" t="s">
        <v>27</v>
      </c>
      <c r="G734" t="s">
        <v>25</v>
      </c>
      <c r="H734" s="1">
        <v>523292</v>
      </c>
      <c r="I734" s="3">
        <v>713</v>
      </c>
      <c r="J734" s="3">
        <v>1788945</v>
      </c>
      <c r="K734" s="3">
        <v>33542.6</v>
      </c>
      <c r="L734" s="2">
        <v>16.8</v>
      </c>
      <c r="M734" s="11">
        <v>26</v>
      </c>
      <c r="N734" s="3">
        <v>13</v>
      </c>
      <c r="O734" s="3">
        <v>303601</v>
      </c>
      <c r="P734" s="3">
        <v>586850</v>
      </c>
      <c r="Q734" s="10">
        <v>0</v>
      </c>
      <c r="R734" s="3">
        <f>(Таблица1[Размер кредита]-$AA$2)/$AA$3</f>
        <v>1.216639756711049</v>
      </c>
      <c r="S734" s="3">
        <f>(Таблица1[Кредитный рейтинг]-$AA$7)/($AA$8-$AA$7)</f>
        <v>0.94940079893475371</v>
      </c>
      <c r="T734" s="3">
        <f>(Таблица1[Срок с последнего нарушения кредитного договора (мес,)]-$AA$12)/($AA$13-$AA$12)</f>
        <v>0.29545454545454547</v>
      </c>
      <c r="U734" s="3">
        <f>(Таблица1[Количество кредитных карт]-$AA$18)/($AA$19-$AA$18)</f>
        <v>0.2857142857142857</v>
      </c>
      <c r="V734" s="3">
        <f>(Таблица1[Число нарушений кредитных договоров]-$AA$23)/($AA$24-$AA$23)</f>
        <v>0</v>
      </c>
      <c r="W734" s="3">
        <f>Таблица1[[#This Row],[Годовой доход]]/12</f>
        <v>149078.75</v>
      </c>
      <c r="X734" s="3">
        <f>Таблица1[[#This Row],[Ежемесячный платеж]]/Таблица1[[#This Row],[Ежем доход]]</f>
        <v>0.22499920344113428</v>
      </c>
      <c r="Y734" s="3"/>
      <c r="Z734" s="3"/>
      <c r="AA734" s="3"/>
      <c r="AB734" s="3"/>
    </row>
    <row r="735" spans="1:28" x14ac:dyDescent="0.2">
      <c r="A735">
        <v>681</v>
      </c>
      <c r="B735" t="s">
        <v>722</v>
      </c>
      <c r="C735" t="s">
        <v>18</v>
      </c>
      <c r="D735" t="s">
        <v>19</v>
      </c>
      <c r="E735" t="s">
        <v>50</v>
      </c>
      <c r="F735" t="s">
        <v>21</v>
      </c>
      <c r="G735" t="s">
        <v>102</v>
      </c>
      <c r="H735" s="1">
        <v>111914</v>
      </c>
      <c r="I735" s="3">
        <v>701</v>
      </c>
      <c r="J735" s="3">
        <v>1063183</v>
      </c>
      <c r="K735" s="3">
        <v>7964.99</v>
      </c>
      <c r="L735" s="2">
        <v>13.3</v>
      </c>
      <c r="M735" s="11">
        <v>35.265240640000002</v>
      </c>
      <c r="N735" s="3">
        <v>14</v>
      </c>
      <c r="O735" s="3">
        <v>154508</v>
      </c>
      <c r="P735" s="3">
        <v>586586</v>
      </c>
      <c r="Q735" s="10">
        <v>1</v>
      </c>
      <c r="R735" s="3">
        <f>(Таблица1[Размер кредита]-$AA$2)/$AA$3</f>
        <v>-1.1254507545693495</v>
      </c>
      <c r="S735" s="3">
        <f>(Таблица1[Кредитный рейтинг]-$AA$7)/($AA$8-$AA$7)</f>
        <v>0.93342210386151803</v>
      </c>
      <c r="T735" s="3">
        <f>(Таблица1[Срок с последнего нарушения кредитного договора (мес,)]-$AA$12)/($AA$13-$AA$12)</f>
        <v>0.40074137090909095</v>
      </c>
      <c r="U735" s="3">
        <f>(Таблица1[Количество кредитных карт]-$AA$18)/($AA$19-$AA$18)</f>
        <v>0.30952380952380953</v>
      </c>
      <c r="V735" s="3">
        <f>(Таблица1[Число нарушений кредитных договоров]-$AA$23)/($AA$24-$AA$23)</f>
        <v>0.14285714285714285</v>
      </c>
      <c r="W735" s="3">
        <f>Таблица1[[#This Row],[Годовой доход]]/12</f>
        <v>88598.583333333328</v>
      </c>
      <c r="X735" s="3">
        <f>Таблица1[[#This Row],[Ежемесячный платеж]]/Таблица1[[#This Row],[Ежем доход]]</f>
        <v>8.9899744446628668E-2</v>
      </c>
      <c r="Y735" s="3"/>
      <c r="Z735" s="3"/>
      <c r="AA735" s="3"/>
      <c r="AB735" s="3"/>
    </row>
    <row r="736" spans="1:28" x14ac:dyDescent="0.2">
      <c r="A736">
        <v>609</v>
      </c>
      <c r="B736" t="s">
        <v>650</v>
      </c>
      <c r="C736" t="s">
        <v>18</v>
      </c>
      <c r="D736" t="s">
        <v>19</v>
      </c>
      <c r="E736" t="s">
        <v>47</v>
      </c>
      <c r="F736" t="s">
        <v>21</v>
      </c>
      <c r="G736" t="s">
        <v>67</v>
      </c>
      <c r="H736" s="1">
        <v>122870</v>
      </c>
      <c r="I736" s="3">
        <v>687</v>
      </c>
      <c r="J736" s="3">
        <v>2548432</v>
      </c>
      <c r="K736" s="3">
        <v>52667.62</v>
      </c>
      <c r="L736" s="2">
        <v>13.5</v>
      </c>
      <c r="M736" s="11">
        <v>50</v>
      </c>
      <c r="N736" s="3">
        <v>17</v>
      </c>
      <c r="O736" s="3">
        <v>363318</v>
      </c>
      <c r="P736" s="3">
        <v>585926</v>
      </c>
      <c r="Q736" s="10">
        <v>0</v>
      </c>
      <c r="R736" s="3">
        <f>(Таблица1[Размер кредита]-$AA$2)/$AA$3</f>
        <v>-1.0630751689969853</v>
      </c>
      <c r="S736" s="3">
        <f>(Таблица1[Кредитный рейтинг]-$AA$7)/($AA$8-$AA$7)</f>
        <v>0.91478029294274299</v>
      </c>
      <c r="T736" s="3">
        <f>(Таблица1[Срок с последнего нарушения кредитного договора (мес,)]-$AA$12)/($AA$13-$AA$12)</f>
        <v>0.56818181818181823</v>
      </c>
      <c r="U736" s="3">
        <f>(Таблица1[Количество кредитных карт]-$AA$18)/($AA$19-$AA$18)</f>
        <v>0.38095238095238093</v>
      </c>
      <c r="V736" s="3">
        <f>(Таблица1[Число нарушений кредитных договоров]-$AA$23)/($AA$24-$AA$23)</f>
        <v>0</v>
      </c>
      <c r="W736" s="3">
        <f>Таблица1[[#This Row],[Годовой доход]]/12</f>
        <v>212369.33333333334</v>
      </c>
      <c r="X736" s="3">
        <f>Таблица1[[#This Row],[Ежемесячный платеж]]/Таблица1[[#This Row],[Ежем доход]]</f>
        <v>0.24800011928903734</v>
      </c>
      <c r="Y736" s="3"/>
      <c r="Z736" s="3"/>
      <c r="AA736" s="3"/>
      <c r="AB736" s="3"/>
    </row>
    <row r="737" spans="1:28" x14ac:dyDescent="0.2">
      <c r="A737">
        <v>1531</v>
      </c>
      <c r="B737" s="4" t="s">
        <v>1570</v>
      </c>
      <c r="C737" t="s">
        <v>18</v>
      </c>
      <c r="D737" t="s">
        <v>19</v>
      </c>
      <c r="E737" t="s">
        <v>24</v>
      </c>
      <c r="F737" t="s">
        <v>33</v>
      </c>
      <c r="G737" t="s">
        <v>25</v>
      </c>
      <c r="H737" s="1">
        <v>352418</v>
      </c>
      <c r="I737" s="3">
        <v>745</v>
      </c>
      <c r="J737" s="3">
        <v>1512305</v>
      </c>
      <c r="K737" s="3">
        <v>8204.39</v>
      </c>
      <c r="L737" s="2">
        <v>25.9</v>
      </c>
      <c r="M737" s="11">
        <v>35.265240640000002</v>
      </c>
      <c r="N737" s="3">
        <v>9</v>
      </c>
      <c r="O737" s="3">
        <v>283708</v>
      </c>
      <c r="P737" s="3">
        <v>585574</v>
      </c>
      <c r="Q737" s="10">
        <v>0</v>
      </c>
      <c r="R737" s="3">
        <f>(Таблица1[Размер кредита]-$AA$2)/$AA$3</f>
        <v>0.24380607570592272</v>
      </c>
      <c r="S737" s="3">
        <f>(Таблица1[Кредитный рейтинг]-$AA$7)/($AA$8-$AA$7)</f>
        <v>0.99201065246338216</v>
      </c>
      <c r="T737" s="3">
        <f>(Таблица1[Срок с последнего нарушения кредитного договора (мес,)]-$AA$12)/($AA$13-$AA$12)</f>
        <v>0.40074137090909095</v>
      </c>
      <c r="U737" s="3">
        <f>(Таблица1[Количество кредитных карт]-$AA$18)/($AA$19-$AA$18)</f>
        <v>0.19047619047619047</v>
      </c>
      <c r="V737" s="3">
        <f>(Таблица1[Число нарушений кредитных договоров]-$AA$23)/($AA$24-$AA$23)</f>
        <v>0</v>
      </c>
      <c r="W737" s="3">
        <f>Таблица1[[#This Row],[Годовой доход]]/12</f>
        <v>126025.41666666667</v>
      </c>
      <c r="X737" s="3">
        <f>Таблица1[[#This Row],[Ежемесячный платеж]]/Таблица1[[#This Row],[Ежем доход]]</f>
        <v>6.5101074188077132E-2</v>
      </c>
      <c r="Y737" s="3"/>
      <c r="Z737" s="3"/>
      <c r="AA737" s="3"/>
      <c r="AB737" s="3"/>
    </row>
    <row r="738" spans="1:28" x14ac:dyDescent="0.2">
      <c r="A738">
        <v>1828</v>
      </c>
      <c r="B738" t="s">
        <v>1866</v>
      </c>
      <c r="C738" t="s">
        <v>18</v>
      </c>
      <c r="D738" t="s">
        <v>19</v>
      </c>
      <c r="E738" t="s">
        <v>24</v>
      </c>
      <c r="F738" t="s">
        <v>21</v>
      </c>
      <c r="G738" t="s">
        <v>25</v>
      </c>
      <c r="H738" s="1">
        <v>448624</v>
      </c>
      <c r="I738" s="3">
        <v>0</v>
      </c>
      <c r="J738" s="3">
        <v>1168044</v>
      </c>
      <c r="K738" s="3">
        <v>19010.830000000002</v>
      </c>
      <c r="L738" s="2">
        <v>21.4</v>
      </c>
      <c r="M738" s="11">
        <v>35.265240640000002</v>
      </c>
      <c r="N738" s="3">
        <v>8</v>
      </c>
      <c r="O738" s="3">
        <v>389348</v>
      </c>
      <c r="P738" s="3">
        <v>585464</v>
      </c>
      <c r="Q738" s="10">
        <v>0</v>
      </c>
      <c r="R738" s="3">
        <f>(Таблица1[Размер кредита]-$AA$2)/$AA$3</f>
        <v>0.7915338582520044</v>
      </c>
      <c r="S738" s="3">
        <f>(Таблица1[Кредитный рейтинг]-$AA$7)/($AA$8-$AA$7)</f>
        <v>0</v>
      </c>
      <c r="T738" s="3">
        <f>(Таблица1[Срок с последнего нарушения кредитного договора (мес,)]-$AA$12)/($AA$13-$AA$12)</f>
        <v>0.40074137090909095</v>
      </c>
      <c r="U738" s="3">
        <f>(Таблица1[Количество кредитных карт]-$AA$18)/($AA$19-$AA$18)</f>
        <v>0.16666666666666666</v>
      </c>
      <c r="V738" s="3">
        <f>(Таблица1[Число нарушений кредитных договоров]-$AA$23)/($AA$24-$AA$23)</f>
        <v>0</v>
      </c>
      <c r="W738" s="3">
        <f>Таблица1[[#This Row],[Годовой доход]]/12</f>
        <v>97337</v>
      </c>
      <c r="X738" s="3">
        <f>Таблица1[[#This Row],[Ежемесячный платеж]]/Таблица1[[#This Row],[Ежем доход]]</f>
        <v>0.19530938902986533</v>
      </c>
      <c r="Y738" s="3"/>
      <c r="Z738" s="3"/>
      <c r="AA738" s="3"/>
      <c r="AB738" s="3"/>
    </row>
    <row r="739" spans="1:28" x14ac:dyDescent="0.2">
      <c r="A739">
        <v>1409</v>
      </c>
      <c r="B739" t="s">
        <v>1448</v>
      </c>
      <c r="C739" t="s">
        <v>18</v>
      </c>
      <c r="D739" t="s">
        <v>19</v>
      </c>
      <c r="E739" t="s">
        <v>63</v>
      </c>
      <c r="F739" t="s">
        <v>27</v>
      </c>
      <c r="G739" t="s">
        <v>25</v>
      </c>
      <c r="H739" s="1">
        <v>120164</v>
      </c>
      <c r="I739" s="3">
        <v>737</v>
      </c>
      <c r="J739" s="3">
        <v>741228</v>
      </c>
      <c r="K739" s="3">
        <v>7288.59</v>
      </c>
      <c r="L739" s="2">
        <v>11.9</v>
      </c>
      <c r="M739" s="11">
        <v>35.265240640000002</v>
      </c>
      <c r="N739" s="3">
        <v>19</v>
      </c>
      <c r="O739" s="3">
        <v>196213</v>
      </c>
      <c r="P739" s="3">
        <v>584078</v>
      </c>
      <c r="Q739" s="10">
        <v>0</v>
      </c>
      <c r="R739" s="3">
        <f>(Таблица1[Размер кредита]-$AA$2)/$AA$3</f>
        <v>-1.07848118712028</v>
      </c>
      <c r="S739" s="3">
        <f>(Таблица1[Кредитный рейтинг]-$AA$7)/($AA$8-$AA$7)</f>
        <v>0.98135818908122507</v>
      </c>
      <c r="T739" s="3">
        <f>(Таблица1[Срок с последнего нарушения кредитного договора (мес,)]-$AA$12)/($AA$13-$AA$12)</f>
        <v>0.40074137090909095</v>
      </c>
      <c r="U739" s="3">
        <f>(Таблица1[Количество кредитных карт]-$AA$18)/($AA$19-$AA$18)</f>
        <v>0.42857142857142855</v>
      </c>
      <c r="V739" s="3">
        <f>(Таблица1[Число нарушений кредитных договоров]-$AA$23)/($AA$24-$AA$23)</f>
        <v>0</v>
      </c>
      <c r="W739" s="3">
        <f>Таблица1[[#This Row],[Годовой доход]]/12</f>
        <v>61769</v>
      </c>
      <c r="X739" s="3">
        <f>Таблица1[[#This Row],[Ежемесячный платеж]]/Таблица1[[#This Row],[Ежем доход]]</f>
        <v>0.11799753921870194</v>
      </c>
      <c r="Y739" s="3"/>
      <c r="Z739" s="3"/>
      <c r="AA739" s="3"/>
      <c r="AB739" s="3"/>
    </row>
    <row r="740" spans="1:28" x14ac:dyDescent="0.2">
      <c r="A740">
        <v>1312</v>
      </c>
      <c r="B740" t="s">
        <v>1351</v>
      </c>
      <c r="C740" t="s">
        <v>18</v>
      </c>
      <c r="D740" t="s">
        <v>19</v>
      </c>
      <c r="E740" t="s">
        <v>37</v>
      </c>
      <c r="F740" t="s">
        <v>21</v>
      </c>
      <c r="G740" t="s">
        <v>25</v>
      </c>
      <c r="H740" s="1">
        <v>266860</v>
      </c>
      <c r="I740" s="3">
        <v>0</v>
      </c>
      <c r="J740" s="3">
        <v>1168044</v>
      </c>
      <c r="K740" s="3">
        <v>29336</v>
      </c>
      <c r="L740" s="2">
        <v>10</v>
      </c>
      <c r="M740" s="11">
        <v>17</v>
      </c>
      <c r="N740" s="3">
        <v>21</v>
      </c>
      <c r="O740" s="3">
        <v>119966</v>
      </c>
      <c r="P740" s="3">
        <v>583682</v>
      </c>
      <c r="Q740" s="10">
        <v>0</v>
      </c>
      <c r="R740" s="3">
        <f>(Таблица1[Размер кредита]-$AA$2)/$AA$3</f>
        <v>-0.24329965178589338</v>
      </c>
      <c r="S740" s="3">
        <f>(Таблица1[Кредитный рейтинг]-$AA$7)/($AA$8-$AA$7)</f>
        <v>0</v>
      </c>
      <c r="T740" s="3">
        <f>(Таблица1[Срок с последнего нарушения кредитного договора (мес,)]-$AA$12)/($AA$13-$AA$12)</f>
        <v>0.19318181818181818</v>
      </c>
      <c r="U740" s="3">
        <f>(Таблица1[Количество кредитных карт]-$AA$18)/($AA$19-$AA$18)</f>
        <v>0.47619047619047616</v>
      </c>
      <c r="V740" s="3">
        <f>(Таблица1[Число нарушений кредитных договоров]-$AA$23)/($AA$24-$AA$23)</f>
        <v>0</v>
      </c>
      <c r="W740" s="3">
        <f>Таблица1[[#This Row],[Годовой доход]]/12</f>
        <v>97337</v>
      </c>
      <c r="X740" s="3">
        <f>Таблица1[[#This Row],[Ежемесячный платеж]]/Таблица1[[#This Row],[Ежем доход]]</f>
        <v>0.30138590669529575</v>
      </c>
      <c r="Y740" s="3"/>
      <c r="Z740" s="3"/>
      <c r="AA740" s="3"/>
      <c r="AB740" s="3"/>
    </row>
    <row r="741" spans="1:28" x14ac:dyDescent="0.2">
      <c r="A741">
        <v>1773</v>
      </c>
      <c r="B741" t="s">
        <v>1811</v>
      </c>
      <c r="C741" t="s">
        <v>18</v>
      </c>
      <c r="D741" t="s">
        <v>19</v>
      </c>
      <c r="E741" t="s">
        <v>41</v>
      </c>
      <c r="F741" t="s">
        <v>33</v>
      </c>
      <c r="G741" t="s">
        <v>25</v>
      </c>
      <c r="H741" s="1">
        <v>80102</v>
      </c>
      <c r="I741" s="3">
        <v>747</v>
      </c>
      <c r="J741" s="3">
        <v>1479530</v>
      </c>
      <c r="K741" s="3">
        <v>12452.6</v>
      </c>
      <c r="L741" s="2">
        <v>15.2</v>
      </c>
      <c r="M741" s="11">
        <v>35.265240640000002</v>
      </c>
      <c r="N741" s="3">
        <v>7</v>
      </c>
      <c r="O741" s="3">
        <v>198778</v>
      </c>
      <c r="P741" s="3">
        <v>582692</v>
      </c>
      <c r="Q741" s="10">
        <v>0</v>
      </c>
      <c r="R741" s="3">
        <f>(Таблица1[Размер кредита]-$AA$2)/$AA$3</f>
        <v>-1.3065654066529613</v>
      </c>
      <c r="S741" s="3">
        <f>(Таблица1[Кредитный рейтинг]-$AA$7)/($AA$8-$AA$7)</f>
        <v>0.9946737683089214</v>
      </c>
      <c r="T741" s="3">
        <f>(Таблица1[Срок с последнего нарушения кредитного договора (мес,)]-$AA$12)/($AA$13-$AA$12)</f>
        <v>0.40074137090909095</v>
      </c>
      <c r="U741" s="3">
        <f>(Таблица1[Количество кредитных карт]-$AA$18)/($AA$19-$AA$18)</f>
        <v>0.14285714285714285</v>
      </c>
      <c r="V741" s="3">
        <f>(Таблица1[Число нарушений кредитных договоров]-$AA$23)/($AA$24-$AA$23)</f>
        <v>0</v>
      </c>
      <c r="W741" s="3">
        <f>Таблица1[[#This Row],[Годовой доход]]/12</f>
        <v>123294.16666666667</v>
      </c>
      <c r="X741" s="3">
        <f>Таблица1[[#This Row],[Ежемесячный платеж]]/Таблица1[[#This Row],[Ежем доход]]</f>
        <v>0.10099910106587903</v>
      </c>
      <c r="Y741" s="3"/>
      <c r="Z741" s="3"/>
      <c r="AA741" s="3"/>
      <c r="AB741" s="3"/>
    </row>
    <row r="742" spans="1:28" x14ac:dyDescent="0.2">
      <c r="A742">
        <v>350</v>
      </c>
      <c r="B742" t="s">
        <v>392</v>
      </c>
      <c r="C742" t="s">
        <v>18</v>
      </c>
      <c r="D742" t="s">
        <v>19</v>
      </c>
      <c r="E742" t="s">
        <v>37</v>
      </c>
      <c r="F742" t="s">
        <v>33</v>
      </c>
      <c r="G742" t="s">
        <v>25</v>
      </c>
      <c r="H742" s="1">
        <v>316514</v>
      </c>
      <c r="I742" s="3">
        <v>0</v>
      </c>
      <c r="J742" s="3">
        <v>1168044</v>
      </c>
      <c r="K742" s="3">
        <v>12437.59</v>
      </c>
      <c r="L742" s="2">
        <v>16.899999999999999</v>
      </c>
      <c r="M742" s="11">
        <v>35.265240640000002</v>
      </c>
      <c r="N742" s="3">
        <v>13</v>
      </c>
      <c r="O742" s="3">
        <v>413060</v>
      </c>
      <c r="P742" s="3">
        <v>582560</v>
      </c>
      <c r="Q742" s="10">
        <v>0</v>
      </c>
      <c r="R742" s="3">
        <f>(Таблица1[Размер кредита]-$AA$2)/$AA$3</f>
        <v>3.9394518167572536E-2</v>
      </c>
      <c r="S742" s="3">
        <f>(Таблица1[Кредитный рейтинг]-$AA$7)/($AA$8-$AA$7)</f>
        <v>0</v>
      </c>
      <c r="T742" s="3">
        <f>(Таблица1[Срок с последнего нарушения кредитного договора (мес,)]-$AA$12)/($AA$13-$AA$12)</f>
        <v>0.40074137090909095</v>
      </c>
      <c r="U742" s="3">
        <f>(Таблица1[Количество кредитных карт]-$AA$18)/($AA$19-$AA$18)</f>
        <v>0.2857142857142857</v>
      </c>
      <c r="V742" s="3">
        <f>(Таблица1[Число нарушений кредитных договоров]-$AA$23)/($AA$24-$AA$23)</f>
        <v>0</v>
      </c>
      <c r="W742" s="3">
        <f>Таблица1[[#This Row],[Годовой доход]]/12</f>
        <v>97337</v>
      </c>
      <c r="X742" s="3">
        <f>Таблица1[[#This Row],[Ежемесячный платеж]]/Таблица1[[#This Row],[Ежем доход]]</f>
        <v>0.12777864532500488</v>
      </c>
      <c r="Y742" s="3"/>
      <c r="Z742" s="3"/>
      <c r="AA742" s="3"/>
      <c r="AB742" s="3"/>
    </row>
    <row r="743" spans="1:28" x14ac:dyDescent="0.2">
      <c r="A743">
        <v>1596</v>
      </c>
      <c r="B743" t="s">
        <v>1635</v>
      </c>
      <c r="C743" t="s">
        <v>35</v>
      </c>
      <c r="D743" t="s">
        <v>29</v>
      </c>
      <c r="E743" t="s">
        <v>37</v>
      </c>
      <c r="F743" t="s">
        <v>21</v>
      </c>
      <c r="G743" t="s">
        <v>25</v>
      </c>
      <c r="H743" s="1">
        <v>239360</v>
      </c>
      <c r="I743" s="3">
        <v>730</v>
      </c>
      <c r="J743" s="3">
        <v>563787</v>
      </c>
      <c r="K743" s="3">
        <v>9819.2000000000007</v>
      </c>
      <c r="L743" s="2">
        <v>9</v>
      </c>
      <c r="M743" s="11">
        <v>35.265240640000002</v>
      </c>
      <c r="N743" s="3">
        <v>23</v>
      </c>
      <c r="O743" s="3">
        <v>145578</v>
      </c>
      <c r="P743" s="3">
        <v>581218</v>
      </c>
      <c r="Q743" s="10">
        <v>0</v>
      </c>
      <c r="R743" s="3">
        <f>(Таблица1[Размер кредита]-$AA$2)/$AA$3</f>
        <v>-0.39986487661612485</v>
      </c>
      <c r="S743" s="3">
        <f>(Таблица1[Кредитный рейтинг]-$AA$7)/($AA$8-$AA$7)</f>
        <v>0.9720372836218375</v>
      </c>
      <c r="T743" s="3">
        <f>(Таблица1[Срок с последнего нарушения кредитного договора (мес,)]-$AA$12)/($AA$13-$AA$12)</f>
        <v>0.40074137090909095</v>
      </c>
      <c r="U743" s="3">
        <f>(Таблица1[Количество кредитных карт]-$AA$18)/($AA$19-$AA$18)</f>
        <v>0.52380952380952384</v>
      </c>
      <c r="V743" s="3">
        <f>(Таблица1[Число нарушений кредитных договоров]-$AA$23)/($AA$24-$AA$23)</f>
        <v>0</v>
      </c>
      <c r="W743" s="3">
        <f>Таблица1[[#This Row],[Годовой доход]]/12</f>
        <v>46982.25</v>
      </c>
      <c r="X743" s="3">
        <f>Таблица1[[#This Row],[Ежемесячный платеж]]/Таблица1[[#This Row],[Ежем доход]]</f>
        <v>0.20899807906177334</v>
      </c>
      <c r="Y743" s="3"/>
      <c r="Z743" s="3"/>
      <c r="AA743" s="3"/>
      <c r="AB743" s="3"/>
    </row>
    <row r="744" spans="1:28" x14ac:dyDescent="0.2">
      <c r="A744">
        <v>577</v>
      </c>
      <c r="B744" t="s">
        <v>618</v>
      </c>
      <c r="C744" t="s">
        <v>18</v>
      </c>
      <c r="D744" t="s">
        <v>29</v>
      </c>
      <c r="E744" t="s">
        <v>24</v>
      </c>
      <c r="F744" t="s">
        <v>21</v>
      </c>
      <c r="G744" t="s">
        <v>25</v>
      </c>
      <c r="H744" s="1">
        <v>309594.52439999999</v>
      </c>
      <c r="I744" s="3">
        <v>727</v>
      </c>
      <c r="J744" s="3">
        <v>1857060</v>
      </c>
      <c r="K744" s="3">
        <v>33427.08</v>
      </c>
      <c r="L744" s="2">
        <v>15.3</v>
      </c>
      <c r="M744" s="11">
        <v>35.265240640000002</v>
      </c>
      <c r="N744" s="3">
        <v>13</v>
      </c>
      <c r="O744" s="3">
        <v>443954</v>
      </c>
      <c r="P744" s="3">
        <v>580844</v>
      </c>
      <c r="Q744" s="10">
        <v>0</v>
      </c>
      <c r="R744" s="3">
        <f>(Таблица1[Размер кредита]-$AA$2)/$AA$3</f>
        <v>-1.2411115481956205E-10</v>
      </c>
      <c r="S744" s="3">
        <f>(Таблица1[Кредитный рейтинг]-$AA$7)/($AA$8-$AA$7)</f>
        <v>0.96804260985352863</v>
      </c>
      <c r="T744" s="3">
        <f>(Таблица1[Срок с последнего нарушения кредитного договора (мес,)]-$AA$12)/($AA$13-$AA$12)</f>
        <v>0.40074137090909095</v>
      </c>
      <c r="U744" s="3">
        <f>(Таблица1[Количество кредитных карт]-$AA$18)/($AA$19-$AA$18)</f>
        <v>0.2857142857142857</v>
      </c>
      <c r="V744" s="3">
        <f>(Таблица1[Число нарушений кредитных договоров]-$AA$23)/($AA$24-$AA$23)</f>
        <v>0</v>
      </c>
      <c r="W744" s="3">
        <f>Таблица1[[#This Row],[Годовой доход]]/12</f>
        <v>154755</v>
      </c>
      <c r="X744" s="3">
        <f>Таблица1[[#This Row],[Ежемесячный платеж]]/Таблица1[[#This Row],[Ежем доход]]</f>
        <v>0.216</v>
      </c>
      <c r="Y744" s="3"/>
      <c r="Z744" s="3"/>
      <c r="AA744" s="3"/>
      <c r="AB744" s="3"/>
    </row>
    <row r="745" spans="1:28" x14ac:dyDescent="0.2">
      <c r="A745">
        <v>1506</v>
      </c>
      <c r="B745" t="s">
        <v>1545</v>
      </c>
      <c r="C745" t="s">
        <v>18</v>
      </c>
      <c r="D745" t="s">
        <v>19</v>
      </c>
      <c r="E745" t="s">
        <v>41</v>
      </c>
      <c r="F745" t="s">
        <v>33</v>
      </c>
      <c r="G745" t="s">
        <v>25</v>
      </c>
      <c r="H745" s="1">
        <v>267586</v>
      </c>
      <c r="I745" s="3">
        <v>722</v>
      </c>
      <c r="J745" s="3">
        <v>1315237</v>
      </c>
      <c r="K745" s="3">
        <v>25318.26</v>
      </c>
      <c r="L745" s="2">
        <v>13.9</v>
      </c>
      <c r="M745" s="11">
        <v>35.265240640000002</v>
      </c>
      <c r="N745" s="3">
        <v>7</v>
      </c>
      <c r="O745" s="3">
        <v>458793</v>
      </c>
      <c r="P745" s="3">
        <v>578688</v>
      </c>
      <c r="Q745" s="10">
        <v>0</v>
      </c>
      <c r="R745" s="3">
        <f>(Таблица1[Размер кредита]-$AA$2)/$AA$3</f>
        <v>-0.23916632985037528</v>
      </c>
      <c r="S745" s="3">
        <f>(Таблица1[Кредитный рейтинг]-$AA$7)/($AA$8-$AA$7)</f>
        <v>0.96138482023968042</v>
      </c>
      <c r="T745" s="3">
        <f>(Таблица1[Срок с последнего нарушения кредитного договора (мес,)]-$AA$12)/($AA$13-$AA$12)</f>
        <v>0.40074137090909095</v>
      </c>
      <c r="U745" s="3">
        <f>(Таблица1[Количество кредитных карт]-$AA$18)/($AA$19-$AA$18)</f>
        <v>0.14285714285714285</v>
      </c>
      <c r="V745" s="3">
        <f>(Таблица1[Число нарушений кредитных договоров]-$AA$23)/($AA$24-$AA$23)</f>
        <v>0</v>
      </c>
      <c r="W745" s="3">
        <f>Таблица1[[#This Row],[Годовой доход]]/12</f>
        <v>109603.08333333333</v>
      </c>
      <c r="X745" s="3">
        <f>Таблица1[[#This Row],[Ежемесячный платеж]]/Таблица1[[#This Row],[Ежем доход]]</f>
        <v>0.23099952327983472</v>
      </c>
      <c r="Y745" s="3"/>
      <c r="Z745" s="3"/>
      <c r="AA745" s="3"/>
      <c r="AB745" s="3"/>
    </row>
    <row r="746" spans="1:28" x14ac:dyDescent="0.2">
      <c r="A746">
        <v>268</v>
      </c>
      <c r="B746" t="s">
        <v>310</v>
      </c>
      <c r="C746" t="s">
        <v>18</v>
      </c>
      <c r="D746" t="s">
        <v>19</v>
      </c>
      <c r="E746" t="s">
        <v>24</v>
      </c>
      <c r="F746" t="s">
        <v>21</v>
      </c>
      <c r="G746" t="s">
        <v>25</v>
      </c>
      <c r="H746" s="1">
        <v>178046</v>
      </c>
      <c r="I746" s="3">
        <v>716</v>
      </c>
      <c r="J746" s="3">
        <v>2815781</v>
      </c>
      <c r="K746" s="3">
        <v>18537.349999999999</v>
      </c>
      <c r="L746" s="2">
        <v>22.5</v>
      </c>
      <c r="M746" s="11">
        <v>35.265240640000002</v>
      </c>
      <c r="N746" s="3">
        <v>9</v>
      </c>
      <c r="O746" s="3">
        <v>486248</v>
      </c>
      <c r="P746" s="3">
        <v>578666</v>
      </c>
      <c r="Q746" s="10">
        <v>0</v>
      </c>
      <c r="R746" s="3">
        <f>(Таблица1[Размер кредита]-$AA$2)/$AA$3</f>
        <v>-0.74894270189760892</v>
      </c>
      <c r="S746" s="3">
        <f>(Таблица1[Кредитный рейтинг]-$AA$7)/($AA$8-$AA$7)</f>
        <v>0.95339547270306257</v>
      </c>
      <c r="T746" s="3">
        <f>(Таблица1[Срок с последнего нарушения кредитного договора (мес,)]-$AA$12)/($AA$13-$AA$12)</f>
        <v>0.40074137090909095</v>
      </c>
      <c r="U746" s="3">
        <f>(Таблица1[Количество кредитных карт]-$AA$18)/($AA$19-$AA$18)</f>
        <v>0.19047619047619047</v>
      </c>
      <c r="V746" s="3">
        <f>(Таблица1[Число нарушений кредитных договоров]-$AA$23)/($AA$24-$AA$23)</f>
        <v>0</v>
      </c>
      <c r="W746" s="3">
        <f>Таблица1[[#This Row],[Годовой доход]]/12</f>
        <v>234648.41666666666</v>
      </c>
      <c r="X746" s="3">
        <f>Таблица1[[#This Row],[Ежемесячный платеж]]/Таблица1[[#This Row],[Ежем доход]]</f>
        <v>7.9000533067024745E-2</v>
      </c>
      <c r="Y746" s="3"/>
      <c r="Z746" s="3"/>
      <c r="AA746" s="3"/>
      <c r="AB746" s="3"/>
    </row>
    <row r="747" spans="1:28" x14ac:dyDescent="0.2">
      <c r="A747">
        <v>1191</v>
      </c>
      <c r="B747" t="s">
        <v>1230</v>
      </c>
      <c r="C747" t="s">
        <v>18</v>
      </c>
      <c r="D747" t="s">
        <v>19</v>
      </c>
      <c r="E747" t="s">
        <v>24</v>
      </c>
      <c r="F747" t="s">
        <v>21</v>
      </c>
      <c r="G747" t="s">
        <v>25</v>
      </c>
      <c r="H747" s="1">
        <v>309594.52439999999</v>
      </c>
      <c r="I747" s="3">
        <v>741</v>
      </c>
      <c r="J747" s="3">
        <v>1874920</v>
      </c>
      <c r="K747" s="3">
        <v>42341.88</v>
      </c>
      <c r="L747" s="2">
        <v>13.1</v>
      </c>
      <c r="M747" s="11">
        <v>27</v>
      </c>
      <c r="N747" s="3">
        <v>12</v>
      </c>
      <c r="O747" s="3">
        <v>429837</v>
      </c>
      <c r="P747" s="3">
        <v>577390</v>
      </c>
      <c r="Q747" s="10">
        <v>0</v>
      </c>
      <c r="R747" s="3">
        <f>(Таблица1[Размер кредита]-$AA$2)/$AA$3</f>
        <v>-1.2411115481956205E-10</v>
      </c>
      <c r="S747" s="3">
        <f>(Таблица1[Кредитный рейтинг]-$AA$7)/($AA$8-$AA$7)</f>
        <v>0.98668442077230356</v>
      </c>
      <c r="T747" s="3">
        <f>(Таблица1[Срок с последнего нарушения кредитного договора (мес,)]-$AA$12)/($AA$13-$AA$12)</f>
        <v>0.30681818181818182</v>
      </c>
      <c r="U747" s="3">
        <f>(Таблица1[Количество кредитных карт]-$AA$18)/($AA$19-$AA$18)</f>
        <v>0.26190476190476192</v>
      </c>
      <c r="V747" s="3">
        <f>(Таблица1[Число нарушений кредитных договоров]-$AA$23)/($AA$24-$AA$23)</f>
        <v>0</v>
      </c>
      <c r="W747" s="3">
        <f>Таблица1[[#This Row],[Годовой доход]]/12</f>
        <v>156243.33333333334</v>
      </c>
      <c r="X747" s="3">
        <f>Таблица1[[#This Row],[Ежемесячный платеж]]/Таблица1[[#This Row],[Ежем доход]]</f>
        <v>0.27099959464937168</v>
      </c>
      <c r="Y747" s="3"/>
      <c r="Z747" s="3"/>
      <c r="AA747" s="3"/>
      <c r="AB747" s="3"/>
    </row>
    <row r="748" spans="1:28" x14ac:dyDescent="0.2">
      <c r="A748">
        <v>1879</v>
      </c>
      <c r="B748" t="s">
        <v>1915</v>
      </c>
      <c r="C748" t="s">
        <v>18</v>
      </c>
      <c r="D748" t="s">
        <v>19</v>
      </c>
      <c r="E748" t="s">
        <v>24</v>
      </c>
      <c r="F748" t="s">
        <v>21</v>
      </c>
      <c r="G748" t="s">
        <v>25</v>
      </c>
      <c r="H748" s="1">
        <v>309594.52439999999</v>
      </c>
      <c r="I748" s="3">
        <v>730</v>
      </c>
      <c r="J748" s="3">
        <v>965770</v>
      </c>
      <c r="K748" s="3">
        <v>23822.2</v>
      </c>
      <c r="L748" s="2">
        <v>20.9</v>
      </c>
      <c r="M748" s="11">
        <v>35.265240640000002</v>
      </c>
      <c r="N748" s="3">
        <v>15</v>
      </c>
      <c r="O748" s="3">
        <v>462555</v>
      </c>
      <c r="P748" s="3">
        <v>577126</v>
      </c>
      <c r="Q748" s="10">
        <v>0</v>
      </c>
      <c r="R748" s="3">
        <f>(Таблица1[Размер кредита]-$AA$2)/$AA$3</f>
        <v>-1.2411115481956205E-10</v>
      </c>
      <c r="S748" s="3">
        <f>(Таблица1[Кредитный рейтинг]-$AA$7)/($AA$8-$AA$7)</f>
        <v>0.9720372836218375</v>
      </c>
      <c r="T748" s="3">
        <f>(Таблица1[Срок с последнего нарушения кредитного договора (мес,)]-$AA$12)/($AA$13-$AA$12)</f>
        <v>0.40074137090909095</v>
      </c>
      <c r="U748" s="3">
        <f>(Таблица1[Количество кредитных карт]-$AA$18)/($AA$19-$AA$18)</f>
        <v>0.33333333333333331</v>
      </c>
      <c r="V748" s="3">
        <f>(Таблица1[Число нарушений кредитных договоров]-$AA$23)/($AA$24-$AA$23)</f>
        <v>0</v>
      </c>
      <c r="W748" s="3">
        <f>Таблица1[[#This Row],[Годовой доход]]/12</f>
        <v>80480.833333333328</v>
      </c>
      <c r="X748" s="3">
        <f>Таблица1[[#This Row],[Ежемесячный платеж]]/Таблица1[[#This Row],[Ежем доход]]</f>
        <v>0.29599842612630339</v>
      </c>
      <c r="Y748" s="3"/>
      <c r="Z748" s="3"/>
      <c r="AA748" s="3"/>
      <c r="AB748" s="3"/>
    </row>
    <row r="749" spans="1:28" x14ac:dyDescent="0.2">
      <c r="A749">
        <v>1359</v>
      </c>
      <c r="B749" t="s">
        <v>1398</v>
      </c>
      <c r="C749" t="s">
        <v>35</v>
      </c>
      <c r="D749" t="s">
        <v>29</v>
      </c>
      <c r="E749" t="s">
        <v>37</v>
      </c>
      <c r="F749" t="s">
        <v>27</v>
      </c>
      <c r="G749" t="s">
        <v>67</v>
      </c>
      <c r="H749" s="1">
        <v>348524</v>
      </c>
      <c r="I749" s="3">
        <v>0</v>
      </c>
      <c r="J749" s="3">
        <v>1168044</v>
      </c>
      <c r="K749" s="3">
        <v>16963.2</v>
      </c>
      <c r="L749" s="2">
        <v>15.9</v>
      </c>
      <c r="M749" s="11">
        <v>35.265240640000002</v>
      </c>
      <c r="N749" s="3">
        <v>12</v>
      </c>
      <c r="O749" s="3">
        <v>328301</v>
      </c>
      <c r="P749" s="3">
        <v>576818</v>
      </c>
      <c r="Q749" s="10">
        <v>0</v>
      </c>
      <c r="R749" s="3">
        <f>(Таблица1[Размер кредита]-$AA$2)/$AA$3</f>
        <v>0.22163643986996195</v>
      </c>
      <c r="S749" s="3">
        <f>(Таблица1[Кредитный рейтинг]-$AA$7)/($AA$8-$AA$7)</f>
        <v>0</v>
      </c>
      <c r="T749" s="3">
        <f>(Таблица1[Срок с последнего нарушения кредитного договора (мес,)]-$AA$12)/($AA$13-$AA$12)</f>
        <v>0.40074137090909095</v>
      </c>
      <c r="U749" s="3">
        <f>(Таблица1[Количество кредитных карт]-$AA$18)/($AA$19-$AA$18)</f>
        <v>0.26190476190476192</v>
      </c>
      <c r="V749" s="3">
        <f>(Таблица1[Число нарушений кредитных договоров]-$AA$23)/($AA$24-$AA$23)</f>
        <v>0</v>
      </c>
      <c r="W749" s="3">
        <f>Таблица1[[#This Row],[Годовой доход]]/12</f>
        <v>97337</v>
      </c>
      <c r="X749" s="3">
        <f>Таблица1[[#This Row],[Ежемесячный платеж]]/Таблица1[[#This Row],[Ежем доход]]</f>
        <v>0.17427288698028501</v>
      </c>
      <c r="Y749" s="3"/>
      <c r="Z749" s="3"/>
      <c r="AA749" s="3"/>
      <c r="AB749" s="3"/>
    </row>
    <row r="750" spans="1:28" x14ac:dyDescent="0.2">
      <c r="A750">
        <v>1328</v>
      </c>
      <c r="B750" t="s">
        <v>1367</v>
      </c>
      <c r="C750" t="s">
        <v>18</v>
      </c>
      <c r="D750" t="s">
        <v>19</v>
      </c>
      <c r="E750" t="s">
        <v>69</v>
      </c>
      <c r="F750" t="s">
        <v>21</v>
      </c>
      <c r="G750" t="s">
        <v>25</v>
      </c>
      <c r="H750" s="1">
        <v>269478</v>
      </c>
      <c r="I750" s="3">
        <v>715</v>
      </c>
      <c r="J750" s="3">
        <v>930905</v>
      </c>
      <c r="K750" s="3">
        <v>26143.05</v>
      </c>
      <c r="L750" s="2">
        <v>20.8</v>
      </c>
      <c r="M750" s="11">
        <v>76</v>
      </c>
      <c r="N750" s="3">
        <v>16</v>
      </c>
      <c r="O750" s="3">
        <v>265772</v>
      </c>
      <c r="P750" s="3">
        <v>575212</v>
      </c>
      <c r="Q750" s="10">
        <v>1</v>
      </c>
      <c r="R750" s="3">
        <f>(Таблица1[Размер кредита]-$AA$2)/$AA$3</f>
        <v>-0.22839464238205534</v>
      </c>
      <c r="S750" s="3">
        <f>(Таблица1[Кредитный рейтинг]-$AA$7)/($AA$8-$AA$7)</f>
        <v>0.95206391478029295</v>
      </c>
      <c r="T750" s="3">
        <f>(Таблица1[Срок с последнего нарушения кредитного договора (мес,)]-$AA$12)/($AA$13-$AA$12)</f>
        <v>0.86363636363636365</v>
      </c>
      <c r="U750" s="3">
        <f>(Таблица1[Количество кредитных карт]-$AA$18)/($AA$19-$AA$18)</f>
        <v>0.35714285714285715</v>
      </c>
      <c r="V750" s="3">
        <f>(Таблица1[Число нарушений кредитных договоров]-$AA$23)/($AA$24-$AA$23)</f>
        <v>0.14285714285714285</v>
      </c>
      <c r="W750" s="3">
        <f>Таблица1[[#This Row],[Годовой доход]]/12</f>
        <v>77575.416666666672</v>
      </c>
      <c r="X750" s="3">
        <f>Таблица1[[#This Row],[Ежемесячный платеж]]/Таблица1[[#This Row],[Ежем доход]]</f>
        <v>0.33700173487090518</v>
      </c>
      <c r="Y750" s="3"/>
      <c r="Z750" s="3"/>
      <c r="AA750" s="3"/>
      <c r="AB750" s="3"/>
    </row>
    <row r="751" spans="1:28" x14ac:dyDescent="0.2">
      <c r="A751">
        <v>1714</v>
      </c>
      <c r="B751" t="s">
        <v>1752</v>
      </c>
      <c r="C751" t="s">
        <v>35</v>
      </c>
      <c r="D751" t="s">
        <v>19</v>
      </c>
      <c r="E751" t="s">
        <v>37</v>
      </c>
      <c r="F751" t="s">
        <v>33</v>
      </c>
      <c r="G751" t="s">
        <v>25</v>
      </c>
      <c r="H751" s="1">
        <v>549890</v>
      </c>
      <c r="I751" s="3">
        <v>713</v>
      </c>
      <c r="J751" s="3">
        <v>1082791</v>
      </c>
      <c r="K751" s="3">
        <v>18226.89</v>
      </c>
      <c r="L751" s="2">
        <v>32.4</v>
      </c>
      <c r="M751" s="11">
        <v>5</v>
      </c>
      <c r="N751" s="3">
        <v>13</v>
      </c>
      <c r="O751" s="3">
        <v>173831</v>
      </c>
      <c r="P751" s="3">
        <v>575102</v>
      </c>
      <c r="Q751" s="10">
        <v>1</v>
      </c>
      <c r="R751" s="3">
        <f>(Таблица1[Размер кредита]-$AA$2)/$AA$3</f>
        <v>1.3680696421668488</v>
      </c>
      <c r="S751" s="3">
        <f>(Таблица1[Кредитный рейтинг]-$AA$7)/($AA$8-$AA$7)</f>
        <v>0.94940079893475371</v>
      </c>
      <c r="T751" s="3">
        <f>(Таблица1[Срок с последнего нарушения кредитного договора (мес,)]-$AA$12)/($AA$13-$AA$12)</f>
        <v>5.6818181818181816E-2</v>
      </c>
      <c r="U751" s="3">
        <f>(Таблица1[Количество кредитных карт]-$AA$18)/($AA$19-$AA$18)</f>
        <v>0.2857142857142857</v>
      </c>
      <c r="V751" s="3">
        <f>(Таблица1[Число нарушений кредитных договоров]-$AA$23)/($AA$24-$AA$23)</f>
        <v>0.14285714285714285</v>
      </c>
      <c r="W751" s="3">
        <f>Таблица1[[#This Row],[Годовой доход]]/12</f>
        <v>90232.583333333328</v>
      </c>
      <c r="X751" s="3">
        <f>Таблица1[[#This Row],[Ежемесячный платеж]]/Таблица1[[#This Row],[Ежем доход]]</f>
        <v>0.20199898225973434</v>
      </c>
      <c r="Y751" s="3"/>
      <c r="Z751" s="3"/>
      <c r="AA751" s="3"/>
      <c r="AB751" s="3"/>
    </row>
    <row r="752" spans="1:28" x14ac:dyDescent="0.2">
      <c r="A752">
        <v>1092</v>
      </c>
      <c r="B752" t="s">
        <v>1131</v>
      </c>
      <c r="C752" t="s">
        <v>18</v>
      </c>
      <c r="D752" t="s">
        <v>19</v>
      </c>
      <c r="E752" t="s">
        <v>41</v>
      </c>
      <c r="F752" t="s">
        <v>33</v>
      </c>
      <c r="G752" t="s">
        <v>67</v>
      </c>
      <c r="H752" s="1">
        <v>360404</v>
      </c>
      <c r="I752" s="3">
        <v>738</v>
      </c>
      <c r="J752" s="3">
        <v>875444</v>
      </c>
      <c r="K752" s="3">
        <v>14809.36</v>
      </c>
      <c r="L752" s="2">
        <v>10.1</v>
      </c>
      <c r="M752" s="11">
        <v>35.265240640000002</v>
      </c>
      <c r="N752" s="3">
        <v>10</v>
      </c>
      <c r="O752" s="3">
        <v>235277</v>
      </c>
      <c r="P752" s="3">
        <v>574750</v>
      </c>
      <c r="Q752" s="10">
        <v>0</v>
      </c>
      <c r="R752" s="3">
        <f>(Таблица1[Размер кредита]-$AA$2)/$AA$3</f>
        <v>0.28927261699662193</v>
      </c>
      <c r="S752" s="3">
        <f>(Таблица1[Кредитный рейтинг]-$AA$7)/($AA$8-$AA$7)</f>
        <v>0.9826897470039947</v>
      </c>
      <c r="T752" s="3">
        <f>(Таблица1[Срок с последнего нарушения кредитного договора (мес,)]-$AA$12)/($AA$13-$AA$12)</f>
        <v>0.40074137090909095</v>
      </c>
      <c r="U752" s="3">
        <f>(Таблица1[Количество кредитных карт]-$AA$18)/($AA$19-$AA$18)</f>
        <v>0.21428571428571427</v>
      </c>
      <c r="V752" s="3">
        <f>(Таблица1[Число нарушений кредитных договоров]-$AA$23)/($AA$24-$AA$23)</f>
        <v>0</v>
      </c>
      <c r="W752" s="3">
        <f>Таблица1[[#This Row],[Годовой доход]]/12</f>
        <v>72953.666666666672</v>
      </c>
      <c r="X752" s="3">
        <f>Таблица1[[#This Row],[Ежемесячный платеж]]/Таблица1[[#This Row],[Ежем доход]]</f>
        <v>0.20299678791561768</v>
      </c>
      <c r="Y752" s="3"/>
      <c r="Z752" s="3"/>
      <c r="AA752" s="3"/>
      <c r="AB752" s="3"/>
    </row>
    <row r="753" spans="1:28" x14ac:dyDescent="0.2">
      <c r="A753">
        <v>1459</v>
      </c>
      <c r="B753" t="s">
        <v>1498</v>
      </c>
      <c r="C753" t="s">
        <v>18</v>
      </c>
      <c r="D753" t="s">
        <v>29</v>
      </c>
      <c r="E753" t="s">
        <v>63</v>
      </c>
      <c r="F753" t="s">
        <v>21</v>
      </c>
      <c r="G753" t="s">
        <v>25</v>
      </c>
      <c r="H753" s="1">
        <v>434236</v>
      </c>
      <c r="I753" s="3">
        <v>728</v>
      </c>
      <c r="J753" s="3">
        <v>1828237</v>
      </c>
      <c r="K753" s="3">
        <v>19166.060000000001</v>
      </c>
      <c r="L753" s="2">
        <v>12.7</v>
      </c>
      <c r="M753" s="11">
        <v>35.265240640000002</v>
      </c>
      <c r="N753" s="3">
        <v>8</v>
      </c>
      <c r="O753" s="3">
        <v>356307</v>
      </c>
      <c r="P753" s="3">
        <v>574596</v>
      </c>
      <c r="Q753" s="10">
        <v>0</v>
      </c>
      <c r="R753" s="3">
        <f>(Таблица1[Размер кредита]-$AA$2)/$AA$3</f>
        <v>0.70961893262082731</v>
      </c>
      <c r="S753" s="3">
        <f>(Таблица1[Кредитный рейтинг]-$AA$7)/($AA$8-$AA$7)</f>
        <v>0.96937416777629826</v>
      </c>
      <c r="T753" s="3">
        <f>(Таблица1[Срок с последнего нарушения кредитного договора (мес,)]-$AA$12)/($AA$13-$AA$12)</f>
        <v>0.40074137090909095</v>
      </c>
      <c r="U753" s="3">
        <f>(Таблица1[Количество кредитных карт]-$AA$18)/($AA$19-$AA$18)</f>
        <v>0.16666666666666666</v>
      </c>
      <c r="V753" s="3">
        <f>(Таблица1[Число нарушений кредитных договоров]-$AA$23)/($AA$24-$AA$23)</f>
        <v>0</v>
      </c>
      <c r="W753" s="3">
        <f>Таблица1[[#This Row],[Годовой доход]]/12</f>
        <v>152353.08333333334</v>
      </c>
      <c r="X753" s="3">
        <f>Таблица1[[#This Row],[Ежемесячный платеж]]/Таблица1[[#This Row],[Ежем доход]]</f>
        <v>0.1258002764411835</v>
      </c>
      <c r="Y753" s="3"/>
      <c r="Z753" s="3"/>
      <c r="AA753" s="3"/>
      <c r="AB753" s="3"/>
    </row>
    <row r="754" spans="1:28" x14ac:dyDescent="0.2">
      <c r="A754">
        <v>1173</v>
      </c>
      <c r="B754" t="s">
        <v>1212</v>
      </c>
      <c r="C754" t="s">
        <v>35</v>
      </c>
      <c r="D754" t="s">
        <v>19</v>
      </c>
      <c r="E754" t="s">
        <v>24</v>
      </c>
      <c r="F754" t="s">
        <v>21</v>
      </c>
      <c r="G754" t="s">
        <v>67</v>
      </c>
      <c r="H754" s="1">
        <v>60962</v>
      </c>
      <c r="I754" s="3">
        <v>746</v>
      </c>
      <c r="J754" s="3">
        <v>285893</v>
      </c>
      <c r="K754" s="3">
        <v>5396.38</v>
      </c>
      <c r="L754" s="2">
        <v>10.4</v>
      </c>
      <c r="M754" s="11">
        <v>35.265240640000002</v>
      </c>
      <c r="N754" s="3">
        <v>5</v>
      </c>
      <c r="O754" s="3">
        <v>144818</v>
      </c>
      <c r="P754" s="3">
        <v>574222</v>
      </c>
      <c r="Q754" s="10">
        <v>0</v>
      </c>
      <c r="R754" s="3">
        <f>(Таблица1[Размер кредита]-$AA$2)/$AA$3</f>
        <v>-1.4155348031348023</v>
      </c>
      <c r="S754" s="3">
        <f>(Таблица1[Кредитный рейтинг]-$AA$7)/($AA$8-$AA$7)</f>
        <v>0.99334221038615178</v>
      </c>
      <c r="T754" s="3">
        <f>(Таблица1[Срок с последнего нарушения кредитного договора (мес,)]-$AA$12)/($AA$13-$AA$12)</f>
        <v>0.40074137090909095</v>
      </c>
      <c r="U754" s="3">
        <f>(Таблица1[Количество кредитных карт]-$AA$18)/($AA$19-$AA$18)</f>
        <v>9.5238095238095233E-2</v>
      </c>
      <c r="V754" s="3">
        <f>(Таблица1[Число нарушений кредитных договоров]-$AA$23)/($AA$24-$AA$23)</f>
        <v>0</v>
      </c>
      <c r="W754" s="3">
        <f>Таблица1[[#This Row],[Годовой доход]]/12</f>
        <v>23824.416666666668</v>
      </c>
      <c r="X754" s="3">
        <f>Таблица1[[#This Row],[Ежемесячный платеж]]/Таблица1[[#This Row],[Ежем доход]]</f>
        <v>0.22650628032165879</v>
      </c>
      <c r="Y754" s="3"/>
      <c r="Z754" s="3"/>
      <c r="AA754" s="3"/>
      <c r="AB754" s="3"/>
    </row>
    <row r="755" spans="1:28" x14ac:dyDescent="0.2">
      <c r="A755">
        <v>1696</v>
      </c>
      <c r="B755" t="s">
        <v>1734</v>
      </c>
      <c r="C755" t="s">
        <v>18</v>
      </c>
      <c r="D755" t="s">
        <v>19</v>
      </c>
      <c r="E755" t="s">
        <v>52</v>
      </c>
      <c r="F755" t="s">
        <v>21</v>
      </c>
      <c r="G755" t="s">
        <v>25</v>
      </c>
      <c r="H755" s="1">
        <v>224730</v>
      </c>
      <c r="I755" s="3">
        <v>747</v>
      </c>
      <c r="J755" s="3">
        <v>873392</v>
      </c>
      <c r="K755" s="3">
        <v>3879.42</v>
      </c>
      <c r="L755" s="2">
        <v>10.9</v>
      </c>
      <c r="M755" s="11">
        <v>35.265240640000002</v>
      </c>
      <c r="N755" s="3">
        <v>17</v>
      </c>
      <c r="O755" s="3">
        <v>116033</v>
      </c>
      <c r="P755" s="3">
        <v>574112</v>
      </c>
      <c r="Q755" s="10">
        <v>0</v>
      </c>
      <c r="R755" s="3">
        <f>(Таблица1[Размер кредита]-$AA$2)/$AA$3</f>
        <v>-0.48315757622580796</v>
      </c>
      <c r="S755" s="3">
        <f>(Таблица1[Кредитный рейтинг]-$AA$7)/($AA$8-$AA$7)</f>
        <v>0.9946737683089214</v>
      </c>
      <c r="T755" s="3">
        <f>(Таблица1[Срок с последнего нарушения кредитного договора (мес,)]-$AA$12)/($AA$13-$AA$12)</f>
        <v>0.40074137090909095</v>
      </c>
      <c r="U755" s="3">
        <f>(Таблица1[Количество кредитных карт]-$AA$18)/($AA$19-$AA$18)</f>
        <v>0.38095238095238093</v>
      </c>
      <c r="V755" s="3">
        <f>(Таблица1[Число нарушений кредитных договоров]-$AA$23)/($AA$24-$AA$23)</f>
        <v>0</v>
      </c>
      <c r="W755" s="3">
        <f>Таблица1[[#This Row],[Годовой доход]]/12</f>
        <v>72782.666666666672</v>
      </c>
      <c r="X755" s="3">
        <f>Таблица1[[#This Row],[Ежемесячный платеж]]/Таблица1[[#This Row],[Ежем доход]]</f>
        <v>5.3301427079707621E-2</v>
      </c>
      <c r="Y755" s="3"/>
      <c r="Z755" s="3"/>
      <c r="AA755" s="3"/>
      <c r="AB755" s="3"/>
    </row>
    <row r="756" spans="1:28" x14ac:dyDescent="0.2">
      <c r="A756">
        <v>1751</v>
      </c>
      <c r="B756" t="s">
        <v>1789</v>
      </c>
      <c r="C756" t="s">
        <v>18</v>
      </c>
      <c r="D756" t="s">
        <v>29</v>
      </c>
      <c r="E756" t="s">
        <v>47</v>
      </c>
      <c r="F756" t="s">
        <v>33</v>
      </c>
      <c r="G756" t="s">
        <v>25</v>
      </c>
      <c r="H756" s="1">
        <v>402336</v>
      </c>
      <c r="I756" s="3">
        <v>696</v>
      </c>
      <c r="J756" s="3">
        <v>1544320</v>
      </c>
      <c r="K756" s="3">
        <v>23035.98</v>
      </c>
      <c r="L756" s="2">
        <v>12.2</v>
      </c>
      <c r="M756" s="11">
        <v>35.265240640000002</v>
      </c>
      <c r="N756" s="3">
        <v>9</v>
      </c>
      <c r="O756" s="3">
        <v>324216</v>
      </c>
      <c r="P756" s="3">
        <v>574002</v>
      </c>
      <c r="Q756" s="10">
        <v>0</v>
      </c>
      <c r="R756" s="3">
        <f>(Таблица1[Размер кредита]-$AA$2)/$AA$3</f>
        <v>0.52800327181775886</v>
      </c>
      <c r="S756" s="3">
        <f>(Таблица1[Кредитный рейтинг]-$AA$7)/($AA$8-$AA$7)</f>
        <v>0.92676431424766981</v>
      </c>
      <c r="T756" s="3">
        <f>(Таблица1[Срок с последнего нарушения кредитного договора (мес,)]-$AA$12)/($AA$13-$AA$12)</f>
        <v>0.40074137090909095</v>
      </c>
      <c r="U756" s="3">
        <f>(Таблица1[Количество кредитных карт]-$AA$18)/($AA$19-$AA$18)</f>
        <v>0.19047619047619047</v>
      </c>
      <c r="V756" s="3">
        <f>(Таблица1[Число нарушений кредитных договоров]-$AA$23)/($AA$24-$AA$23)</f>
        <v>0</v>
      </c>
      <c r="W756" s="3">
        <f>Таблица1[[#This Row],[Годовой доход]]/12</f>
        <v>128693.33333333333</v>
      </c>
      <c r="X756" s="3">
        <f>Таблица1[[#This Row],[Ежемесячный платеж]]/Таблица1[[#This Row],[Ежем доход]]</f>
        <v>0.17899901574803151</v>
      </c>
      <c r="Y756" s="3"/>
      <c r="Z756" s="3"/>
      <c r="AA756" s="3"/>
      <c r="AB756" s="3"/>
    </row>
    <row r="757" spans="1:28" x14ac:dyDescent="0.2">
      <c r="A757">
        <v>1337</v>
      </c>
      <c r="B757" t="s">
        <v>1376</v>
      </c>
      <c r="C757" t="s">
        <v>18</v>
      </c>
      <c r="D757" t="s">
        <v>19</v>
      </c>
      <c r="E757" t="s">
        <v>37</v>
      </c>
      <c r="F757" t="s">
        <v>27</v>
      </c>
      <c r="G757" t="s">
        <v>25</v>
      </c>
      <c r="H757" s="1">
        <v>327008</v>
      </c>
      <c r="I757" s="3">
        <v>737</v>
      </c>
      <c r="J757" s="3">
        <v>941355</v>
      </c>
      <c r="K757" s="3">
        <v>3749.84</v>
      </c>
      <c r="L757" s="2">
        <v>5.7</v>
      </c>
      <c r="M757" s="11">
        <v>35.265240640000002</v>
      </c>
      <c r="N757" s="3">
        <v>10</v>
      </c>
      <c r="O757" s="3">
        <v>192223</v>
      </c>
      <c r="P757" s="3">
        <v>573650</v>
      </c>
      <c r="Q757" s="10">
        <v>0</v>
      </c>
      <c r="R757" s="3">
        <f>(Таблица1[Размер кредита]-$AA$2)/$AA$3</f>
        <v>9.9139807962788859E-2</v>
      </c>
      <c r="S757" s="3">
        <f>(Таблица1[Кредитный рейтинг]-$AA$7)/($AA$8-$AA$7)</f>
        <v>0.98135818908122507</v>
      </c>
      <c r="T757" s="3">
        <f>(Таблица1[Срок с последнего нарушения кредитного договора (мес,)]-$AA$12)/($AA$13-$AA$12)</f>
        <v>0.40074137090909095</v>
      </c>
      <c r="U757" s="3">
        <f>(Таблица1[Количество кредитных карт]-$AA$18)/($AA$19-$AA$18)</f>
        <v>0.21428571428571427</v>
      </c>
      <c r="V757" s="3">
        <f>(Таблица1[Число нарушений кредитных договоров]-$AA$23)/($AA$24-$AA$23)</f>
        <v>0</v>
      </c>
      <c r="W757" s="3">
        <f>Таблица1[[#This Row],[Годовой доход]]/12</f>
        <v>78446.25</v>
      </c>
      <c r="X757" s="3">
        <f>Таблица1[[#This Row],[Ежемесячный платеж]]/Таблица1[[#This Row],[Ежем доход]]</f>
        <v>4.7801392673327281E-2</v>
      </c>
      <c r="Y757" s="3"/>
      <c r="Z757" s="3"/>
      <c r="AA757" s="3"/>
      <c r="AB757" s="3"/>
    </row>
    <row r="758" spans="1:28" x14ac:dyDescent="0.2">
      <c r="A758">
        <v>1085</v>
      </c>
      <c r="B758" t="s">
        <v>1124</v>
      </c>
      <c r="C758" t="s">
        <v>35</v>
      </c>
      <c r="D758" t="s">
        <v>19</v>
      </c>
      <c r="E758" t="s">
        <v>63</v>
      </c>
      <c r="F758" t="s">
        <v>21</v>
      </c>
      <c r="G758" t="s">
        <v>25</v>
      </c>
      <c r="H758" s="1">
        <v>120472</v>
      </c>
      <c r="I758" s="3">
        <v>0</v>
      </c>
      <c r="J758" s="3">
        <v>1168044</v>
      </c>
      <c r="K758" s="3">
        <v>15783.49</v>
      </c>
      <c r="L758" s="2">
        <v>15.6</v>
      </c>
      <c r="M758" s="11">
        <v>35.265240640000002</v>
      </c>
      <c r="N758" s="3">
        <v>15</v>
      </c>
      <c r="O758" s="3">
        <v>208202</v>
      </c>
      <c r="P758" s="3">
        <v>572616</v>
      </c>
      <c r="Q758" s="10">
        <v>0</v>
      </c>
      <c r="R758" s="3">
        <f>(Таблица1[Размер кредита]-$AA$2)/$AA$3</f>
        <v>-1.0767276566021815</v>
      </c>
      <c r="S758" s="3">
        <f>(Таблица1[Кредитный рейтинг]-$AA$7)/($AA$8-$AA$7)</f>
        <v>0</v>
      </c>
      <c r="T758" s="3">
        <f>(Таблица1[Срок с последнего нарушения кредитного договора (мес,)]-$AA$12)/($AA$13-$AA$12)</f>
        <v>0.40074137090909095</v>
      </c>
      <c r="U758" s="3">
        <f>(Таблица1[Количество кредитных карт]-$AA$18)/($AA$19-$AA$18)</f>
        <v>0.33333333333333331</v>
      </c>
      <c r="V758" s="3">
        <f>(Таблица1[Число нарушений кредитных договоров]-$AA$23)/($AA$24-$AA$23)</f>
        <v>0</v>
      </c>
      <c r="W758" s="3">
        <f>Таблица1[[#This Row],[Годовой доход]]/12</f>
        <v>97337</v>
      </c>
      <c r="X758" s="3">
        <f>Таблица1[[#This Row],[Ежемесячный платеж]]/Таблица1[[#This Row],[Ежем доход]]</f>
        <v>0.16215303533086081</v>
      </c>
      <c r="Y758" s="3"/>
      <c r="Z758" s="3"/>
      <c r="AA758" s="3"/>
      <c r="AB758" s="3"/>
    </row>
    <row r="759" spans="1:28" x14ac:dyDescent="0.2">
      <c r="A759">
        <v>1909</v>
      </c>
      <c r="B759" t="s">
        <v>1945</v>
      </c>
      <c r="C759" t="s">
        <v>18</v>
      </c>
      <c r="D759" t="s">
        <v>19</v>
      </c>
      <c r="E759" t="s">
        <v>41</v>
      </c>
      <c r="F759" t="s">
        <v>33</v>
      </c>
      <c r="G759" t="s">
        <v>25</v>
      </c>
      <c r="H759" s="1">
        <v>194920</v>
      </c>
      <c r="I759" s="3">
        <v>740</v>
      </c>
      <c r="J759" s="3">
        <v>1253145</v>
      </c>
      <c r="K759" s="3">
        <v>19423.7</v>
      </c>
      <c r="L759" s="2">
        <v>12</v>
      </c>
      <c r="M759" s="11">
        <v>20</v>
      </c>
      <c r="N759" s="3">
        <v>13</v>
      </c>
      <c r="O759" s="3">
        <v>215517</v>
      </c>
      <c r="P759" s="3">
        <v>572374</v>
      </c>
      <c r="Q759" s="10">
        <v>0</v>
      </c>
      <c r="R759" s="3">
        <f>(Таблица1[Размер кредита]-$AA$2)/$AA$3</f>
        <v>-0.65287427994177882</v>
      </c>
      <c r="S759" s="3">
        <f>(Таблица1[Кредитный рейтинг]-$AA$7)/($AA$8-$AA$7)</f>
        <v>0.98535286284953394</v>
      </c>
      <c r="T759" s="3">
        <f>(Таблица1[Срок с последнего нарушения кредитного договора (мес,)]-$AA$12)/($AA$13-$AA$12)</f>
        <v>0.22727272727272727</v>
      </c>
      <c r="U759" s="3">
        <f>(Таблица1[Количество кредитных карт]-$AA$18)/($AA$19-$AA$18)</f>
        <v>0.2857142857142857</v>
      </c>
      <c r="V759" s="3">
        <f>(Таблица1[Число нарушений кредитных договоров]-$AA$23)/($AA$24-$AA$23)</f>
        <v>0</v>
      </c>
      <c r="W759" s="3">
        <f>Таблица1[[#This Row],[Годовой доход]]/12</f>
        <v>104428.75</v>
      </c>
      <c r="X759" s="3">
        <f>Таблица1[[#This Row],[Ежемесячный платеж]]/Таблица1[[#This Row],[Ежем доход]]</f>
        <v>0.18599954514441666</v>
      </c>
      <c r="Y759" s="3"/>
      <c r="Z759" s="3"/>
      <c r="AA759" s="3"/>
      <c r="AB759" s="3"/>
    </row>
    <row r="760" spans="1:28" x14ac:dyDescent="0.2">
      <c r="A760">
        <v>554</v>
      </c>
      <c r="B760" t="s">
        <v>595</v>
      </c>
      <c r="C760" t="s">
        <v>18</v>
      </c>
      <c r="D760" t="s">
        <v>19</v>
      </c>
      <c r="E760" t="s">
        <v>47</v>
      </c>
      <c r="F760" t="s">
        <v>27</v>
      </c>
      <c r="G760" t="s">
        <v>25</v>
      </c>
      <c r="H760" s="1">
        <v>109714</v>
      </c>
      <c r="I760" s="3">
        <v>744</v>
      </c>
      <c r="J760" s="3">
        <v>1629744</v>
      </c>
      <c r="K760" s="3">
        <v>4875.59</v>
      </c>
      <c r="L760" s="2">
        <v>14.5</v>
      </c>
      <c r="M760" s="11">
        <v>35.265240640000002</v>
      </c>
      <c r="N760" s="3">
        <v>6</v>
      </c>
      <c r="O760" s="3">
        <v>188423</v>
      </c>
      <c r="P760" s="3">
        <v>571142</v>
      </c>
      <c r="Q760" s="10">
        <v>0</v>
      </c>
      <c r="R760" s="3">
        <f>(Таблица1[Размер кредита]-$AA$2)/$AA$3</f>
        <v>-1.1379759725557681</v>
      </c>
      <c r="S760" s="3">
        <f>(Таблица1[Кредитный рейтинг]-$AA$7)/($AA$8-$AA$7)</f>
        <v>0.99067909454061254</v>
      </c>
      <c r="T760" s="3">
        <f>(Таблица1[Срок с последнего нарушения кредитного договора (мес,)]-$AA$12)/($AA$13-$AA$12)</f>
        <v>0.40074137090909095</v>
      </c>
      <c r="U760" s="3">
        <f>(Таблица1[Количество кредитных карт]-$AA$18)/($AA$19-$AA$18)</f>
        <v>0.11904761904761904</v>
      </c>
      <c r="V760" s="3">
        <f>(Таблица1[Число нарушений кредитных договоров]-$AA$23)/($AA$24-$AA$23)</f>
        <v>0</v>
      </c>
      <c r="W760" s="3">
        <f>Таблица1[[#This Row],[Годовой доход]]/12</f>
        <v>135812</v>
      </c>
      <c r="X760" s="3">
        <f>Таблица1[[#This Row],[Ежемесячный платеж]]/Таблица1[[#This Row],[Ежем доход]]</f>
        <v>3.5899552322327923E-2</v>
      </c>
      <c r="Y760" s="3"/>
      <c r="Z760" s="3"/>
      <c r="AA760" s="3"/>
      <c r="AB760" s="3"/>
    </row>
    <row r="761" spans="1:28" x14ac:dyDescent="0.2">
      <c r="A761">
        <v>1833</v>
      </c>
      <c r="B761" t="s">
        <v>1870</v>
      </c>
      <c r="C761" t="s">
        <v>18</v>
      </c>
      <c r="D761" t="s">
        <v>29</v>
      </c>
      <c r="E761" t="s">
        <v>41</v>
      </c>
      <c r="F761" t="s">
        <v>33</v>
      </c>
      <c r="G761" t="s">
        <v>25</v>
      </c>
      <c r="H761" s="1">
        <v>529848</v>
      </c>
      <c r="I761" s="3">
        <v>694</v>
      </c>
      <c r="J761" s="3">
        <v>1151172</v>
      </c>
      <c r="K761" s="3">
        <v>27819.99</v>
      </c>
      <c r="L761" s="2">
        <v>18.3</v>
      </c>
      <c r="M761" s="11">
        <v>35.265240640000002</v>
      </c>
      <c r="N761" s="3">
        <v>9</v>
      </c>
      <c r="O761" s="3">
        <v>376029</v>
      </c>
      <c r="P761" s="3">
        <v>570658</v>
      </c>
      <c r="Q761" s="10">
        <v>0</v>
      </c>
      <c r="R761" s="3">
        <f>(Таблица1[Размер кредита]-$AA$2)/$AA$3</f>
        <v>1.253964906310576</v>
      </c>
      <c r="S761" s="3">
        <f>(Таблица1[Кредитный рейтинг]-$AA$7)/($AA$8-$AA$7)</f>
        <v>0.92410119840213045</v>
      </c>
      <c r="T761" s="3">
        <f>(Таблица1[Срок с последнего нарушения кредитного договора (мес,)]-$AA$12)/($AA$13-$AA$12)</f>
        <v>0.40074137090909095</v>
      </c>
      <c r="U761" s="3">
        <f>(Таблица1[Количество кредитных карт]-$AA$18)/($AA$19-$AA$18)</f>
        <v>0.19047619047619047</v>
      </c>
      <c r="V761" s="3">
        <f>(Таблица1[Число нарушений кредитных договоров]-$AA$23)/($AA$24-$AA$23)</f>
        <v>0</v>
      </c>
      <c r="W761" s="3">
        <f>Таблица1[[#This Row],[Годовой доход]]/12</f>
        <v>95931</v>
      </c>
      <c r="X761" s="3">
        <f>Таблица1[[#This Row],[Ежемесячный платеж]]/Таблица1[[#This Row],[Ежем доход]]</f>
        <v>0.29000000000000004</v>
      </c>
      <c r="Y761" s="3"/>
      <c r="Z761" s="3"/>
      <c r="AA761" s="3"/>
      <c r="AB761" s="3"/>
    </row>
    <row r="762" spans="1:28" x14ac:dyDescent="0.2">
      <c r="A762">
        <v>1644</v>
      </c>
      <c r="B762" t="s">
        <v>1682</v>
      </c>
      <c r="C762" t="s">
        <v>35</v>
      </c>
      <c r="D762" t="s">
        <v>29</v>
      </c>
      <c r="E762" t="s">
        <v>63</v>
      </c>
      <c r="F762" t="s">
        <v>21</v>
      </c>
      <c r="G762" t="s">
        <v>25</v>
      </c>
      <c r="H762" s="1">
        <v>352000</v>
      </c>
      <c r="I762" s="3">
        <v>716</v>
      </c>
      <c r="J762" s="3">
        <v>1140000</v>
      </c>
      <c r="K762" s="3">
        <v>6726</v>
      </c>
      <c r="L762" s="2">
        <v>25.8</v>
      </c>
      <c r="M762" s="11">
        <v>35.265240640000002</v>
      </c>
      <c r="N762" s="3">
        <v>22</v>
      </c>
      <c r="O762" s="3">
        <v>185117</v>
      </c>
      <c r="P762" s="3">
        <v>570064</v>
      </c>
      <c r="Q762" s="10">
        <v>1</v>
      </c>
      <c r="R762" s="3">
        <f>(Таблица1[Размер кредита]-$AA$2)/$AA$3</f>
        <v>0.24142628428850321</v>
      </c>
      <c r="S762" s="3">
        <f>(Таблица1[Кредитный рейтинг]-$AA$7)/($AA$8-$AA$7)</f>
        <v>0.95339547270306257</v>
      </c>
      <c r="T762" s="3">
        <f>(Таблица1[Срок с последнего нарушения кредитного договора (мес,)]-$AA$12)/($AA$13-$AA$12)</f>
        <v>0.40074137090909095</v>
      </c>
      <c r="U762" s="3">
        <f>(Таблица1[Количество кредитных карт]-$AA$18)/($AA$19-$AA$18)</f>
        <v>0.5</v>
      </c>
      <c r="V762" s="3">
        <f>(Таблица1[Число нарушений кредитных договоров]-$AA$23)/($AA$24-$AA$23)</f>
        <v>0.14285714285714285</v>
      </c>
      <c r="W762" s="3">
        <f>Таблица1[[#This Row],[Годовой доход]]/12</f>
        <v>95000</v>
      </c>
      <c r="X762" s="3">
        <f>Таблица1[[#This Row],[Ежемесячный платеж]]/Таблица1[[#This Row],[Ежем доход]]</f>
        <v>7.0800000000000002E-2</v>
      </c>
      <c r="Y762" s="3"/>
      <c r="Z762" s="3"/>
      <c r="AA762" s="3"/>
      <c r="AB762" s="3"/>
    </row>
    <row r="763" spans="1:28" x14ac:dyDescent="0.2">
      <c r="A763">
        <v>1093</v>
      </c>
      <c r="B763" t="s">
        <v>1132</v>
      </c>
      <c r="C763" t="s">
        <v>35</v>
      </c>
      <c r="D763" t="s">
        <v>19</v>
      </c>
      <c r="E763" t="s">
        <v>41</v>
      </c>
      <c r="F763" t="s">
        <v>21</v>
      </c>
      <c r="G763" t="s">
        <v>25</v>
      </c>
      <c r="H763" s="1">
        <v>250866</v>
      </c>
      <c r="I763" s="3">
        <v>741</v>
      </c>
      <c r="J763" s="3">
        <v>965105</v>
      </c>
      <c r="K763" s="3">
        <v>8444.74</v>
      </c>
      <c r="L763" s="2">
        <v>10.8</v>
      </c>
      <c r="M763" s="11">
        <v>35.265240640000002</v>
      </c>
      <c r="N763" s="3">
        <v>10</v>
      </c>
      <c r="O763" s="3">
        <v>285361</v>
      </c>
      <c r="P763" s="3">
        <v>569690</v>
      </c>
      <c r="Q763" s="10">
        <v>0</v>
      </c>
      <c r="R763" s="3">
        <f>(Таблица1[Размер кредита]-$AA$2)/$AA$3</f>
        <v>-0.33435798654715598</v>
      </c>
      <c r="S763" s="3">
        <f>(Таблица1[Кредитный рейтинг]-$AA$7)/($AA$8-$AA$7)</f>
        <v>0.98668442077230356</v>
      </c>
      <c r="T763" s="3">
        <f>(Таблица1[Срок с последнего нарушения кредитного договора (мес,)]-$AA$12)/($AA$13-$AA$12)</f>
        <v>0.40074137090909095</v>
      </c>
      <c r="U763" s="3">
        <f>(Таблица1[Количество кредитных карт]-$AA$18)/($AA$19-$AA$18)</f>
        <v>0.21428571428571427</v>
      </c>
      <c r="V763" s="3">
        <f>(Таблица1[Число нарушений кредитных договоров]-$AA$23)/($AA$24-$AA$23)</f>
        <v>0</v>
      </c>
      <c r="W763" s="3">
        <f>Таблица1[[#This Row],[Годовой доход]]/12</f>
        <v>80425.416666666672</v>
      </c>
      <c r="X763" s="3">
        <f>Таблица1[[#This Row],[Ежемесячный платеж]]/Таблица1[[#This Row],[Ежем доход]]</f>
        <v>0.1050008859139679</v>
      </c>
      <c r="Y763" s="3"/>
      <c r="Z763" s="3"/>
      <c r="AA763" s="3"/>
      <c r="AB763" s="3"/>
    </row>
    <row r="764" spans="1:28" x14ac:dyDescent="0.2">
      <c r="A764">
        <v>285</v>
      </c>
      <c r="B764" t="s">
        <v>327</v>
      </c>
      <c r="C764" t="s">
        <v>18</v>
      </c>
      <c r="D764" t="s">
        <v>19</v>
      </c>
      <c r="E764" t="s">
        <v>30</v>
      </c>
      <c r="F764" t="s">
        <v>21</v>
      </c>
      <c r="G764" t="s">
        <v>25</v>
      </c>
      <c r="H764" s="1">
        <v>249568</v>
      </c>
      <c r="I764" s="3">
        <v>0</v>
      </c>
      <c r="J764" s="3">
        <v>1168044</v>
      </c>
      <c r="K764" s="3">
        <v>12209.21</v>
      </c>
      <c r="L764" s="2">
        <v>14.1</v>
      </c>
      <c r="M764" s="11">
        <v>35.265240640000002</v>
      </c>
      <c r="N764" s="3">
        <v>17</v>
      </c>
      <c r="O764" s="3">
        <v>300048</v>
      </c>
      <c r="P764" s="3">
        <v>569536</v>
      </c>
      <c r="Q764" s="10">
        <v>0</v>
      </c>
      <c r="R764" s="3">
        <f>(Таблица1[Размер кредита]-$AA$2)/$AA$3</f>
        <v>-0.34174786515914291</v>
      </c>
      <c r="S764" s="3">
        <f>(Таблица1[Кредитный рейтинг]-$AA$7)/($AA$8-$AA$7)</f>
        <v>0</v>
      </c>
      <c r="T764" s="3">
        <f>(Таблица1[Срок с последнего нарушения кредитного договора (мес,)]-$AA$12)/($AA$13-$AA$12)</f>
        <v>0.40074137090909095</v>
      </c>
      <c r="U764" s="3">
        <f>(Таблица1[Количество кредитных карт]-$AA$18)/($AA$19-$AA$18)</f>
        <v>0.38095238095238093</v>
      </c>
      <c r="V764" s="3">
        <f>(Таблица1[Число нарушений кредитных договоров]-$AA$23)/($AA$24-$AA$23)</f>
        <v>0</v>
      </c>
      <c r="W764" s="3">
        <f>Таблица1[[#This Row],[Годовой доход]]/12</f>
        <v>97337</v>
      </c>
      <c r="X764" s="3">
        <f>Таблица1[[#This Row],[Ежемесячный платеж]]/Таблица1[[#This Row],[Ежем доход]]</f>
        <v>0.12543236384930703</v>
      </c>
      <c r="Y764" s="3"/>
      <c r="Z764" s="3"/>
      <c r="AA764" s="3"/>
      <c r="AB764" s="3"/>
    </row>
    <row r="765" spans="1:28" x14ac:dyDescent="0.2">
      <c r="A765">
        <v>1280</v>
      </c>
      <c r="B765" t="s">
        <v>1319</v>
      </c>
      <c r="C765" t="s">
        <v>18</v>
      </c>
      <c r="D765" t="s">
        <v>19</v>
      </c>
      <c r="E765" t="s">
        <v>24</v>
      </c>
      <c r="F765" t="s">
        <v>21</v>
      </c>
      <c r="G765" t="s">
        <v>25</v>
      </c>
      <c r="H765" s="1">
        <v>191092</v>
      </c>
      <c r="I765" s="3">
        <v>728</v>
      </c>
      <c r="J765" s="3">
        <v>1875490</v>
      </c>
      <c r="K765" s="3">
        <v>20161.47</v>
      </c>
      <c r="L765" s="2">
        <v>15.6</v>
      </c>
      <c r="M765" s="11">
        <v>14</v>
      </c>
      <c r="N765" s="3">
        <v>12</v>
      </c>
      <c r="O765" s="3">
        <v>231914</v>
      </c>
      <c r="P765" s="3">
        <v>568942</v>
      </c>
      <c r="Q765" s="10">
        <v>0</v>
      </c>
      <c r="R765" s="3">
        <f>(Таблица1[Размер кредита]-$AA$2)/$AA$3</f>
        <v>-0.67466815923814705</v>
      </c>
      <c r="S765" s="3">
        <f>(Таблица1[Кредитный рейтинг]-$AA$7)/($AA$8-$AA$7)</f>
        <v>0.96937416777629826</v>
      </c>
      <c r="T765" s="3">
        <f>(Таблица1[Срок с последнего нарушения кредитного договора (мес,)]-$AA$12)/($AA$13-$AA$12)</f>
        <v>0.15909090909090909</v>
      </c>
      <c r="U765" s="3">
        <f>(Таблица1[Количество кредитных карт]-$AA$18)/($AA$19-$AA$18)</f>
        <v>0.26190476190476192</v>
      </c>
      <c r="V765" s="3">
        <f>(Таблица1[Число нарушений кредитных договоров]-$AA$23)/($AA$24-$AA$23)</f>
        <v>0</v>
      </c>
      <c r="W765" s="3">
        <f>Таблица1[[#This Row],[Годовой доход]]/12</f>
        <v>156290.83333333334</v>
      </c>
      <c r="X765" s="3">
        <f>Таблица1[[#This Row],[Ежемесячный платеж]]/Таблица1[[#This Row],[Ежем доход]]</f>
        <v>0.12899969607942458</v>
      </c>
      <c r="Y765" s="3"/>
      <c r="Z765" s="3"/>
      <c r="AA765" s="3"/>
      <c r="AB765" s="3"/>
    </row>
    <row r="766" spans="1:28" x14ac:dyDescent="0.2">
      <c r="A766">
        <v>1046</v>
      </c>
      <c r="B766" t="s">
        <v>1085</v>
      </c>
      <c r="C766" t="s">
        <v>35</v>
      </c>
      <c r="D766" t="s">
        <v>19</v>
      </c>
      <c r="E766" t="s">
        <v>47</v>
      </c>
      <c r="F766" t="s">
        <v>33</v>
      </c>
      <c r="G766" t="s">
        <v>25</v>
      </c>
      <c r="H766" s="1">
        <v>348722</v>
      </c>
      <c r="I766" s="3">
        <v>0</v>
      </c>
      <c r="J766" s="3">
        <v>1168044</v>
      </c>
      <c r="K766" s="3">
        <v>5872.9</v>
      </c>
      <c r="L766" s="2">
        <v>19</v>
      </c>
      <c r="M766" s="11">
        <v>72</v>
      </c>
      <c r="N766" s="3">
        <v>10</v>
      </c>
      <c r="O766" s="3">
        <v>340860</v>
      </c>
      <c r="P766" s="3">
        <v>568678</v>
      </c>
      <c r="Q766" s="10">
        <v>0</v>
      </c>
      <c r="R766" s="3">
        <f>(Таблица1[Размер кредита]-$AA$2)/$AA$3</f>
        <v>0.22276370948873961</v>
      </c>
      <c r="S766" s="3">
        <f>(Таблица1[Кредитный рейтинг]-$AA$7)/($AA$8-$AA$7)</f>
        <v>0</v>
      </c>
      <c r="T766" s="3">
        <f>(Таблица1[Срок с последнего нарушения кредитного договора (мес,)]-$AA$12)/($AA$13-$AA$12)</f>
        <v>0.81818181818181823</v>
      </c>
      <c r="U766" s="3">
        <f>(Таблица1[Количество кредитных карт]-$AA$18)/($AA$19-$AA$18)</f>
        <v>0.21428571428571427</v>
      </c>
      <c r="V766" s="3">
        <f>(Таблица1[Число нарушений кредитных договоров]-$AA$23)/($AA$24-$AA$23)</f>
        <v>0</v>
      </c>
      <c r="W766" s="3">
        <f>Таблица1[[#This Row],[Годовой доход]]/12</f>
        <v>97337</v>
      </c>
      <c r="X766" s="3">
        <f>Таблица1[[#This Row],[Ежемесячный платеж]]/Таблица1[[#This Row],[Ежем доход]]</f>
        <v>6.0335740776888538E-2</v>
      </c>
      <c r="Y766" s="3"/>
      <c r="Z766" s="3"/>
      <c r="AA766" s="3"/>
      <c r="AB766" s="3"/>
    </row>
    <row r="767" spans="1:28" x14ac:dyDescent="0.2">
      <c r="A767">
        <v>1602</v>
      </c>
      <c r="B767" t="s">
        <v>1641</v>
      </c>
      <c r="C767" t="s">
        <v>18</v>
      </c>
      <c r="D767" t="s">
        <v>29</v>
      </c>
      <c r="E767" t="s">
        <v>37</v>
      </c>
      <c r="F767" t="s">
        <v>33</v>
      </c>
      <c r="G767" t="s">
        <v>25</v>
      </c>
      <c r="H767" s="1">
        <v>326744</v>
      </c>
      <c r="I767" s="3">
        <v>724</v>
      </c>
      <c r="J767" s="3">
        <v>1693071</v>
      </c>
      <c r="K767" s="3">
        <v>27653.55</v>
      </c>
      <c r="L767" s="2">
        <v>15.2</v>
      </c>
      <c r="M767" s="11">
        <v>4</v>
      </c>
      <c r="N767" s="3">
        <v>9</v>
      </c>
      <c r="O767" s="3">
        <v>333621</v>
      </c>
      <c r="P767" s="3">
        <v>568106</v>
      </c>
      <c r="Q767" s="10">
        <v>0</v>
      </c>
      <c r="R767" s="3">
        <f>(Таблица1[Размер кредита]-$AA$2)/$AA$3</f>
        <v>9.7636781804418635E-2</v>
      </c>
      <c r="S767" s="3">
        <f>(Таблица1[Кредитный рейтинг]-$AA$7)/($AA$8-$AA$7)</f>
        <v>0.96404793608521966</v>
      </c>
      <c r="T767" s="3">
        <f>(Таблица1[Срок с последнего нарушения кредитного договора (мес,)]-$AA$12)/($AA$13-$AA$12)</f>
        <v>4.5454545454545456E-2</v>
      </c>
      <c r="U767" s="3">
        <f>(Таблица1[Количество кредитных карт]-$AA$18)/($AA$19-$AA$18)</f>
        <v>0.19047619047619047</v>
      </c>
      <c r="V767" s="3">
        <f>(Таблица1[Число нарушений кредитных договоров]-$AA$23)/($AA$24-$AA$23)</f>
        <v>0</v>
      </c>
      <c r="W767" s="3">
        <f>Таблица1[[#This Row],[Годовой доход]]/12</f>
        <v>141089.25</v>
      </c>
      <c r="X767" s="3">
        <f>Таблица1[[#This Row],[Ежемесячный платеж]]/Таблица1[[#This Row],[Ежем доход]]</f>
        <v>0.19600040399959601</v>
      </c>
      <c r="Y767" s="3"/>
      <c r="Z767" s="3"/>
      <c r="AA767" s="3"/>
      <c r="AB767" s="3"/>
    </row>
    <row r="768" spans="1:28" x14ac:dyDescent="0.2">
      <c r="A768">
        <v>564</v>
      </c>
      <c r="B768" t="s">
        <v>605</v>
      </c>
      <c r="C768" t="s">
        <v>35</v>
      </c>
      <c r="D768" t="s">
        <v>19</v>
      </c>
      <c r="E768" t="s">
        <v>32</v>
      </c>
      <c r="F768" t="s">
        <v>33</v>
      </c>
      <c r="G768" t="s">
        <v>25</v>
      </c>
      <c r="H768" s="1">
        <v>560956</v>
      </c>
      <c r="I768" s="3">
        <v>664</v>
      </c>
      <c r="J768" s="3">
        <v>1637059</v>
      </c>
      <c r="K768" s="3">
        <v>44746.33</v>
      </c>
      <c r="L768" s="2">
        <v>17.600000000000001</v>
      </c>
      <c r="M768" s="11">
        <v>8</v>
      </c>
      <c r="N768" s="3">
        <v>13</v>
      </c>
      <c r="O768" s="3">
        <v>380779</v>
      </c>
      <c r="P768" s="3">
        <v>567446</v>
      </c>
      <c r="Q768" s="10">
        <v>0</v>
      </c>
      <c r="R768" s="3">
        <f>(Таблица1[Размер кредита]-$AA$2)/$AA$3</f>
        <v>1.4310714886385338</v>
      </c>
      <c r="S768" s="3">
        <f>(Таблица1[Кредитный рейтинг]-$AA$7)/($AA$8-$AA$7)</f>
        <v>0.88415446071904125</v>
      </c>
      <c r="T768" s="3">
        <f>(Таблица1[Срок с последнего нарушения кредитного договора (мес,)]-$AA$12)/($AA$13-$AA$12)</f>
        <v>9.0909090909090912E-2</v>
      </c>
      <c r="U768" s="3">
        <f>(Таблица1[Количество кредитных карт]-$AA$18)/($AA$19-$AA$18)</f>
        <v>0.2857142857142857</v>
      </c>
      <c r="V768" s="3">
        <f>(Таблица1[Число нарушений кредитных договоров]-$AA$23)/($AA$24-$AA$23)</f>
        <v>0</v>
      </c>
      <c r="W768" s="3">
        <f>Таблица1[[#This Row],[Годовой доход]]/12</f>
        <v>136421.58333333334</v>
      </c>
      <c r="X768" s="3">
        <f>Таблица1[[#This Row],[Ежемесячный платеж]]/Таблица1[[#This Row],[Ежем доход]]</f>
        <v>0.32800037139773214</v>
      </c>
      <c r="Y768" s="3"/>
      <c r="Z768" s="3"/>
      <c r="AA768" s="3"/>
      <c r="AB768" s="3"/>
    </row>
    <row r="769" spans="1:28" x14ac:dyDescent="0.2">
      <c r="A769">
        <v>933</v>
      </c>
      <c r="B769" t="s">
        <v>974</v>
      </c>
      <c r="C769" t="s">
        <v>18</v>
      </c>
      <c r="D769" t="s">
        <v>19</v>
      </c>
      <c r="E769" t="s">
        <v>24</v>
      </c>
      <c r="F769" t="s">
        <v>33</v>
      </c>
      <c r="G769" t="s">
        <v>25</v>
      </c>
      <c r="H769" s="1">
        <v>220968</v>
      </c>
      <c r="I769" s="3">
        <v>0</v>
      </c>
      <c r="J769" s="3">
        <v>1168044</v>
      </c>
      <c r="K769" s="3">
        <v>8667.23</v>
      </c>
      <c r="L769" s="2">
        <v>30.4</v>
      </c>
      <c r="M769" s="11">
        <v>35.265240640000002</v>
      </c>
      <c r="N769" s="3">
        <v>6</v>
      </c>
      <c r="O769" s="3">
        <v>333260</v>
      </c>
      <c r="P769" s="3">
        <v>565818</v>
      </c>
      <c r="Q769" s="10">
        <v>3</v>
      </c>
      <c r="R769" s="3">
        <f>(Таблица1[Размер кредита]-$AA$2)/$AA$3</f>
        <v>-0.50457569898258359</v>
      </c>
      <c r="S769" s="3">
        <f>(Таблица1[Кредитный рейтинг]-$AA$7)/($AA$8-$AA$7)</f>
        <v>0</v>
      </c>
      <c r="T769" s="3">
        <f>(Таблица1[Срок с последнего нарушения кредитного договора (мес,)]-$AA$12)/($AA$13-$AA$12)</f>
        <v>0.40074137090909095</v>
      </c>
      <c r="U769" s="3">
        <f>(Таблица1[Количество кредитных карт]-$AA$18)/($AA$19-$AA$18)</f>
        <v>0.11904761904761904</v>
      </c>
      <c r="V769" s="3">
        <f>(Таблица1[Число нарушений кредитных договоров]-$AA$23)/($AA$24-$AA$23)</f>
        <v>0.42857142857142855</v>
      </c>
      <c r="W769" s="3">
        <f>Таблица1[[#This Row],[Годовой доход]]/12</f>
        <v>97337</v>
      </c>
      <c r="X769" s="3">
        <f>Таблица1[[#This Row],[Ежемесячный платеж]]/Таблица1[[#This Row],[Ежем доход]]</f>
        <v>8.9043529182119843E-2</v>
      </c>
      <c r="Y769" s="3"/>
      <c r="Z769" s="3"/>
      <c r="AA769" s="3"/>
      <c r="AB769" s="3"/>
    </row>
    <row r="770" spans="1:28" x14ac:dyDescent="0.2">
      <c r="A770">
        <v>1006</v>
      </c>
      <c r="B770" t="s">
        <v>1045</v>
      </c>
      <c r="C770" t="s">
        <v>18</v>
      </c>
      <c r="D770" t="s">
        <v>19</v>
      </c>
      <c r="E770" t="s">
        <v>24</v>
      </c>
      <c r="F770" t="s">
        <v>21</v>
      </c>
      <c r="G770" t="s">
        <v>25</v>
      </c>
      <c r="H770" s="1">
        <v>67584</v>
      </c>
      <c r="I770" s="3">
        <v>716</v>
      </c>
      <c r="J770" s="3">
        <v>856140</v>
      </c>
      <c r="K770" s="3">
        <v>9417.5400000000009</v>
      </c>
      <c r="L770" s="2">
        <v>12.3</v>
      </c>
      <c r="M770" s="11">
        <v>48</v>
      </c>
      <c r="N770" s="3">
        <v>9</v>
      </c>
      <c r="O770" s="3">
        <v>198265</v>
      </c>
      <c r="P770" s="3">
        <v>565422</v>
      </c>
      <c r="Q770" s="10">
        <v>0</v>
      </c>
      <c r="R770" s="3">
        <f>(Таблица1[Размер кредита]-$AA$2)/$AA$3</f>
        <v>-1.3778338969956827</v>
      </c>
      <c r="S770" s="3">
        <f>(Таблица1[Кредитный рейтинг]-$AA$7)/($AA$8-$AA$7)</f>
        <v>0.95339547270306257</v>
      </c>
      <c r="T770" s="3">
        <f>(Таблица1[Срок с последнего нарушения кредитного договора (мес,)]-$AA$12)/($AA$13-$AA$12)</f>
        <v>0.54545454545454541</v>
      </c>
      <c r="U770" s="3">
        <f>(Таблица1[Количество кредитных карт]-$AA$18)/($AA$19-$AA$18)</f>
        <v>0.19047619047619047</v>
      </c>
      <c r="V770" s="3">
        <f>(Таблица1[Число нарушений кредитных договоров]-$AA$23)/($AA$24-$AA$23)</f>
        <v>0</v>
      </c>
      <c r="W770" s="3">
        <f>Таблица1[[#This Row],[Годовой доход]]/12</f>
        <v>71345</v>
      </c>
      <c r="X770" s="3">
        <f>Таблица1[[#This Row],[Ежемесячный платеж]]/Таблица1[[#This Row],[Ежем доход]]</f>
        <v>0.13200000000000001</v>
      </c>
      <c r="Y770" s="3"/>
      <c r="Z770" s="3"/>
      <c r="AA770" s="3"/>
      <c r="AB770" s="3"/>
    </row>
    <row r="771" spans="1:28" x14ac:dyDescent="0.2">
      <c r="A771">
        <v>1507</v>
      </c>
      <c r="B771" t="s">
        <v>1546</v>
      </c>
      <c r="C771" t="s">
        <v>18</v>
      </c>
      <c r="D771" t="s">
        <v>19</v>
      </c>
      <c r="E771" t="s">
        <v>32</v>
      </c>
      <c r="F771" t="s">
        <v>33</v>
      </c>
      <c r="G771" t="s">
        <v>25</v>
      </c>
      <c r="H771" s="1">
        <v>342144</v>
      </c>
      <c r="I771" s="3">
        <v>696</v>
      </c>
      <c r="J771" s="3">
        <v>671593</v>
      </c>
      <c r="K771" s="3">
        <v>10577.49</v>
      </c>
      <c r="L771" s="2">
        <v>8.4</v>
      </c>
      <c r="M771" s="11">
        <v>35.265240640000002</v>
      </c>
      <c r="N771" s="3">
        <v>4</v>
      </c>
      <c r="O771" s="3">
        <v>186181</v>
      </c>
      <c r="P771" s="3">
        <v>564344</v>
      </c>
      <c r="Q771" s="10">
        <v>0</v>
      </c>
      <c r="R771" s="3">
        <f>(Таблица1[Размер кредита]-$AA$2)/$AA$3</f>
        <v>0.18531330770934826</v>
      </c>
      <c r="S771" s="3">
        <f>(Таблица1[Кредитный рейтинг]-$AA$7)/($AA$8-$AA$7)</f>
        <v>0.92676431424766981</v>
      </c>
      <c r="T771" s="3">
        <f>(Таблица1[Срок с последнего нарушения кредитного договора (мес,)]-$AA$12)/($AA$13-$AA$12)</f>
        <v>0.40074137090909095</v>
      </c>
      <c r="U771" s="3">
        <f>(Таблица1[Количество кредитных карт]-$AA$18)/($AA$19-$AA$18)</f>
        <v>7.1428571428571425E-2</v>
      </c>
      <c r="V771" s="3">
        <f>(Таблица1[Число нарушений кредитных договоров]-$AA$23)/($AA$24-$AA$23)</f>
        <v>0</v>
      </c>
      <c r="W771" s="3">
        <f>Таблица1[[#This Row],[Годовой доход]]/12</f>
        <v>55966.083333333336</v>
      </c>
      <c r="X771" s="3">
        <f>Таблица1[[#This Row],[Ежемесячный платеж]]/Таблица1[[#This Row],[Ежем доход]]</f>
        <v>0.18899821767052366</v>
      </c>
      <c r="Y771" s="3"/>
      <c r="Z771" s="3"/>
      <c r="AA771" s="3"/>
      <c r="AB771" s="3"/>
    </row>
    <row r="772" spans="1:28" x14ac:dyDescent="0.2">
      <c r="A772">
        <v>1455</v>
      </c>
      <c r="B772" t="s">
        <v>1494</v>
      </c>
      <c r="C772" t="s">
        <v>18</v>
      </c>
      <c r="D772" t="s">
        <v>19</v>
      </c>
      <c r="E772" t="s">
        <v>30</v>
      </c>
      <c r="F772" t="s">
        <v>33</v>
      </c>
      <c r="G772" t="s">
        <v>25</v>
      </c>
      <c r="H772" s="1">
        <v>265320</v>
      </c>
      <c r="I772" s="3">
        <v>744</v>
      </c>
      <c r="J772" s="3">
        <v>916560</v>
      </c>
      <c r="K772" s="3">
        <v>13137.36</v>
      </c>
      <c r="L772" s="2">
        <v>9.5</v>
      </c>
      <c r="M772" s="11">
        <v>35.265240640000002</v>
      </c>
      <c r="N772" s="3">
        <v>8</v>
      </c>
      <c r="O772" s="3">
        <v>183198</v>
      </c>
      <c r="P772" s="3">
        <v>564168</v>
      </c>
      <c r="Q772" s="10">
        <v>0</v>
      </c>
      <c r="R772" s="3">
        <f>(Таблица1[Размер кредита]-$AA$2)/$AA$3</f>
        <v>-0.25206730437638636</v>
      </c>
      <c r="S772" s="3">
        <f>(Таблица1[Кредитный рейтинг]-$AA$7)/($AA$8-$AA$7)</f>
        <v>0.99067909454061254</v>
      </c>
      <c r="T772" s="3">
        <f>(Таблица1[Срок с последнего нарушения кредитного договора (мес,)]-$AA$12)/($AA$13-$AA$12)</f>
        <v>0.40074137090909095</v>
      </c>
      <c r="U772" s="3">
        <f>(Таблица1[Количество кредитных карт]-$AA$18)/($AA$19-$AA$18)</f>
        <v>0.16666666666666666</v>
      </c>
      <c r="V772" s="3">
        <f>(Таблица1[Число нарушений кредитных договоров]-$AA$23)/($AA$24-$AA$23)</f>
        <v>0</v>
      </c>
      <c r="W772" s="3">
        <f>Таблица1[[#This Row],[Годовой доход]]/12</f>
        <v>76380</v>
      </c>
      <c r="X772" s="3">
        <f>Таблица1[[#This Row],[Ежемесячный платеж]]/Таблица1[[#This Row],[Ежем доход]]</f>
        <v>0.17200000000000001</v>
      </c>
      <c r="Y772" s="3"/>
      <c r="Z772" s="3"/>
      <c r="AA772" s="3"/>
      <c r="AB772" s="3"/>
    </row>
    <row r="773" spans="1:28" x14ac:dyDescent="0.2">
      <c r="A773">
        <v>814</v>
      </c>
      <c r="B773" t="s">
        <v>855</v>
      </c>
      <c r="C773" t="s">
        <v>18</v>
      </c>
      <c r="D773" t="s">
        <v>19</v>
      </c>
      <c r="E773" t="s">
        <v>52</v>
      </c>
      <c r="F773" t="s">
        <v>33</v>
      </c>
      <c r="G773" t="s">
        <v>25</v>
      </c>
      <c r="H773" s="1">
        <v>79530</v>
      </c>
      <c r="I773" s="3">
        <v>691</v>
      </c>
      <c r="J773" s="3">
        <v>953990</v>
      </c>
      <c r="K773" s="3">
        <v>27029.78</v>
      </c>
      <c r="L773" s="2">
        <v>19</v>
      </c>
      <c r="M773" s="11">
        <v>42</v>
      </c>
      <c r="N773" s="3">
        <v>10</v>
      </c>
      <c r="O773" s="3">
        <v>371906</v>
      </c>
      <c r="P773" s="3">
        <v>563640</v>
      </c>
      <c r="Q773" s="10">
        <v>0</v>
      </c>
      <c r="R773" s="3">
        <f>(Таблица1[Размер кредита]-$AA$2)/$AA$3</f>
        <v>-1.3098219633294301</v>
      </c>
      <c r="S773" s="3">
        <f>(Таблица1[Кредитный рейтинг]-$AA$7)/($AA$8-$AA$7)</f>
        <v>0.92010652463382159</v>
      </c>
      <c r="T773" s="3">
        <f>(Таблица1[Срок с последнего нарушения кредитного договора (мес,)]-$AA$12)/($AA$13-$AA$12)</f>
        <v>0.47727272727272729</v>
      </c>
      <c r="U773" s="3">
        <f>(Таблица1[Количество кредитных карт]-$AA$18)/($AA$19-$AA$18)</f>
        <v>0.21428571428571427</v>
      </c>
      <c r="V773" s="3">
        <f>(Таблица1[Число нарушений кредитных договоров]-$AA$23)/($AA$24-$AA$23)</f>
        <v>0</v>
      </c>
      <c r="W773" s="3">
        <f>Таблица1[[#This Row],[Годовой доход]]/12</f>
        <v>79499.166666666672</v>
      </c>
      <c r="X773" s="3">
        <f>Таблица1[[#This Row],[Ежемесячный платеж]]/Таблица1[[#This Row],[Ежем доход]]</f>
        <v>0.34000079665405292</v>
      </c>
      <c r="Y773" s="3"/>
      <c r="Z773" s="3"/>
      <c r="AA773" s="3"/>
      <c r="AB773" s="3"/>
    </row>
    <row r="774" spans="1:28" x14ac:dyDescent="0.2">
      <c r="A774">
        <v>908</v>
      </c>
      <c r="B774" t="s">
        <v>949</v>
      </c>
      <c r="C774" t="s">
        <v>18</v>
      </c>
      <c r="D774" t="s">
        <v>19</v>
      </c>
      <c r="E774" t="s">
        <v>63</v>
      </c>
      <c r="F774" t="s">
        <v>21</v>
      </c>
      <c r="G774" t="s">
        <v>22</v>
      </c>
      <c r="H774" s="1">
        <v>214896</v>
      </c>
      <c r="I774" s="3">
        <v>726</v>
      </c>
      <c r="J774" s="3">
        <v>2301337</v>
      </c>
      <c r="K774" s="3">
        <v>20328.48</v>
      </c>
      <c r="L774" s="2">
        <v>14.8</v>
      </c>
      <c r="M774" s="11">
        <v>35.265240640000002</v>
      </c>
      <c r="N774" s="3">
        <v>18</v>
      </c>
      <c r="O774" s="3">
        <v>190779</v>
      </c>
      <c r="P774" s="3">
        <v>563508</v>
      </c>
      <c r="Q774" s="10">
        <v>1</v>
      </c>
      <c r="R774" s="3">
        <f>(Таблица1[Размер кредита]-$AA$2)/$AA$3</f>
        <v>-0.53914530062509869</v>
      </c>
      <c r="S774" s="3">
        <f>(Таблица1[Кредитный рейтинг]-$AA$7)/($AA$8-$AA$7)</f>
        <v>0.96671105193075901</v>
      </c>
      <c r="T774" s="3">
        <f>(Таблица1[Срок с последнего нарушения кредитного договора (мес,)]-$AA$12)/($AA$13-$AA$12)</f>
        <v>0.40074137090909095</v>
      </c>
      <c r="U774" s="3">
        <f>(Таблица1[Количество кредитных карт]-$AA$18)/($AA$19-$AA$18)</f>
        <v>0.40476190476190477</v>
      </c>
      <c r="V774" s="3">
        <f>(Таблица1[Число нарушений кредитных договоров]-$AA$23)/($AA$24-$AA$23)</f>
        <v>0.14285714285714285</v>
      </c>
      <c r="W774" s="3">
        <f>Таблица1[[#This Row],[Годовой доход]]/12</f>
        <v>191778.08333333334</v>
      </c>
      <c r="X774" s="3">
        <f>Таблица1[[#This Row],[Ежемесячный платеж]]/Таблица1[[#This Row],[Ежем доход]]</f>
        <v>0.10600001651214054</v>
      </c>
      <c r="Y774" s="3"/>
      <c r="Z774" s="3"/>
      <c r="AA774" s="3"/>
      <c r="AB774" s="3"/>
    </row>
    <row r="775" spans="1:28" x14ac:dyDescent="0.2">
      <c r="A775">
        <v>885</v>
      </c>
      <c r="B775" t="s">
        <v>926</v>
      </c>
      <c r="C775" t="s">
        <v>18</v>
      </c>
      <c r="D775" t="s">
        <v>29</v>
      </c>
      <c r="E775" t="s">
        <v>32</v>
      </c>
      <c r="F775" t="s">
        <v>33</v>
      </c>
      <c r="G775" t="s">
        <v>98</v>
      </c>
      <c r="H775" s="1">
        <v>132022</v>
      </c>
      <c r="I775" s="3">
        <v>695</v>
      </c>
      <c r="J775" s="3">
        <v>665076</v>
      </c>
      <c r="K775" s="3">
        <v>6983.26</v>
      </c>
      <c r="L775" s="2">
        <v>23</v>
      </c>
      <c r="M775" s="11">
        <v>35.265240640000002</v>
      </c>
      <c r="N775" s="3">
        <v>5</v>
      </c>
      <c r="O775" s="3">
        <v>286634</v>
      </c>
      <c r="P775" s="3">
        <v>563486</v>
      </c>
      <c r="Q775" s="10">
        <v>0</v>
      </c>
      <c r="R775" s="3">
        <f>(Таблица1[Размер кредита]-$AA$2)/$AA$3</f>
        <v>-1.0109702621734842</v>
      </c>
      <c r="S775" s="3">
        <f>(Таблица1[Кредитный рейтинг]-$AA$7)/($AA$8-$AA$7)</f>
        <v>0.92543275632490019</v>
      </c>
      <c r="T775" s="3">
        <f>(Таблица1[Срок с последнего нарушения кредитного договора (мес,)]-$AA$12)/($AA$13-$AA$12)</f>
        <v>0.40074137090909095</v>
      </c>
      <c r="U775" s="3">
        <f>(Таблица1[Количество кредитных карт]-$AA$18)/($AA$19-$AA$18)</f>
        <v>9.5238095238095233E-2</v>
      </c>
      <c r="V775" s="3">
        <f>(Таблица1[Число нарушений кредитных договоров]-$AA$23)/($AA$24-$AA$23)</f>
        <v>0</v>
      </c>
      <c r="W775" s="3">
        <f>Таблица1[[#This Row],[Годовой доход]]/12</f>
        <v>55423</v>
      </c>
      <c r="X775" s="3">
        <f>Таблица1[[#This Row],[Ежемесячный платеж]]/Таблица1[[#This Row],[Ежем доход]]</f>
        <v>0.12599931436407269</v>
      </c>
      <c r="Y775" s="3"/>
      <c r="Z775" s="3"/>
      <c r="AA775" s="3"/>
      <c r="AB775" s="3"/>
    </row>
    <row r="776" spans="1:28" x14ac:dyDescent="0.2">
      <c r="A776">
        <v>372</v>
      </c>
      <c r="B776" t="s">
        <v>414</v>
      </c>
      <c r="C776" t="s">
        <v>18</v>
      </c>
      <c r="D776" t="s">
        <v>19</v>
      </c>
      <c r="E776" t="s">
        <v>24</v>
      </c>
      <c r="F776" t="s">
        <v>21</v>
      </c>
      <c r="G776" t="s">
        <v>25</v>
      </c>
      <c r="H776" s="1">
        <v>662310</v>
      </c>
      <c r="I776" s="3">
        <v>699</v>
      </c>
      <c r="J776" s="3">
        <v>1258389</v>
      </c>
      <c r="K776" s="3">
        <v>13213.17</v>
      </c>
      <c r="L776" s="2">
        <v>17.5</v>
      </c>
      <c r="M776" s="11">
        <v>64</v>
      </c>
      <c r="N776" s="3">
        <v>8</v>
      </c>
      <c r="O776" s="3">
        <v>302309</v>
      </c>
      <c r="P776" s="3">
        <v>562782</v>
      </c>
      <c r="Q776" s="10">
        <v>1</v>
      </c>
      <c r="R776" s="3">
        <f>(Таблица1[Размер кредита]-$AA$2)/$AA$3</f>
        <v>2.0081082812728348</v>
      </c>
      <c r="S776" s="3">
        <f>(Таблица1[Кредитный рейтинг]-$AA$7)/($AA$8-$AA$7)</f>
        <v>0.93075898801597867</v>
      </c>
      <c r="T776" s="3">
        <f>(Таблица1[Срок с последнего нарушения кредитного договора (мес,)]-$AA$12)/($AA$13-$AA$12)</f>
        <v>0.72727272727272729</v>
      </c>
      <c r="U776" s="3">
        <f>(Таблица1[Количество кредитных карт]-$AA$18)/($AA$19-$AA$18)</f>
        <v>0.16666666666666666</v>
      </c>
      <c r="V776" s="3">
        <f>(Таблица1[Число нарушений кредитных договоров]-$AA$23)/($AA$24-$AA$23)</f>
        <v>0.14285714285714285</v>
      </c>
      <c r="W776" s="3">
        <f>Таблица1[[#This Row],[Годовой доход]]/12</f>
        <v>104865.75</v>
      </c>
      <c r="X776" s="3">
        <f>Таблица1[[#This Row],[Ежемесячный платеж]]/Таблица1[[#This Row],[Ежем доход]]</f>
        <v>0.12600081532816959</v>
      </c>
      <c r="Y776" s="3"/>
      <c r="Z776" s="3"/>
      <c r="AA776" s="3"/>
      <c r="AB776" s="3"/>
    </row>
    <row r="777" spans="1:28" x14ac:dyDescent="0.2">
      <c r="A777">
        <v>1704</v>
      </c>
      <c r="B777" t="s">
        <v>1742</v>
      </c>
      <c r="C777" t="s">
        <v>18</v>
      </c>
      <c r="D777" t="s">
        <v>19</v>
      </c>
      <c r="E777" t="s">
        <v>41</v>
      </c>
      <c r="F777" t="s">
        <v>27</v>
      </c>
      <c r="G777" t="s">
        <v>25</v>
      </c>
      <c r="H777" s="1">
        <v>172040</v>
      </c>
      <c r="I777" s="3">
        <v>731</v>
      </c>
      <c r="J777" s="3">
        <v>612902</v>
      </c>
      <c r="K777" s="3">
        <v>11134.19</v>
      </c>
      <c r="L777" s="2">
        <v>9.8000000000000007</v>
      </c>
      <c r="M777" s="11">
        <v>29</v>
      </c>
      <c r="N777" s="3">
        <v>29</v>
      </c>
      <c r="O777" s="3">
        <v>98648</v>
      </c>
      <c r="P777" s="3">
        <v>562628</v>
      </c>
      <c r="Q777" s="10">
        <v>0</v>
      </c>
      <c r="R777" s="3">
        <f>(Таблица1[Размер кредита]-$AA$2)/$AA$3</f>
        <v>-0.78313654700053148</v>
      </c>
      <c r="S777" s="3">
        <f>(Таблица1[Кредитный рейтинг]-$AA$7)/($AA$8-$AA$7)</f>
        <v>0.97336884154460723</v>
      </c>
      <c r="T777" s="3">
        <f>(Таблица1[Срок с последнего нарушения кредитного договора (мес,)]-$AA$12)/($AA$13-$AA$12)</f>
        <v>0.32954545454545453</v>
      </c>
      <c r="U777" s="3">
        <f>(Таблица1[Количество кредитных карт]-$AA$18)/($AA$19-$AA$18)</f>
        <v>0.66666666666666663</v>
      </c>
      <c r="V777" s="3">
        <f>(Таблица1[Число нарушений кредитных договоров]-$AA$23)/($AA$24-$AA$23)</f>
        <v>0</v>
      </c>
      <c r="W777" s="3">
        <f>Таблица1[[#This Row],[Годовой доход]]/12</f>
        <v>51075.166666666664</v>
      </c>
      <c r="X777" s="3">
        <f>Таблица1[[#This Row],[Ежемесячный платеж]]/Таблица1[[#This Row],[Ежем доход]]</f>
        <v>0.21799615599231201</v>
      </c>
      <c r="Y777" s="3"/>
      <c r="Z777" s="3"/>
      <c r="AA777" s="3"/>
      <c r="AB777" s="3"/>
    </row>
    <row r="778" spans="1:28" x14ac:dyDescent="0.2">
      <c r="A778">
        <v>195</v>
      </c>
      <c r="B778" t="s">
        <v>237</v>
      </c>
      <c r="C778" t="s">
        <v>18</v>
      </c>
      <c r="D778" t="s">
        <v>19</v>
      </c>
      <c r="E778" t="s">
        <v>32</v>
      </c>
      <c r="F778" t="s">
        <v>21</v>
      </c>
      <c r="G778" t="s">
        <v>25</v>
      </c>
      <c r="H778" s="1">
        <v>437668</v>
      </c>
      <c r="I778" s="3">
        <v>749</v>
      </c>
      <c r="J778" s="3">
        <v>2683693</v>
      </c>
      <c r="K778" s="3">
        <v>5993.55</v>
      </c>
      <c r="L778" s="2">
        <v>21.5</v>
      </c>
      <c r="M778" s="11">
        <v>35.265240640000002</v>
      </c>
      <c r="N778" s="3">
        <v>7</v>
      </c>
      <c r="O778" s="3">
        <v>326496</v>
      </c>
      <c r="P778" s="3">
        <v>562584</v>
      </c>
      <c r="Q778" s="10">
        <v>0</v>
      </c>
      <c r="R778" s="3">
        <f>(Таблица1[Размер кредита]-$AA$2)/$AA$3</f>
        <v>0.72915827267964028</v>
      </c>
      <c r="S778" s="3">
        <f>(Таблица1[Кредитный рейтинг]-$AA$7)/($AA$8-$AA$7)</f>
        <v>0.99733688415446076</v>
      </c>
      <c r="T778" s="3">
        <f>(Таблица1[Срок с последнего нарушения кредитного договора (мес,)]-$AA$12)/($AA$13-$AA$12)</f>
        <v>0.40074137090909095</v>
      </c>
      <c r="U778" s="3">
        <f>(Таблица1[Количество кредитных карт]-$AA$18)/($AA$19-$AA$18)</f>
        <v>0.14285714285714285</v>
      </c>
      <c r="V778" s="3">
        <f>(Таблица1[Число нарушений кредитных договоров]-$AA$23)/($AA$24-$AA$23)</f>
        <v>0</v>
      </c>
      <c r="W778" s="3">
        <f>Таблица1[[#This Row],[Годовой доход]]/12</f>
        <v>223641.08333333334</v>
      </c>
      <c r="X778" s="3">
        <f>Таблица1[[#This Row],[Ежемесячный платеж]]/Таблица1[[#This Row],[Ежем доход]]</f>
        <v>2.6799861235990853E-2</v>
      </c>
      <c r="Y778" s="3"/>
      <c r="Z778" s="3"/>
      <c r="AA778" s="3"/>
      <c r="AB778" s="3"/>
    </row>
    <row r="779" spans="1:28" x14ac:dyDescent="0.2">
      <c r="A779">
        <v>629</v>
      </c>
      <c r="B779" t="s">
        <v>670</v>
      </c>
      <c r="C779" t="s">
        <v>18</v>
      </c>
      <c r="D779" t="s">
        <v>29</v>
      </c>
      <c r="E779" t="s">
        <v>52</v>
      </c>
      <c r="F779" t="s">
        <v>33</v>
      </c>
      <c r="G779" t="s">
        <v>70</v>
      </c>
      <c r="H779" s="1">
        <v>776864</v>
      </c>
      <c r="I779" s="3">
        <v>724</v>
      </c>
      <c r="J779" s="3">
        <v>1380179</v>
      </c>
      <c r="K779" s="3">
        <v>11593.42</v>
      </c>
      <c r="L779" s="2">
        <v>12.8</v>
      </c>
      <c r="M779" s="11">
        <v>35.265240640000002</v>
      </c>
      <c r="N779" s="3">
        <v>15</v>
      </c>
      <c r="O779" s="3">
        <v>42750</v>
      </c>
      <c r="P779" s="3">
        <v>562474</v>
      </c>
      <c r="Q779" s="10">
        <v>0</v>
      </c>
      <c r="R779" s="3">
        <f>(Таблица1[Размер кредита]-$AA$2)/$AA$3</f>
        <v>2.6602963818256473</v>
      </c>
      <c r="S779" s="3">
        <f>(Таблица1[Кредитный рейтинг]-$AA$7)/($AA$8-$AA$7)</f>
        <v>0.96404793608521966</v>
      </c>
      <c r="T779" s="3">
        <f>(Таблица1[Срок с последнего нарушения кредитного договора (мес,)]-$AA$12)/($AA$13-$AA$12)</f>
        <v>0.40074137090909095</v>
      </c>
      <c r="U779" s="3">
        <f>(Таблица1[Количество кредитных карт]-$AA$18)/($AA$19-$AA$18)</f>
        <v>0.33333333333333331</v>
      </c>
      <c r="V779" s="3">
        <f>(Таблица1[Число нарушений кредитных договоров]-$AA$23)/($AA$24-$AA$23)</f>
        <v>0</v>
      </c>
      <c r="W779" s="3">
        <f>Таблица1[[#This Row],[Годовой доход]]/12</f>
        <v>115014.91666666667</v>
      </c>
      <c r="X779" s="3">
        <f>Таблица1[[#This Row],[Ежемесячный платеж]]/Таблица1[[#This Row],[Ежем доход]]</f>
        <v>0.10079927313775966</v>
      </c>
      <c r="Y779" s="3"/>
      <c r="Z779" s="3"/>
      <c r="AA779" s="3"/>
      <c r="AB779" s="3"/>
    </row>
    <row r="780" spans="1:28" x14ac:dyDescent="0.2">
      <c r="A780">
        <v>77</v>
      </c>
      <c r="B780" t="s">
        <v>119</v>
      </c>
      <c r="C780" t="s">
        <v>18</v>
      </c>
      <c r="D780" t="s">
        <v>19</v>
      </c>
      <c r="E780" t="s">
        <v>63</v>
      </c>
      <c r="F780" t="s">
        <v>21</v>
      </c>
      <c r="G780" t="s">
        <v>25</v>
      </c>
      <c r="H780" s="1">
        <v>389884</v>
      </c>
      <c r="I780" s="3">
        <v>657</v>
      </c>
      <c r="J780" s="3">
        <v>4776125</v>
      </c>
      <c r="K780" s="3">
        <v>42985.22</v>
      </c>
      <c r="L780" s="2">
        <v>21.5</v>
      </c>
      <c r="M780" s="11">
        <v>4</v>
      </c>
      <c r="N780" s="3">
        <v>14</v>
      </c>
      <c r="O780" s="3">
        <v>237500</v>
      </c>
      <c r="P780" s="3">
        <v>562386</v>
      </c>
      <c r="Q780" s="10">
        <v>1</v>
      </c>
      <c r="R780" s="3">
        <f>(Таблица1[Размер кредита]-$AA$2)/$AA$3</f>
        <v>0.45711053801463009</v>
      </c>
      <c r="S780" s="3">
        <f>(Таблица1[Кредитный рейтинг]-$AA$7)/($AA$8-$AA$7)</f>
        <v>0.87483355525965378</v>
      </c>
      <c r="T780" s="3">
        <f>(Таблица1[Срок с последнего нарушения кредитного договора (мес,)]-$AA$12)/($AA$13-$AA$12)</f>
        <v>4.5454545454545456E-2</v>
      </c>
      <c r="U780" s="3">
        <f>(Таблица1[Количество кредитных карт]-$AA$18)/($AA$19-$AA$18)</f>
        <v>0.30952380952380953</v>
      </c>
      <c r="V780" s="3">
        <f>(Таблица1[Число нарушений кредитных договоров]-$AA$23)/($AA$24-$AA$23)</f>
        <v>0.14285714285714285</v>
      </c>
      <c r="W780" s="3">
        <f>Таблица1[[#This Row],[Годовой доход]]/12</f>
        <v>398010.41666666669</v>
      </c>
      <c r="X780" s="3">
        <f>Таблица1[[#This Row],[Ежемесячный платеж]]/Таблица1[[#This Row],[Ежем доход]]</f>
        <v>0.10800023868722029</v>
      </c>
      <c r="Y780" s="3"/>
      <c r="Z780" s="3"/>
      <c r="AA780" s="3"/>
      <c r="AB780" s="3"/>
    </row>
    <row r="781" spans="1:28" x14ac:dyDescent="0.2">
      <c r="A781">
        <v>846</v>
      </c>
      <c r="B781" t="s">
        <v>887</v>
      </c>
      <c r="C781" t="s">
        <v>18</v>
      </c>
      <c r="D781" t="s">
        <v>19</v>
      </c>
      <c r="E781" t="s">
        <v>37</v>
      </c>
      <c r="F781" t="s">
        <v>33</v>
      </c>
      <c r="G781" t="s">
        <v>25</v>
      </c>
      <c r="H781" s="1">
        <v>294316</v>
      </c>
      <c r="I781" s="3">
        <v>0</v>
      </c>
      <c r="J781" s="3">
        <v>1168044</v>
      </c>
      <c r="K781" s="3">
        <v>22443.94</v>
      </c>
      <c r="L781" s="2">
        <v>15.7</v>
      </c>
      <c r="M781" s="11">
        <v>42</v>
      </c>
      <c r="N781" s="3">
        <v>8</v>
      </c>
      <c r="O781" s="3">
        <v>306888</v>
      </c>
      <c r="P781" s="3">
        <v>560494</v>
      </c>
      <c r="Q781" s="10">
        <v>0</v>
      </c>
      <c r="R781" s="3">
        <f>(Таблица1[Размер кредита]-$AA$2)/$AA$3</f>
        <v>-8.6984931315390299E-2</v>
      </c>
      <c r="S781" s="3">
        <f>(Таблица1[Кредитный рейтинг]-$AA$7)/($AA$8-$AA$7)</f>
        <v>0</v>
      </c>
      <c r="T781" s="3">
        <f>(Таблица1[Срок с последнего нарушения кредитного договора (мес,)]-$AA$12)/($AA$13-$AA$12)</f>
        <v>0.47727272727272729</v>
      </c>
      <c r="U781" s="3">
        <f>(Таблица1[Количество кредитных карт]-$AA$18)/($AA$19-$AA$18)</f>
        <v>0.16666666666666666</v>
      </c>
      <c r="V781" s="3">
        <f>(Таблица1[Число нарушений кредитных договоров]-$AA$23)/($AA$24-$AA$23)</f>
        <v>0</v>
      </c>
      <c r="W781" s="3">
        <f>Таблица1[[#This Row],[Годовой доход]]/12</f>
        <v>97337</v>
      </c>
      <c r="X781" s="3">
        <f>Таблица1[[#This Row],[Ежемесячный платеж]]/Таблица1[[#This Row],[Ежем доход]]</f>
        <v>0.23057973843451102</v>
      </c>
      <c r="Y781" s="3"/>
      <c r="Z781" s="3"/>
      <c r="AA781" s="3"/>
      <c r="AB781" s="3"/>
    </row>
    <row r="782" spans="1:28" x14ac:dyDescent="0.2">
      <c r="A782">
        <v>1084</v>
      </c>
      <c r="B782" t="s">
        <v>1123</v>
      </c>
      <c r="C782" t="s">
        <v>18</v>
      </c>
      <c r="D782" t="s">
        <v>29</v>
      </c>
      <c r="E782" t="s">
        <v>69</v>
      </c>
      <c r="F782" t="s">
        <v>33</v>
      </c>
      <c r="G782" t="s">
        <v>25</v>
      </c>
      <c r="H782" s="1">
        <v>367598</v>
      </c>
      <c r="I782" s="3">
        <v>708</v>
      </c>
      <c r="J782" s="3">
        <v>821712</v>
      </c>
      <c r="K782" s="3">
        <v>22870.87</v>
      </c>
      <c r="L782" s="2">
        <v>9.9</v>
      </c>
      <c r="M782" s="11">
        <v>35.265240640000002</v>
      </c>
      <c r="N782" s="3">
        <v>12</v>
      </c>
      <c r="O782" s="3">
        <v>262295</v>
      </c>
      <c r="P782" s="3">
        <v>560340</v>
      </c>
      <c r="Q782" s="10">
        <v>0</v>
      </c>
      <c r="R782" s="3">
        <f>(Таблица1[Размер кредита]-$AA$2)/$AA$3</f>
        <v>0.33023007981221048</v>
      </c>
      <c r="S782" s="3">
        <f>(Таблица1[Кредитный рейтинг]-$AA$7)/($AA$8-$AA$7)</f>
        <v>0.94274300932090549</v>
      </c>
      <c r="T782" s="3">
        <f>(Таблица1[Срок с последнего нарушения кредитного договора (мес,)]-$AA$12)/($AA$13-$AA$12)</f>
        <v>0.40074137090909095</v>
      </c>
      <c r="U782" s="3">
        <f>(Таблица1[Количество кредитных карт]-$AA$18)/($AA$19-$AA$18)</f>
        <v>0.26190476190476192</v>
      </c>
      <c r="V782" s="3">
        <f>(Таблица1[Число нарушений кредитных договоров]-$AA$23)/($AA$24-$AA$23)</f>
        <v>0</v>
      </c>
      <c r="W782" s="3">
        <f>Таблица1[[#This Row],[Годовой доход]]/12</f>
        <v>68476</v>
      </c>
      <c r="X782" s="3">
        <f>Таблица1[[#This Row],[Ежемесячный платеж]]/Таблица1[[#This Row],[Ежем доход]]</f>
        <v>0.33399833518312982</v>
      </c>
      <c r="Y782" s="3"/>
      <c r="Z782" s="3"/>
      <c r="AA782" s="3"/>
      <c r="AB782" s="3"/>
    </row>
    <row r="783" spans="1:28" x14ac:dyDescent="0.2">
      <c r="A783">
        <v>168</v>
      </c>
      <c r="B783" t="s">
        <v>210</v>
      </c>
      <c r="C783" t="s">
        <v>18</v>
      </c>
      <c r="D783" t="s">
        <v>29</v>
      </c>
      <c r="E783" t="s">
        <v>41</v>
      </c>
      <c r="F783" t="s">
        <v>21</v>
      </c>
      <c r="G783" t="s">
        <v>25</v>
      </c>
      <c r="H783" s="1">
        <v>768394</v>
      </c>
      <c r="I783" s="3">
        <v>651</v>
      </c>
      <c r="J783" s="3">
        <v>1651252</v>
      </c>
      <c r="K783" s="3">
        <v>19264.669999999998</v>
      </c>
      <c r="L783" s="2">
        <v>29.2</v>
      </c>
      <c r="M783" s="11">
        <v>30</v>
      </c>
      <c r="N783" s="3">
        <v>6</v>
      </c>
      <c r="O783" s="3">
        <v>421420</v>
      </c>
      <c r="P783" s="3">
        <v>559592</v>
      </c>
      <c r="Q783" s="10">
        <v>0</v>
      </c>
      <c r="R783" s="3">
        <f>(Таблица1[Размер кредита]-$AA$2)/$AA$3</f>
        <v>2.6120742925779359</v>
      </c>
      <c r="S783" s="3">
        <f>(Таблица1[Кредитный рейтинг]-$AA$7)/($AA$8-$AA$7)</f>
        <v>0.86684420772303594</v>
      </c>
      <c r="T783" s="3">
        <f>(Таблица1[Срок с последнего нарушения кредитного договора (мес,)]-$AA$12)/($AA$13-$AA$12)</f>
        <v>0.34090909090909088</v>
      </c>
      <c r="U783" s="3">
        <f>(Таблица1[Количество кредитных карт]-$AA$18)/($AA$19-$AA$18)</f>
        <v>0.11904761904761904</v>
      </c>
      <c r="V783" s="3">
        <f>(Таблица1[Число нарушений кредитных договоров]-$AA$23)/($AA$24-$AA$23)</f>
        <v>0</v>
      </c>
      <c r="W783" s="3">
        <f>Таблица1[[#This Row],[Годовой доход]]/12</f>
        <v>137604.33333333334</v>
      </c>
      <c r="X783" s="3">
        <f>Таблица1[[#This Row],[Ежемесячный платеж]]/Таблица1[[#This Row],[Ежем доход]]</f>
        <v>0.14000046025682328</v>
      </c>
      <c r="Y783" s="3"/>
      <c r="Z783" s="3"/>
      <c r="AA783" s="3"/>
      <c r="AB783" s="3"/>
    </row>
    <row r="784" spans="1:28" x14ac:dyDescent="0.2">
      <c r="A784">
        <v>209</v>
      </c>
      <c r="B784" t="s">
        <v>251</v>
      </c>
      <c r="C784" t="s">
        <v>18</v>
      </c>
      <c r="D784" t="s">
        <v>19</v>
      </c>
      <c r="E784" t="s">
        <v>41</v>
      </c>
      <c r="F784" t="s">
        <v>33</v>
      </c>
      <c r="G784" t="s">
        <v>25</v>
      </c>
      <c r="H784" s="1">
        <v>171842</v>
      </c>
      <c r="I784" s="3">
        <v>724</v>
      </c>
      <c r="J784" s="3">
        <v>612199</v>
      </c>
      <c r="K784" s="3">
        <v>6734.17</v>
      </c>
      <c r="L784" s="2">
        <v>11.8</v>
      </c>
      <c r="M784" s="11">
        <v>35.265240640000002</v>
      </c>
      <c r="N784" s="3">
        <v>12</v>
      </c>
      <c r="O784" s="3">
        <v>330714</v>
      </c>
      <c r="P784" s="3">
        <v>558228</v>
      </c>
      <c r="Q784" s="10">
        <v>0</v>
      </c>
      <c r="R784" s="3">
        <f>(Таблица1[Размер кредита]-$AA$2)/$AA$3</f>
        <v>-0.78426381661930911</v>
      </c>
      <c r="S784" s="3">
        <f>(Таблица1[Кредитный рейтинг]-$AA$7)/($AA$8-$AA$7)</f>
        <v>0.96404793608521966</v>
      </c>
      <c r="T784" s="3">
        <f>(Таблица1[Срок с последнего нарушения кредитного договора (мес,)]-$AA$12)/($AA$13-$AA$12)</f>
        <v>0.40074137090909095</v>
      </c>
      <c r="U784" s="3">
        <f>(Таблица1[Количество кредитных карт]-$AA$18)/($AA$19-$AA$18)</f>
        <v>0.26190476190476192</v>
      </c>
      <c r="V784" s="3">
        <f>(Таблица1[Число нарушений кредитных договоров]-$AA$23)/($AA$24-$AA$23)</f>
        <v>0</v>
      </c>
      <c r="W784" s="3">
        <f>Таблица1[[#This Row],[Годовой доход]]/12</f>
        <v>51016.583333333336</v>
      </c>
      <c r="X784" s="3">
        <f>Таблица1[[#This Row],[Ежемесячный платеж]]/Таблица1[[#This Row],[Ежем доход]]</f>
        <v>0.13199962757208031</v>
      </c>
      <c r="Y784" s="3"/>
      <c r="Z784" s="3"/>
      <c r="AA784" s="3"/>
      <c r="AB784" s="3"/>
    </row>
    <row r="785" spans="1:28" x14ac:dyDescent="0.2">
      <c r="A785">
        <v>1555</v>
      </c>
      <c r="B785" t="s">
        <v>1594</v>
      </c>
      <c r="C785" t="s">
        <v>35</v>
      </c>
      <c r="D785" t="s">
        <v>19</v>
      </c>
      <c r="E785" t="s">
        <v>24</v>
      </c>
      <c r="F785" t="s">
        <v>21</v>
      </c>
      <c r="G785" t="s">
        <v>25</v>
      </c>
      <c r="H785" s="1">
        <v>172370</v>
      </c>
      <c r="I785" s="3">
        <v>742</v>
      </c>
      <c r="J785" s="3">
        <v>800166</v>
      </c>
      <c r="K785" s="3">
        <v>20737.740000000002</v>
      </c>
      <c r="L785" s="2">
        <v>25.5</v>
      </c>
      <c r="M785" s="11">
        <v>35.265240640000002</v>
      </c>
      <c r="N785" s="3">
        <v>11</v>
      </c>
      <c r="O785" s="3">
        <v>289180</v>
      </c>
      <c r="P785" s="3">
        <v>558052</v>
      </c>
      <c r="Q785" s="10">
        <v>0</v>
      </c>
      <c r="R785" s="3">
        <f>(Таблица1[Размер кредита]-$AA$2)/$AA$3</f>
        <v>-0.78125776430256866</v>
      </c>
      <c r="S785" s="3">
        <f>(Таблица1[Кредитный рейтинг]-$AA$7)/($AA$8-$AA$7)</f>
        <v>0.98801597869507318</v>
      </c>
      <c r="T785" s="3">
        <f>(Таблица1[Срок с последнего нарушения кредитного договора (мес,)]-$AA$12)/($AA$13-$AA$12)</f>
        <v>0.40074137090909095</v>
      </c>
      <c r="U785" s="3">
        <f>(Таблица1[Количество кредитных карт]-$AA$18)/($AA$19-$AA$18)</f>
        <v>0.23809523809523808</v>
      </c>
      <c r="V785" s="3">
        <f>(Таблица1[Число нарушений кредитных договоров]-$AA$23)/($AA$24-$AA$23)</f>
        <v>0</v>
      </c>
      <c r="W785" s="3">
        <f>Таблица1[[#This Row],[Годовой доход]]/12</f>
        <v>66680.5</v>
      </c>
      <c r="X785" s="3">
        <f>Таблица1[[#This Row],[Ежемесячный платеж]]/Таблица1[[#This Row],[Ежем доход]]</f>
        <v>0.31100156717481126</v>
      </c>
      <c r="Y785" s="3"/>
      <c r="Z785" s="3"/>
      <c r="AA785" s="3"/>
      <c r="AB785" s="3"/>
    </row>
    <row r="786" spans="1:28" x14ac:dyDescent="0.2">
      <c r="A786">
        <v>1561</v>
      </c>
      <c r="B786" t="s">
        <v>1600</v>
      </c>
      <c r="C786" t="s">
        <v>18</v>
      </c>
      <c r="D786" t="s">
        <v>29</v>
      </c>
      <c r="E786" t="s">
        <v>63</v>
      </c>
      <c r="F786" t="s">
        <v>33</v>
      </c>
      <c r="G786" t="s">
        <v>25</v>
      </c>
      <c r="H786" s="1">
        <v>360998</v>
      </c>
      <c r="I786" s="3">
        <v>729</v>
      </c>
      <c r="J786" s="3">
        <v>2319672</v>
      </c>
      <c r="K786" s="3">
        <v>17126.98</v>
      </c>
      <c r="L786" s="2">
        <v>23.4</v>
      </c>
      <c r="M786" s="11">
        <v>7</v>
      </c>
      <c r="N786" s="3">
        <v>9</v>
      </c>
      <c r="O786" s="3">
        <v>175864</v>
      </c>
      <c r="P786" s="3">
        <v>557898</v>
      </c>
      <c r="Q786" s="10">
        <v>0</v>
      </c>
      <c r="R786" s="3">
        <f>(Таблица1[Размер кредита]-$AA$2)/$AA$3</f>
        <v>0.29265442585295492</v>
      </c>
      <c r="S786" s="3">
        <f>(Таблица1[Кредитный рейтинг]-$AA$7)/($AA$8-$AA$7)</f>
        <v>0.97070572569906788</v>
      </c>
      <c r="T786" s="3">
        <f>(Таблица1[Срок с последнего нарушения кредитного договора (мес,)]-$AA$12)/($AA$13-$AA$12)</f>
        <v>7.9545454545454544E-2</v>
      </c>
      <c r="U786" s="3">
        <f>(Таблица1[Количество кредитных карт]-$AA$18)/($AA$19-$AA$18)</f>
        <v>0.19047619047619047</v>
      </c>
      <c r="V786" s="3">
        <f>(Таблица1[Число нарушений кредитных договоров]-$AA$23)/($AA$24-$AA$23)</f>
        <v>0</v>
      </c>
      <c r="W786" s="3">
        <f>Таблица1[[#This Row],[Годовой доход]]/12</f>
        <v>193306</v>
      </c>
      <c r="X786" s="3">
        <f>Таблица1[[#This Row],[Ежемесячный платеж]]/Таблица1[[#This Row],[Ежем доход]]</f>
        <v>8.8600353843129545E-2</v>
      </c>
      <c r="Y786" s="3"/>
      <c r="Z786" s="3"/>
      <c r="AA786" s="3"/>
      <c r="AB786" s="3"/>
    </row>
    <row r="787" spans="1:28" x14ac:dyDescent="0.2">
      <c r="A787">
        <v>255</v>
      </c>
      <c r="B787" t="s">
        <v>297</v>
      </c>
      <c r="C787" t="s">
        <v>18</v>
      </c>
      <c r="D787" t="s">
        <v>29</v>
      </c>
      <c r="E787" t="s">
        <v>20</v>
      </c>
      <c r="F787" t="s">
        <v>21</v>
      </c>
      <c r="G787" t="s">
        <v>67</v>
      </c>
      <c r="H787" s="1">
        <v>541794</v>
      </c>
      <c r="I787" s="3">
        <v>674</v>
      </c>
      <c r="J787" s="3">
        <v>1538145</v>
      </c>
      <c r="K787" s="3">
        <v>12766.67</v>
      </c>
      <c r="L787" s="2">
        <v>33.700000000000003</v>
      </c>
      <c r="M787" s="11">
        <v>64</v>
      </c>
      <c r="N787" s="3">
        <v>9</v>
      </c>
      <c r="O787" s="3">
        <v>300029</v>
      </c>
      <c r="P787" s="3">
        <v>557634</v>
      </c>
      <c r="Q787" s="10">
        <v>0</v>
      </c>
      <c r="R787" s="3">
        <f>(Таблица1[Размер кредита]-$AA$2)/$AA$3</f>
        <v>1.3219768399768286</v>
      </c>
      <c r="S787" s="3">
        <f>(Таблица1[Кредитный рейтинг]-$AA$7)/($AA$8-$AA$7)</f>
        <v>0.89747003994673769</v>
      </c>
      <c r="T787" s="3">
        <f>(Таблица1[Срок с последнего нарушения кредитного договора (мес,)]-$AA$12)/($AA$13-$AA$12)</f>
        <v>0.72727272727272729</v>
      </c>
      <c r="U787" s="3">
        <f>(Таблица1[Количество кредитных карт]-$AA$18)/($AA$19-$AA$18)</f>
        <v>0.19047619047619047</v>
      </c>
      <c r="V787" s="3">
        <f>(Таблица1[Число нарушений кредитных договоров]-$AA$23)/($AA$24-$AA$23)</f>
        <v>0</v>
      </c>
      <c r="W787" s="3">
        <f>Таблица1[[#This Row],[Годовой доход]]/12</f>
        <v>128178.75</v>
      </c>
      <c r="X787" s="3">
        <f>Таблица1[[#This Row],[Ежемесячный платеж]]/Таблица1[[#This Row],[Ежем доход]]</f>
        <v>9.960051880674449E-2</v>
      </c>
      <c r="Y787" s="3"/>
      <c r="Z787" s="3"/>
      <c r="AA787" s="3"/>
      <c r="AB787" s="3"/>
    </row>
    <row r="788" spans="1:28" x14ac:dyDescent="0.2">
      <c r="A788">
        <v>758</v>
      </c>
      <c r="B788" t="s">
        <v>799</v>
      </c>
      <c r="C788" t="s">
        <v>18</v>
      </c>
      <c r="D788" t="s">
        <v>19</v>
      </c>
      <c r="E788" t="s">
        <v>47</v>
      </c>
      <c r="F788" t="s">
        <v>33</v>
      </c>
      <c r="G788" t="s">
        <v>25</v>
      </c>
      <c r="H788" s="1">
        <v>267454</v>
      </c>
      <c r="I788" s="3">
        <v>0</v>
      </c>
      <c r="J788" s="3">
        <v>1168044</v>
      </c>
      <c r="K788" s="3">
        <v>19455.810000000001</v>
      </c>
      <c r="L788" s="2">
        <v>13.8</v>
      </c>
      <c r="M788" s="11">
        <v>35.265240640000002</v>
      </c>
      <c r="N788" s="3">
        <v>17</v>
      </c>
      <c r="O788" s="3">
        <v>434302</v>
      </c>
      <c r="P788" s="3">
        <v>557502</v>
      </c>
      <c r="Q788" s="10">
        <v>0</v>
      </c>
      <c r="R788" s="3">
        <f>(Таблица1[Размер кредита]-$AA$2)/$AA$3</f>
        <v>-0.23991784292956039</v>
      </c>
      <c r="S788" s="3">
        <f>(Таблица1[Кредитный рейтинг]-$AA$7)/($AA$8-$AA$7)</f>
        <v>0</v>
      </c>
      <c r="T788" s="3">
        <f>(Таблица1[Срок с последнего нарушения кредитного договора (мес,)]-$AA$12)/($AA$13-$AA$12)</f>
        <v>0.40074137090909095</v>
      </c>
      <c r="U788" s="3">
        <f>(Таблица1[Количество кредитных карт]-$AA$18)/($AA$19-$AA$18)</f>
        <v>0.38095238095238093</v>
      </c>
      <c r="V788" s="3">
        <f>(Таблица1[Число нарушений кредитных договоров]-$AA$23)/($AA$24-$AA$23)</f>
        <v>0</v>
      </c>
      <c r="W788" s="3">
        <f>Таблица1[[#This Row],[Годовой доход]]/12</f>
        <v>97337</v>
      </c>
      <c r="X788" s="3">
        <f>Таблица1[[#This Row],[Ежемесячный платеж]]/Таблица1[[#This Row],[Ежем доход]]</f>
        <v>0.19988092914308023</v>
      </c>
      <c r="Y788" s="3"/>
      <c r="Z788" s="3"/>
      <c r="AA788" s="3"/>
      <c r="AB788" s="3"/>
    </row>
    <row r="789" spans="1:28" x14ac:dyDescent="0.2">
      <c r="A789">
        <v>1763</v>
      </c>
      <c r="B789" t="s">
        <v>1801</v>
      </c>
      <c r="C789" t="s">
        <v>18</v>
      </c>
      <c r="D789" t="s">
        <v>19</v>
      </c>
      <c r="E789" t="s">
        <v>63</v>
      </c>
      <c r="F789" t="s">
        <v>21</v>
      </c>
      <c r="G789" t="s">
        <v>25</v>
      </c>
      <c r="H789" s="1">
        <v>396484</v>
      </c>
      <c r="I789" s="3">
        <v>723</v>
      </c>
      <c r="J789" s="3">
        <v>1141368</v>
      </c>
      <c r="K789" s="3">
        <v>23968.69</v>
      </c>
      <c r="L789" s="2">
        <v>17</v>
      </c>
      <c r="M789" s="11">
        <v>44</v>
      </c>
      <c r="N789" s="3">
        <v>24</v>
      </c>
      <c r="O789" s="3">
        <v>248938</v>
      </c>
      <c r="P789" s="3">
        <v>557502</v>
      </c>
      <c r="Q789" s="10">
        <v>0</v>
      </c>
      <c r="R789" s="3">
        <f>(Таблица1[Размер кредита]-$AA$2)/$AA$3</f>
        <v>0.49468619197388564</v>
      </c>
      <c r="S789" s="3">
        <f>(Таблица1[Кредитный рейтинг]-$AA$7)/($AA$8-$AA$7)</f>
        <v>0.96271637816245004</v>
      </c>
      <c r="T789" s="3">
        <f>(Таблица1[Срок с последнего нарушения кредитного договора (мес,)]-$AA$12)/($AA$13-$AA$12)</f>
        <v>0.5</v>
      </c>
      <c r="U789" s="3">
        <f>(Таблица1[Количество кредитных карт]-$AA$18)/($AA$19-$AA$18)</f>
        <v>0.54761904761904767</v>
      </c>
      <c r="V789" s="3">
        <f>(Таблица1[Число нарушений кредитных договоров]-$AA$23)/($AA$24-$AA$23)</f>
        <v>0</v>
      </c>
      <c r="W789" s="3">
        <f>Таблица1[[#This Row],[Годовой доход]]/12</f>
        <v>95114</v>
      </c>
      <c r="X789" s="3">
        <f>Таблица1[[#This Row],[Ежемесячный платеж]]/Таблица1[[#This Row],[Ежем доход]]</f>
        <v>0.25199960047942466</v>
      </c>
      <c r="Y789" s="3"/>
      <c r="Z789" s="3"/>
      <c r="AA789" s="3"/>
      <c r="AB789" s="3"/>
    </row>
    <row r="790" spans="1:28" x14ac:dyDescent="0.2">
      <c r="A790">
        <v>1150</v>
      </c>
      <c r="B790" t="s">
        <v>1189</v>
      </c>
      <c r="C790" t="s">
        <v>18</v>
      </c>
      <c r="D790" t="s">
        <v>19</v>
      </c>
      <c r="E790" t="s">
        <v>24</v>
      </c>
      <c r="F790" t="s">
        <v>33</v>
      </c>
      <c r="G790" t="s">
        <v>25</v>
      </c>
      <c r="H790" s="1">
        <v>155782</v>
      </c>
      <c r="I790" s="3">
        <v>0</v>
      </c>
      <c r="J790" s="3">
        <v>1168044</v>
      </c>
      <c r="K790" s="3">
        <v>5823.69</v>
      </c>
      <c r="L790" s="2">
        <v>19</v>
      </c>
      <c r="M790" s="11">
        <v>35.265240640000002</v>
      </c>
      <c r="N790" s="3">
        <v>13</v>
      </c>
      <c r="O790" s="3">
        <v>62472</v>
      </c>
      <c r="P790" s="3">
        <v>556490</v>
      </c>
      <c r="Q790" s="10">
        <v>0</v>
      </c>
      <c r="R790" s="3">
        <f>(Таблица1[Размер кредита]-$AA$2)/$AA$3</f>
        <v>-0.87569790792016422</v>
      </c>
      <c r="S790" s="3">
        <f>(Таблица1[Кредитный рейтинг]-$AA$7)/($AA$8-$AA$7)</f>
        <v>0</v>
      </c>
      <c r="T790" s="3">
        <f>(Таблица1[Срок с последнего нарушения кредитного договора (мес,)]-$AA$12)/($AA$13-$AA$12)</f>
        <v>0.40074137090909095</v>
      </c>
      <c r="U790" s="3">
        <f>(Таблица1[Количество кредитных карт]-$AA$18)/($AA$19-$AA$18)</f>
        <v>0.2857142857142857</v>
      </c>
      <c r="V790" s="3">
        <f>(Таблица1[Число нарушений кредитных договоров]-$AA$23)/($AA$24-$AA$23)</f>
        <v>0</v>
      </c>
      <c r="W790" s="3">
        <f>Таблица1[[#This Row],[Годовой доход]]/12</f>
        <v>97337</v>
      </c>
      <c r="X790" s="3">
        <f>Таблица1[[#This Row],[Ежемесячный платеж]]/Таблица1[[#This Row],[Ежем доход]]</f>
        <v>5.9830177630294745E-2</v>
      </c>
      <c r="Y790" s="3"/>
      <c r="Z790" s="3"/>
      <c r="AA790" s="3"/>
      <c r="AB790" s="3"/>
    </row>
    <row r="791" spans="1:28" x14ac:dyDescent="0.2">
      <c r="A791">
        <v>754</v>
      </c>
      <c r="B791" t="s">
        <v>795</v>
      </c>
      <c r="C791" t="s">
        <v>18</v>
      </c>
      <c r="D791" t="s">
        <v>19</v>
      </c>
      <c r="E791" t="s">
        <v>41</v>
      </c>
      <c r="F791" t="s">
        <v>33</v>
      </c>
      <c r="G791" t="s">
        <v>39</v>
      </c>
      <c r="H791" s="1">
        <v>345136</v>
      </c>
      <c r="I791" s="3">
        <v>703</v>
      </c>
      <c r="J791" s="3">
        <v>1117770</v>
      </c>
      <c r="K791" s="3">
        <v>6967.49</v>
      </c>
      <c r="L791" s="2">
        <v>13.5</v>
      </c>
      <c r="M791" s="11">
        <v>35.265240640000002</v>
      </c>
      <c r="N791" s="3">
        <v>8</v>
      </c>
      <c r="O791" s="3">
        <v>300846</v>
      </c>
      <c r="P791" s="3">
        <v>556468</v>
      </c>
      <c r="Q791" s="10">
        <v>0</v>
      </c>
      <c r="R791" s="3">
        <f>(Таблица1[Размер кредита]-$AA$2)/$AA$3</f>
        <v>0.20234760417087744</v>
      </c>
      <c r="S791" s="3">
        <f>(Таблица1[Кредитный рейтинг]-$AA$7)/($AA$8-$AA$7)</f>
        <v>0.93608521970705727</v>
      </c>
      <c r="T791" s="3">
        <f>(Таблица1[Срок с последнего нарушения кредитного договора (мес,)]-$AA$12)/($AA$13-$AA$12)</f>
        <v>0.40074137090909095</v>
      </c>
      <c r="U791" s="3">
        <f>(Таблица1[Количество кредитных карт]-$AA$18)/($AA$19-$AA$18)</f>
        <v>0.16666666666666666</v>
      </c>
      <c r="V791" s="3">
        <f>(Таблица1[Число нарушений кредитных договоров]-$AA$23)/($AA$24-$AA$23)</f>
        <v>0</v>
      </c>
      <c r="W791" s="3">
        <f>Таблица1[[#This Row],[Годовой доход]]/12</f>
        <v>93147.5</v>
      </c>
      <c r="X791" s="3">
        <f>Таблица1[[#This Row],[Ежемесячный платеж]]/Таблица1[[#This Row],[Ежем доход]]</f>
        <v>7.4800611932687402E-2</v>
      </c>
      <c r="Y791" s="3"/>
      <c r="Z791" s="3"/>
      <c r="AA791" s="3"/>
      <c r="AB791" s="3"/>
    </row>
    <row r="792" spans="1:28" x14ac:dyDescent="0.2">
      <c r="A792">
        <v>960</v>
      </c>
      <c r="B792" t="s">
        <v>1001</v>
      </c>
      <c r="C792" t="s">
        <v>18</v>
      </c>
      <c r="D792" t="s">
        <v>19</v>
      </c>
      <c r="E792" t="s">
        <v>69</v>
      </c>
      <c r="F792" t="s">
        <v>33</v>
      </c>
      <c r="G792" t="s">
        <v>25</v>
      </c>
      <c r="H792" s="1">
        <v>312818</v>
      </c>
      <c r="I792" s="3">
        <v>740</v>
      </c>
      <c r="J792" s="3">
        <v>1088111</v>
      </c>
      <c r="K792" s="3">
        <v>20220.75</v>
      </c>
      <c r="L792" s="2">
        <v>11.3</v>
      </c>
      <c r="M792" s="11">
        <v>35.265240640000002</v>
      </c>
      <c r="N792" s="3">
        <v>6</v>
      </c>
      <c r="O792" s="3">
        <v>356117</v>
      </c>
      <c r="P792" s="3">
        <v>556468</v>
      </c>
      <c r="Q792" s="10">
        <v>0</v>
      </c>
      <c r="R792" s="3">
        <f>(Таблица1[Размер кредита]-$AA$2)/$AA$3</f>
        <v>1.8352151950389427E-2</v>
      </c>
      <c r="S792" s="3">
        <f>(Таблица1[Кредитный рейтинг]-$AA$7)/($AA$8-$AA$7)</f>
        <v>0.98535286284953394</v>
      </c>
      <c r="T792" s="3">
        <f>(Таблица1[Срок с последнего нарушения кредитного договора (мес,)]-$AA$12)/($AA$13-$AA$12)</f>
        <v>0.40074137090909095</v>
      </c>
      <c r="U792" s="3">
        <f>(Таблица1[Количество кредитных карт]-$AA$18)/($AA$19-$AA$18)</f>
        <v>0.11904761904761904</v>
      </c>
      <c r="V792" s="3">
        <f>(Таблица1[Число нарушений кредитных договоров]-$AA$23)/($AA$24-$AA$23)</f>
        <v>0</v>
      </c>
      <c r="W792" s="3">
        <f>Таблица1[[#This Row],[Годовой доход]]/12</f>
        <v>90675.916666666672</v>
      </c>
      <c r="X792" s="3">
        <f>Таблица1[[#This Row],[Ежемесячный платеж]]/Таблица1[[#This Row],[Ежем доход]]</f>
        <v>0.2230002269988999</v>
      </c>
      <c r="Y792" s="3"/>
      <c r="Z792" s="3"/>
      <c r="AA792" s="3"/>
      <c r="AB792" s="3"/>
    </row>
    <row r="793" spans="1:28" x14ac:dyDescent="0.2">
      <c r="A793">
        <v>9</v>
      </c>
      <c r="B793" t="s">
        <v>40</v>
      </c>
      <c r="C793" t="s">
        <v>18</v>
      </c>
      <c r="D793" t="s">
        <v>19</v>
      </c>
      <c r="E793" t="s">
        <v>41</v>
      </c>
      <c r="F793" t="s">
        <v>33</v>
      </c>
      <c r="G793" t="s">
        <v>25</v>
      </c>
      <c r="H793" s="1">
        <v>548746</v>
      </c>
      <c r="I793" s="3">
        <v>678</v>
      </c>
      <c r="J793" s="3">
        <v>2559110</v>
      </c>
      <c r="K793" s="3">
        <v>18660.28</v>
      </c>
      <c r="L793" s="2">
        <v>22.6</v>
      </c>
      <c r="M793" s="11">
        <v>33</v>
      </c>
      <c r="N793" s="3">
        <v>4</v>
      </c>
      <c r="O793" s="3">
        <v>437171</v>
      </c>
      <c r="P793" s="3">
        <v>555038</v>
      </c>
      <c r="Q793" s="10">
        <v>0</v>
      </c>
      <c r="R793" s="3">
        <f>(Таблица1[Размер кредита]-$AA$2)/$AA$3</f>
        <v>1.3615565288139111</v>
      </c>
      <c r="S793" s="3">
        <f>(Таблица1[Кредитный рейтинг]-$AA$7)/($AA$8-$AA$7)</f>
        <v>0.90279627163781628</v>
      </c>
      <c r="T793" s="3">
        <f>(Таблица1[Срок с последнего нарушения кредитного договора (мес,)]-$AA$12)/($AA$13-$AA$12)</f>
        <v>0.375</v>
      </c>
      <c r="U793" s="3">
        <f>(Таблица1[Количество кредитных карт]-$AA$18)/($AA$19-$AA$18)</f>
        <v>7.1428571428571425E-2</v>
      </c>
      <c r="V793" s="3">
        <f>(Таблица1[Число нарушений кредитных договоров]-$AA$23)/($AA$24-$AA$23)</f>
        <v>0</v>
      </c>
      <c r="W793" s="3">
        <f>Таблица1[[#This Row],[Годовой доход]]/12</f>
        <v>213259.16666666666</v>
      </c>
      <c r="X793" s="3">
        <f>Таблица1[[#This Row],[Ежемесячный платеж]]/Таблица1[[#This Row],[Ежем доход]]</f>
        <v>8.7500482589650305E-2</v>
      </c>
      <c r="Y793" s="3"/>
      <c r="Z793" s="3"/>
      <c r="AA793" s="3"/>
      <c r="AB793" s="3"/>
    </row>
    <row r="794" spans="1:28" x14ac:dyDescent="0.2">
      <c r="A794">
        <v>1755</v>
      </c>
      <c r="B794" t="s">
        <v>1793</v>
      </c>
      <c r="C794" t="s">
        <v>35</v>
      </c>
      <c r="D794" t="s">
        <v>19</v>
      </c>
      <c r="E794" t="s">
        <v>24</v>
      </c>
      <c r="F794" t="s">
        <v>21</v>
      </c>
      <c r="G794" t="s">
        <v>25</v>
      </c>
      <c r="H794" s="1">
        <v>441408</v>
      </c>
      <c r="I794" s="3">
        <v>738</v>
      </c>
      <c r="J794" s="3">
        <v>868604</v>
      </c>
      <c r="K794" s="3">
        <v>11943.21</v>
      </c>
      <c r="L794" s="2">
        <v>28.8</v>
      </c>
      <c r="M794" s="11">
        <v>35.265240640000002</v>
      </c>
      <c r="N794" s="3">
        <v>7</v>
      </c>
      <c r="O794" s="3">
        <v>327009</v>
      </c>
      <c r="P794" s="3">
        <v>554378</v>
      </c>
      <c r="Q794" s="10">
        <v>0</v>
      </c>
      <c r="R794" s="3">
        <f>(Таблица1[Размер кредита]-$AA$2)/$AA$3</f>
        <v>0.75045114325655171</v>
      </c>
      <c r="S794" s="3">
        <f>(Таблица1[Кредитный рейтинг]-$AA$7)/($AA$8-$AA$7)</f>
        <v>0.9826897470039947</v>
      </c>
      <c r="T794" s="3">
        <f>(Таблица1[Срок с последнего нарушения кредитного договора (мес,)]-$AA$12)/($AA$13-$AA$12)</f>
        <v>0.40074137090909095</v>
      </c>
      <c r="U794" s="3">
        <f>(Таблица1[Количество кредитных карт]-$AA$18)/($AA$19-$AA$18)</f>
        <v>0.14285714285714285</v>
      </c>
      <c r="V794" s="3">
        <f>(Таблица1[Число нарушений кредитных договоров]-$AA$23)/($AA$24-$AA$23)</f>
        <v>0</v>
      </c>
      <c r="W794" s="3">
        <f>Таблица1[[#This Row],[Годовой доход]]/12</f>
        <v>72383.666666666672</v>
      </c>
      <c r="X794" s="3">
        <f>Таблица1[[#This Row],[Ежемесячный платеж]]/Таблица1[[#This Row],[Ежем доход]]</f>
        <v>0.16499868754921687</v>
      </c>
      <c r="Y794" s="3"/>
      <c r="Z794" s="3"/>
      <c r="AA794" s="3"/>
      <c r="AB794" s="3"/>
    </row>
    <row r="795" spans="1:28" x14ac:dyDescent="0.2">
      <c r="A795">
        <v>710</v>
      </c>
      <c r="B795" t="s">
        <v>751</v>
      </c>
      <c r="C795" t="s">
        <v>35</v>
      </c>
      <c r="D795" t="s">
        <v>19</v>
      </c>
      <c r="E795" t="s">
        <v>41</v>
      </c>
      <c r="F795" t="s">
        <v>21</v>
      </c>
      <c r="G795" t="s">
        <v>25</v>
      </c>
      <c r="H795" s="1">
        <v>208604</v>
      </c>
      <c r="I795" s="3">
        <v>0</v>
      </c>
      <c r="J795" s="3">
        <v>1168044</v>
      </c>
      <c r="K795" s="3">
        <v>20384.91</v>
      </c>
      <c r="L795" s="2">
        <v>17.600000000000001</v>
      </c>
      <c r="M795" s="11">
        <v>35.265240640000002</v>
      </c>
      <c r="N795" s="3">
        <v>11</v>
      </c>
      <c r="O795" s="3">
        <v>358720</v>
      </c>
      <c r="P795" s="3">
        <v>553828</v>
      </c>
      <c r="Q795" s="10">
        <v>0</v>
      </c>
      <c r="R795" s="3">
        <f>(Таблица1[Размер кредита]-$AA$2)/$AA$3</f>
        <v>-0.57496742406625567</v>
      </c>
      <c r="S795" s="3">
        <f>(Таблица1[Кредитный рейтинг]-$AA$7)/($AA$8-$AA$7)</f>
        <v>0</v>
      </c>
      <c r="T795" s="3">
        <f>(Таблица1[Срок с последнего нарушения кредитного договора (мес,)]-$AA$12)/($AA$13-$AA$12)</f>
        <v>0.40074137090909095</v>
      </c>
      <c r="U795" s="3">
        <f>(Таблица1[Количество кредитных карт]-$AA$18)/($AA$19-$AA$18)</f>
        <v>0.23809523809523808</v>
      </c>
      <c r="V795" s="3">
        <f>(Таблица1[Число нарушений кредитных договоров]-$AA$23)/($AA$24-$AA$23)</f>
        <v>0</v>
      </c>
      <c r="W795" s="3">
        <f>Таблица1[[#This Row],[Годовой доход]]/12</f>
        <v>97337</v>
      </c>
      <c r="X795" s="3">
        <f>Таблица1[[#This Row],[Ежемесячный платеж]]/Таблица1[[#This Row],[Ежем доход]]</f>
        <v>0.2094261175092719</v>
      </c>
      <c r="Y795" s="3"/>
      <c r="Z795" s="3"/>
      <c r="AA795" s="3"/>
      <c r="AB795" s="3"/>
    </row>
    <row r="796" spans="1:28" x14ac:dyDescent="0.2">
      <c r="A796">
        <v>1733</v>
      </c>
      <c r="B796" t="s">
        <v>1771</v>
      </c>
      <c r="C796" t="s">
        <v>18</v>
      </c>
      <c r="D796" t="s">
        <v>29</v>
      </c>
      <c r="E796" t="s">
        <v>24</v>
      </c>
      <c r="F796" t="s">
        <v>21</v>
      </c>
      <c r="G796" t="s">
        <v>25</v>
      </c>
      <c r="H796" s="1">
        <v>216062</v>
      </c>
      <c r="I796" s="3">
        <v>724</v>
      </c>
      <c r="J796" s="3">
        <v>2145898</v>
      </c>
      <c r="K796" s="3">
        <v>33082.42</v>
      </c>
      <c r="L796" s="2">
        <v>14.9</v>
      </c>
      <c r="M796" s="11">
        <v>35.265240640000002</v>
      </c>
      <c r="N796" s="3">
        <v>12</v>
      </c>
      <c r="O796" s="3">
        <v>243352</v>
      </c>
      <c r="P796" s="3">
        <v>553564</v>
      </c>
      <c r="Q796" s="10">
        <v>0</v>
      </c>
      <c r="R796" s="3">
        <f>(Таблица1[Размер кредита]-$AA$2)/$AA$3</f>
        <v>-0.53250693509229696</v>
      </c>
      <c r="S796" s="3">
        <f>(Таблица1[Кредитный рейтинг]-$AA$7)/($AA$8-$AA$7)</f>
        <v>0.96404793608521966</v>
      </c>
      <c r="T796" s="3">
        <f>(Таблица1[Срок с последнего нарушения кредитного договора (мес,)]-$AA$12)/($AA$13-$AA$12)</f>
        <v>0.40074137090909095</v>
      </c>
      <c r="U796" s="3">
        <f>(Таблица1[Количество кредитных карт]-$AA$18)/($AA$19-$AA$18)</f>
        <v>0.26190476190476192</v>
      </c>
      <c r="V796" s="3">
        <f>(Таблица1[Число нарушений кредитных договоров]-$AA$23)/($AA$24-$AA$23)</f>
        <v>0</v>
      </c>
      <c r="W796" s="3">
        <f>Таблица1[[#This Row],[Годовой доход]]/12</f>
        <v>178824.83333333334</v>
      </c>
      <c r="X796" s="3">
        <f>Таблица1[[#This Row],[Ежемесячный платеж]]/Таблица1[[#This Row],[Ежем доход]]</f>
        <v>0.18499902604876836</v>
      </c>
      <c r="Y796" s="3"/>
      <c r="Z796" s="3"/>
      <c r="AA796" s="3"/>
      <c r="AB796" s="3"/>
    </row>
    <row r="797" spans="1:28" x14ac:dyDescent="0.2">
      <c r="A797">
        <v>1554</v>
      </c>
      <c r="B797" t="s">
        <v>1593</v>
      </c>
      <c r="C797" t="s">
        <v>18</v>
      </c>
      <c r="D797" t="s">
        <v>19</v>
      </c>
      <c r="E797" t="s">
        <v>32</v>
      </c>
      <c r="F797" t="s">
        <v>33</v>
      </c>
      <c r="G797" t="s">
        <v>67</v>
      </c>
      <c r="H797" s="1">
        <v>756140</v>
      </c>
      <c r="I797" s="3">
        <v>0</v>
      </c>
      <c r="J797" s="3">
        <v>1168044</v>
      </c>
      <c r="K797" s="3">
        <v>24208.85</v>
      </c>
      <c r="L797" s="2">
        <v>9.5</v>
      </c>
      <c r="M797" s="11">
        <v>35.265240640000002</v>
      </c>
      <c r="N797" s="3">
        <v>11</v>
      </c>
      <c r="O797" s="3">
        <v>248995</v>
      </c>
      <c r="P797" s="3">
        <v>553366</v>
      </c>
      <c r="Q797" s="10">
        <v>0</v>
      </c>
      <c r="R797" s="3">
        <f>(Таблица1[Размер кредита]-$AA$2)/$AA$3</f>
        <v>2.5423088283935846</v>
      </c>
      <c r="S797" s="3">
        <f>(Таблица1[Кредитный рейтинг]-$AA$7)/($AA$8-$AA$7)</f>
        <v>0</v>
      </c>
      <c r="T797" s="3">
        <f>(Таблица1[Срок с последнего нарушения кредитного договора (мес,)]-$AA$12)/($AA$13-$AA$12)</f>
        <v>0.40074137090909095</v>
      </c>
      <c r="U797" s="3">
        <f>(Таблица1[Количество кредитных карт]-$AA$18)/($AA$19-$AA$18)</f>
        <v>0.23809523809523808</v>
      </c>
      <c r="V797" s="3">
        <f>(Таблица1[Число нарушений кредитных договоров]-$AA$23)/($AA$24-$AA$23)</f>
        <v>0</v>
      </c>
      <c r="W797" s="3">
        <f>Таблица1[[#This Row],[Годовой доход]]/12</f>
        <v>97337</v>
      </c>
      <c r="X797" s="3">
        <f>Таблица1[[#This Row],[Ежемесячный платеж]]/Таблица1[[#This Row],[Ежем доход]]</f>
        <v>0.24871169236775326</v>
      </c>
      <c r="Y797" s="3"/>
      <c r="Z797" s="3"/>
      <c r="AA797" s="3"/>
      <c r="AB797" s="3"/>
    </row>
    <row r="798" spans="1:28" x14ac:dyDescent="0.2">
      <c r="A798">
        <v>1932</v>
      </c>
      <c r="B798" t="s">
        <v>1968</v>
      </c>
      <c r="C798" t="s">
        <v>18</v>
      </c>
      <c r="D798" t="s">
        <v>19</v>
      </c>
      <c r="E798" t="s">
        <v>69</v>
      </c>
      <c r="F798" t="s">
        <v>21</v>
      </c>
      <c r="G798" t="s">
        <v>25</v>
      </c>
      <c r="H798" s="1">
        <v>323840</v>
      </c>
      <c r="I798" s="3">
        <v>0</v>
      </c>
      <c r="J798" s="3">
        <v>1168044</v>
      </c>
      <c r="K798" s="3">
        <v>22577.89</v>
      </c>
      <c r="L798" s="2">
        <v>23.3</v>
      </c>
      <c r="M798" s="11">
        <v>35.265240640000002</v>
      </c>
      <c r="N798" s="3">
        <v>16</v>
      </c>
      <c r="O798" s="3">
        <v>360791</v>
      </c>
      <c r="P798" s="3">
        <v>553322</v>
      </c>
      <c r="Q798" s="10">
        <v>0</v>
      </c>
      <c r="R798" s="3">
        <f>(Таблица1[Размер кредита]-$AA$2)/$AA$3</f>
        <v>8.1103494062346196E-2</v>
      </c>
      <c r="S798" s="3">
        <f>(Таблица1[Кредитный рейтинг]-$AA$7)/($AA$8-$AA$7)</f>
        <v>0</v>
      </c>
      <c r="T798" s="3">
        <f>(Таблица1[Срок с последнего нарушения кредитного договора (мес,)]-$AA$12)/($AA$13-$AA$12)</f>
        <v>0.40074137090909095</v>
      </c>
      <c r="U798" s="3">
        <f>(Таблица1[Количество кредитных карт]-$AA$18)/($AA$19-$AA$18)</f>
        <v>0.35714285714285715</v>
      </c>
      <c r="V798" s="3">
        <f>(Таблица1[Число нарушений кредитных договоров]-$AA$23)/($AA$24-$AA$23)</f>
        <v>0</v>
      </c>
      <c r="W798" s="3">
        <f>Таблица1[[#This Row],[Годовой доход]]/12</f>
        <v>97337</v>
      </c>
      <c r="X798" s="3">
        <f>Таблица1[[#This Row],[Ежемесячный платеж]]/Таблица1[[#This Row],[Ежем доход]]</f>
        <v>0.23195588522350186</v>
      </c>
      <c r="Y798" s="3"/>
      <c r="Z798" s="3"/>
      <c r="AA798" s="3"/>
      <c r="AB798" s="3"/>
    </row>
    <row r="799" spans="1:28" x14ac:dyDescent="0.2">
      <c r="A799">
        <v>1943</v>
      </c>
      <c r="B799" t="s">
        <v>1979</v>
      </c>
      <c r="C799" t="s">
        <v>18</v>
      </c>
      <c r="D799" t="s">
        <v>29</v>
      </c>
      <c r="E799" t="s">
        <v>24</v>
      </c>
      <c r="F799" t="s">
        <v>21</v>
      </c>
      <c r="G799" t="s">
        <v>25</v>
      </c>
      <c r="H799" s="1">
        <v>309594.52439999999</v>
      </c>
      <c r="I799" s="3">
        <v>689</v>
      </c>
      <c r="J799" s="3">
        <v>845861</v>
      </c>
      <c r="K799" s="3">
        <v>15578.1</v>
      </c>
      <c r="L799" s="2">
        <v>32.799999999999997</v>
      </c>
      <c r="M799" s="11">
        <v>35.265240640000002</v>
      </c>
      <c r="N799" s="3">
        <v>10</v>
      </c>
      <c r="O799" s="3">
        <v>412623</v>
      </c>
      <c r="P799" s="3">
        <v>552354</v>
      </c>
      <c r="Q799" s="10">
        <v>0</v>
      </c>
      <c r="R799" s="3">
        <f>(Таблица1[Размер кредита]-$AA$2)/$AA$3</f>
        <v>-1.2411115481956205E-10</v>
      </c>
      <c r="S799" s="3">
        <f>(Таблица1[Кредитный рейтинг]-$AA$7)/($AA$8-$AA$7)</f>
        <v>0.91744340878828234</v>
      </c>
      <c r="T799" s="3">
        <f>(Таблица1[Срок с последнего нарушения кредитного договора (мес,)]-$AA$12)/($AA$13-$AA$12)</f>
        <v>0.40074137090909095</v>
      </c>
      <c r="U799" s="3">
        <f>(Таблица1[Количество кредитных карт]-$AA$18)/($AA$19-$AA$18)</f>
        <v>0.21428571428571427</v>
      </c>
      <c r="V799" s="3">
        <f>(Таблица1[Число нарушений кредитных договоров]-$AA$23)/($AA$24-$AA$23)</f>
        <v>0</v>
      </c>
      <c r="W799" s="3">
        <f>Таблица1[[#This Row],[Годовой доход]]/12</f>
        <v>70488.416666666672</v>
      </c>
      <c r="X799" s="3">
        <f>Таблица1[[#This Row],[Ежемесячный платеж]]/Таблица1[[#This Row],[Ежем доход]]</f>
        <v>0.22100226869426537</v>
      </c>
      <c r="Y799" s="3"/>
      <c r="Z799" s="3"/>
      <c r="AA799" s="3"/>
      <c r="AB799" s="3"/>
    </row>
    <row r="800" spans="1:28" x14ac:dyDescent="0.2">
      <c r="A800">
        <v>1462</v>
      </c>
      <c r="B800" t="s">
        <v>1501</v>
      </c>
      <c r="C800" t="s">
        <v>35</v>
      </c>
      <c r="D800" t="s">
        <v>19</v>
      </c>
      <c r="E800" t="s">
        <v>30</v>
      </c>
      <c r="F800" t="s">
        <v>33</v>
      </c>
      <c r="G800" t="s">
        <v>70</v>
      </c>
      <c r="H800" s="1">
        <v>335258</v>
      </c>
      <c r="I800" s="3">
        <v>737</v>
      </c>
      <c r="J800" s="3">
        <v>1534516</v>
      </c>
      <c r="K800" s="3">
        <v>25319.59</v>
      </c>
      <c r="L800" s="2">
        <v>13.5</v>
      </c>
      <c r="M800" s="11">
        <v>35.265240640000002</v>
      </c>
      <c r="N800" s="3">
        <v>6</v>
      </c>
      <c r="O800" s="3">
        <v>269211</v>
      </c>
      <c r="P800" s="3">
        <v>551694</v>
      </c>
      <c r="Q800" s="10">
        <v>0</v>
      </c>
      <c r="R800" s="3">
        <f>(Таблица1[Размер кредита]-$AA$2)/$AA$3</f>
        <v>0.14610937541185828</v>
      </c>
      <c r="S800" s="3">
        <f>(Таблица1[Кредитный рейтинг]-$AA$7)/($AA$8-$AA$7)</f>
        <v>0.98135818908122507</v>
      </c>
      <c r="T800" s="3">
        <f>(Таблица1[Срок с последнего нарушения кредитного договора (мес,)]-$AA$12)/($AA$13-$AA$12)</f>
        <v>0.40074137090909095</v>
      </c>
      <c r="U800" s="3">
        <f>(Таблица1[Количество кредитных карт]-$AA$18)/($AA$19-$AA$18)</f>
        <v>0.11904761904761904</v>
      </c>
      <c r="V800" s="3">
        <f>(Таблица1[Число нарушений кредитных договоров]-$AA$23)/($AA$24-$AA$23)</f>
        <v>0</v>
      </c>
      <c r="W800" s="3">
        <f>Таблица1[[#This Row],[Годовой доход]]/12</f>
        <v>127876.33333333333</v>
      </c>
      <c r="X800" s="3">
        <f>Таблица1[[#This Row],[Ежемесячный платеж]]/Таблица1[[#This Row],[Ежем доход]]</f>
        <v>0.19800059432420386</v>
      </c>
      <c r="Y800" s="3"/>
      <c r="Z800" s="3"/>
      <c r="AA800" s="3"/>
      <c r="AB800" s="3"/>
    </row>
    <row r="801" spans="1:28" x14ac:dyDescent="0.2">
      <c r="A801">
        <v>179</v>
      </c>
      <c r="B801" t="s">
        <v>221</v>
      </c>
      <c r="C801" t="s">
        <v>18</v>
      </c>
      <c r="D801" t="s">
        <v>19</v>
      </c>
      <c r="E801" t="s">
        <v>41</v>
      </c>
      <c r="F801" t="s">
        <v>33</v>
      </c>
      <c r="G801" t="s">
        <v>25</v>
      </c>
      <c r="H801" s="1">
        <v>216370</v>
      </c>
      <c r="I801" s="3">
        <v>0</v>
      </c>
      <c r="J801" s="3">
        <v>1168044</v>
      </c>
      <c r="K801" s="3">
        <v>6446.89</v>
      </c>
      <c r="L801" s="2">
        <v>8.1999999999999993</v>
      </c>
      <c r="M801" s="11">
        <v>35.265240640000002</v>
      </c>
      <c r="N801" s="3">
        <v>10</v>
      </c>
      <c r="O801" s="3">
        <v>239970</v>
      </c>
      <c r="P801" s="3">
        <v>551320</v>
      </c>
      <c r="Q801" s="10">
        <v>0</v>
      </c>
      <c r="R801" s="3">
        <f>(Таблица1[Размер кредита]-$AA$2)/$AA$3</f>
        <v>-0.53075340457419828</v>
      </c>
      <c r="S801" s="3">
        <f>(Таблица1[Кредитный рейтинг]-$AA$7)/($AA$8-$AA$7)</f>
        <v>0</v>
      </c>
      <c r="T801" s="3">
        <f>(Таблица1[Срок с последнего нарушения кредитного договора (мес,)]-$AA$12)/($AA$13-$AA$12)</f>
        <v>0.40074137090909095</v>
      </c>
      <c r="U801" s="3">
        <f>(Таблица1[Количество кредитных карт]-$AA$18)/($AA$19-$AA$18)</f>
        <v>0.21428571428571427</v>
      </c>
      <c r="V801" s="3">
        <f>(Таблица1[Число нарушений кредитных договоров]-$AA$23)/($AA$24-$AA$23)</f>
        <v>0</v>
      </c>
      <c r="W801" s="3">
        <f>Таблица1[[#This Row],[Годовой доход]]/12</f>
        <v>97337</v>
      </c>
      <c r="X801" s="3">
        <f>Таблица1[[#This Row],[Ежемесячный платеж]]/Таблица1[[#This Row],[Ежем доход]]</f>
        <v>6.6232676166308804E-2</v>
      </c>
      <c r="Y801" s="3"/>
      <c r="Z801" s="3"/>
      <c r="AA801" s="3"/>
      <c r="AB801" s="3"/>
    </row>
    <row r="802" spans="1:28" x14ac:dyDescent="0.2">
      <c r="A802">
        <v>1003</v>
      </c>
      <c r="B802" t="s">
        <v>1043</v>
      </c>
      <c r="C802" t="s">
        <v>18</v>
      </c>
      <c r="D802" t="s">
        <v>29</v>
      </c>
      <c r="E802" t="s">
        <v>32</v>
      </c>
      <c r="F802" t="s">
        <v>27</v>
      </c>
      <c r="G802" t="s">
        <v>25</v>
      </c>
      <c r="H802" s="1">
        <v>268928</v>
      </c>
      <c r="I802" s="3">
        <v>0</v>
      </c>
      <c r="J802" s="3">
        <v>1168044</v>
      </c>
      <c r="K802" s="3">
        <v>16369.83</v>
      </c>
      <c r="L802" s="2">
        <v>25</v>
      </c>
      <c r="M802" s="11">
        <v>88</v>
      </c>
      <c r="N802" s="3">
        <v>14</v>
      </c>
      <c r="O802" s="3">
        <v>253688</v>
      </c>
      <c r="P802" s="3">
        <v>551122</v>
      </c>
      <c r="Q802" s="10">
        <v>0</v>
      </c>
      <c r="R802" s="3">
        <f>(Таблица1[Размер кредита]-$AA$2)/$AA$3</f>
        <v>-0.23152594687865996</v>
      </c>
      <c r="S802" s="3">
        <f>(Таблица1[Кредитный рейтинг]-$AA$7)/($AA$8-$AA$7)</f>
        <v>0</v>
      </c>
      <c r="T802" s="3">
        <f>(Таблица1[Срок с последнего нарушения кредитного договора (мес,)]-$AA$12)/($AA$13-$AA$12)</f>
        <v>1</v>
      </c>
      <c r="U802" s="3">
        <f>(Таблица1[Количество кредитных карт]-$AA$18)/($AA$19-$AA$18)</f>
        <v>0.30952380952380953</v>
      </c>
      <c r="V802" s="3">
        <f>(Таблица1[Число нарушений кредитных договоров]-$AA$23)/($AA$24-$AA$23)</f>
        <v>0</v>
      </c>
      <c r="W802" s="3">
        <f>Таблица1[[#This Row],[Годовой доход]]/12</f>
        <v>97337</v>
      </c>
      <c r="X802" s="3">
        <f>Таблица1[[#This Row],[Ежемесячный платеж]]/Таблица1[[#This Row],[Ежем доход]]</f>
        <v>0.16817684950224479</v>
      </c>
      <c r="Y802" s="3"/>
      <c r="Z802" s="3"/>
      <c r="AA802" s="3"/>
      <c r="AB802" s="3"/>
    </row>
    <row r="803" spans="1:28" x14ac:dyDescent="0.2">
      <c r="A803">
        <v>1458</v>
      </c>
      <c r="B803" t="s">
        <v>1497</v>
      </c>
      <c r="C803" t="s">
        <v>35</v>
      </c>
      <c r="D803" t="s">
        <v>29</v>
      </c>
      <c r="E803" t="s">
        <v>24</v>
      </c>
      <c r="F803" t="s">
        <v>21</v>
      </c>
      <c r="G803" t="s">
        <v>22</v>
      </c>
      <c r="H803" s="1">
        <v>324258</v>
      </c>
      <c r="I803" s="3">
        <v>695</v>
      </c>
      <c r="J803" s="3">
        <v>896135</v>
      </c>
      <c r="K803" s="3">
        <v>21133.7</v>
      </c>
      <c r="L803" s="2">
        <v>28.2</v>
      </c>
      <c r="M803" s="11">
        <v>35.265240640000002</v>
      </c>
      <c r="N803" s="3">
        <v>15</v>
      </c>
      <c r="O803" s="3">
        <v>109459</v>
      </c>
      <c r="P803" s="3">
        <v>551034</v>
      </c>
      <c r="Q803" s="10">
        <v>1</v>
      </c>
      <c r="R803" s="3">
        <f>(Таблица1[Размер кредита]-$AA$2)/$AA$3</f>
        <v>8.3483285479765718E-2</v>
      </c>
      <c r="S803" s="3">
        <f>(Таблица1[Кредитный рейтинг]-$AA$7)/($AA$8-$AA$7)</f>
        <v>0.92543275632490019</v>
      </c>
      <c r="T803" s="3">
        <f>(Таблица1[Срок с последнего нарушения кредитного договора (мес,)]-$AA$12)/($AA$13-$AA$12)</f>
        <v>0.40074137090909095</v>
      </c>
      <c r="U803" s="3">
        <f>(Таблица1[Количество кредитных карт]-$AA$18)/($AA$19-$AA$18)</f>
        <v>0.33333333333333331</v>
      </c>
      <c r="V803" s="3">
        <f>(Таблица1[Число нарушений кредитных договоров]-$AA$23)/($AA$24-$AA$23)</f>
        <v>0.14285714285714285</v>
      </c>
      <c r="W803" s="3">
        <f>Таблица1[[#This Row],[Годовой доход]]/12</f>
        <v>74677.916666666672</v>
      </c>
      <c r="X803" s="3">
        <f>Таблица1[[#This Row],[Ежемесячный платеж]]/Таблица1[[#This Row],[Ежем доход]]</f>
        <v>0.28299798579455104</v>
      </c>
      <c r="Y803" s="3"/>
      <c r="Z803" s="3"/>
      <c r="AA803" s="3"/>
      <c r="AB803" s="3"/>
    </row>
    <row r="804" spans="1:28" x14ac:dyDescent="0.2">
      <c r="A804">
        <v>994</v>
      </c>
      <c r="B804" t="s">
        <v>1034</v>
      </c>
      <c r="C804" t="s">
        <v>18</v>
      </c>
      <c r="D804" t="s">
        <v>19</v>
      </c>
      <c r="E804" t="s">
        <v>32</v>
      </c>
      <c r="F804" t="s">
        <v>33</v>
      </c>
      <c r="G804" t="s">
        <v>25</v>
      </c>
      <c r="H804" s="1">
        <v>168102</v>
      </c>
      <c r="I804" s="3">
        <v>714</v>
      </c>
      <c r="J804" s="3">
        <v>427272</v>
      </c>
      <c r="K804" s="3">
        <v>13815.28</v>
      </c>
      <c r="L804" s="2">
        <v>9.9</v>
      </c>
      <c r="M804" s="11">
        <v>14</v>
      </c>
      <c r="N804" s="3">
        <v>18</v>
      </c>
      <c r="O804" s="3">
        <v>122227</v>
      </c>
      <c r="P804" s="3">
        <v>550660</v>
      </c>
      <c r="Q804" s="10">
        <v>0</v>
      </c>
      <c r="R804" s="3">
        <f>(Таблица1[Размер кредита]-$AA$2)/$AA$3</f>
        <v>-0.80555668719622053</v>
      </c>
      <c r="S804" s="3">
        <f>(Таблица1[Кредитный рейтинг]-$AA$7)/($AA$8-$AA$7)</f>
        <v>0.95073235685752333</v>
      </c>
      <c r="T804" s="3">
        <f>(Таблица1[Срок с последнего нарушения кредитного договора (мес,)]-$AA$12)/($AA$13-$AA$12)</f>
        <v>0.15909090909090909</v>
      </c>
      <c r="U804" s="3">
        <f>(Таблица1[Количество кредитных карт]-$AA$18)/($AA$19-$AA$18)</f>
        <v>0.40476190476190477</v>
      </c>
      <c r="V804" s="3">
        <f>(Таблица1[Число нарушений кредитных договоров]-$AA$23)/($AA$24-$AA$23)</f>
        <v>0</v>
      </c>
      <c r="W804" s="3">
        <f>Таблица1[[#This Row],[Годовой доход]]/12</f>
        <v>35606</v>
      </c>
      <c r="X804" s="3">
        <f>Таблица1[[#This Row],[Ежемесячный платеж]]/Таблица1[[#This Row],[Ежем доход]]</f>
        <v>0.38800426894343654</v>
      </c>
      <c r="Y804" s="3"/>
      <c r="Z804" s="3"/>
      <c r="AA804" s="3"/>
      <c r="AB804" s="3"/>
    </row>
    <row r="805" spans="1:28" x14ac:dyDescent="0.2">
      <c r="A805">
        <v>1018</v>
      </c>
      <c r="B805" t="s">
        <v>1057</v>
      </c>
      <c r="C805" t="s">
        <v>18</v>
      </c>
      <c r="D805" t="s">
        <v>29</v>
      </c>
      <c r="E805" t="s">
        <v>63</v>
      </c>
      <c r="F805" t="s">
        <v>33</v>
      </c>
      <c r="G805" t="s">
        <v>25</v>
      </c>
      <c r="H805" s="1">
        <v>510334</v>
      </c>
      <c r="I805" s="3">
        <v>718</v>
      </c>
      <c r="J805" s="3">
        <v>900239</v>
      </c>
      <c r="K805" s="3">
        <v>15266.5</v>
      </c>
      <c r="L805" s="2">
        <v>23.6</v>
      </c>
      <c r="M805" s="11">
        <v>35.265240640000002</v>
      </c>
      <c r="N805" s="3">
        <v>8</v>
      </c>
      <c r="O805" s="3">
        <v>361665</v>
      </c>
      <c r="P805" s="3">
        <v>549582</v>
      </c>
      <c r="Q805" s="10">
        <v>0</v>
      </c>
      <c r="R805" s="3">
        <f>(Таблица1[Размер кредита]-$AA$2)/$AA$3</f>
        <v>1.1428662227710438</v>
      </c>
      <c r="S805" s="3">
        <f>(Таблица1[Кредитный рейтинг]-$AA$7)/($AA$8-$AA$7)</f>
        <v>0.95605858854860182</v>
      </c>
      <c r="T805" s="3">
        <f>(Таблица1[Срок с последнего нарушения кредитного договора (мес,)]-$AA$12)/($AA$13-$AA$12)</f>
        <v>0.40074137090909095</v>
      </c>
      <c r="U805" s="3">
        <f>(Таблица1[Количество кредитных карт]-$AA$18)/($AA$19-$AA$18)</f>
        <v>0.16666666666666666</v>
      </c>
      <c r="V805" s="3">
        <f>(Таблица1[Число нарушений кредитных договоров]-$AA$23)/($AA$24-$AA$23)</f>
        <v>0</v>
      </c>
      <c r="W805" s="3">
        <f>Таблица1[[#This Row],[Годовой доход]]/12</f>
        <v>75019.916666666672</v>
      </c>
      <c r="X805" s="3">
        <f>Таблица1[[#This Row],[Ежемесячный платеж]]/Таблица1[[#This Row],[Ежем доход]]</f>
        <v>0.20349929296553471</v>
      </c>
      <c r="Y805" s="3"/>
      <c r="Z805" s="3"/>
      <c r="AA805" s="3"/>
      <c r="AB805" s="3"/>
    </row>
    <row r="806" spans="1:28" x14ac:dyDescent="0.2">
      <c r="A806">
        <v>760</v>
      </c>
      <c r="B806" t="s">
        <v>801</v>
      </c>
      <c r="C806" t="s">
        <v>18</v>
      </c>
      <c r="D806" t="s">
        <v>29</v>
      </c>
      <c r="E806" t="s">
        <v>24</v>
      </c>
      <c r="F806" t="s">
        <v>21</v>
      </c>
      <c r="G806" t="s">
        <v>67</v>
      </c>
      <c r="H806" s="1">
        <v>283426</v>
      </c>
      <c r="I806" s="3">
        <v>738</v>
      </c>
      <c r="J806" s="3">
        <v>1355688</v>
      </c>
      <c r="K806" s="3">
        <v>9015.31</v>
      </c>
      <c r="L806" s="2">
        <v>22.8</v>
      </c>
      <c r="M806" s="11">
        <v>35.265240640000002</v>
      </c>
      <c r="N806" s="3">
        <v>7</v>
      </c>
      <c r="O806" s="3">
        <v>342665</v>
      </c>
      <c r="P806" s="3">
        <v>549538</v>
      </c>
      <c r="Q806" s="10">
        <v>0</v>
      </c>
      <c r="R806" s="3">
        <f>(Таблица1[Размер кредита]-$AA$2)/$AA$3</f>
        <v>-0.14898476034816194</v>
      </c>
      <c r="S806" s="3">
        <f>(Таблица1[Кредитный рейтинг]-$AA$7)/($AA$8-$AA$7)</f>
        <v>0.9826897470039947</v>
      </c>
      <c r="T806" s="3">
        <f>(Таблица1[Срок с последнего нарушения кредитного договора (мес,)]-$AA$12)/($AA$13-$AA$12)</f>
        <v>0.40074137090909095</v>
      </c>
      <c r="U806" s="3">
        <f>(Таблица1[Количество кредитных карт]-$AA$18)/($AA$19-$AA$18)</f>
        <v>0.14285714285714285</v>
      </c>
      <c r="V806" s="3">
        <f>(Таблица1[Число нарушений кредитных договоров]-$AA$23)/($AA$24-$AA$23)</f>
        <v>0</v>
      </c>
      <c r="W806" s="3">
        <f>Таблица1[[#This Row],[Годовой доход]]/12</f>
        <v>112974</v>
      </c>
      <c r="X806" s="3">
        <f>Таблица1[[#This Row],[Ежемесячный платеж]]/Таблица1[[#This Row],[Ежем доход]]</f>
        <v>7.9799865455768573E-2</v>
      </c>
      <c r="Y806" s="3"/>
      <c r="Z806" s="3"/>
      <c r="AA806" s="3"/>
      <c r="AB806" s="3"/>
    </row>
    <row r="807" spans="1:28" x14ac:dyDescent="0.2">
      <c r="A807">
        <v>248</v>
      </c>
      <c r="B807" t="s">
        <v>290</v>
      </c>
      <c r="C807" t="s">
        <v>18</v>
      </c>
      <c r="D807" t="s">
        <v>19</v>
      </c>
      <c r="E807" t="s">
        <v>24</v>
      </c>
      <c r="F807" t="s">
        <v>27</v>
      </c>
      <c r="G807" t="s">
        <v>25</v>
      </c>
      <c r="H807" s="1">
        <v>653334</v>
      </c>
      <c r="I807" s="3">
        <v>722</v>
      </c>
      <c r="J807" s="3">
        <v>2068891</v>
      </c>
      <c r="K807" s="3">
        <v>29309.21</v>
      </c>
      <c r="L807" s="2">
        <v>21.3</v>
      </c>
      <c r="M807" s="11">
        <v>53</v>
      </c>
      <c r="N807" s="3">
        <v>9</v>
      </c>
      <c r="O807" s="3">
        <v>294291</v>
      </c>
      <c r="P807" s="3">
        <v>548724</v>
      </c>
      <c r="Q807" s="10">
        <v>0</v>
      </c>
      <c r="R807" s="3">
        <f>(Таблица1[Размер кредита]-$AA$2)/$AA$3</f>
        <v>1.9570053918882473</v>
      </c>
      <c r="S807" s="3">
        <f>(Таблица1[Кредитный рейтинг]-$AA$7)/($AA$8-$AA$7)</f>
        <v>0.96138482023968042</v>
      </c>
      <c r="T807" s="3">
        <f>(Таблица1[Срок с последнего нарушения кредитного договора (мес,)]-$AA$12)/($AA$13-$AA$12)</f>
        <v>0.60227272727272729</v>
      </c>
      <c r="U807" s="3">
        <f>(Таблица1[Количество кредитных карт]-$AA$18)/($AA$19-$AA$18)</f>
        <v>0.19047619047619047</v>
      </c>
      <c r="V807" s="3">
        <f>(Таблица1[Число нарушений кредитных договоров]-$AA$23)/($AA$24-$AA$23)</f>
        <v>0</v>
      </c>
      <c r="W807" s="3">
        <f>Таблица1[[#This Row],[Годовой доход]]/12</f>
        <v>172407.58333333334</v>
      </c>
      <c r="X807" s="3">
        <f>Таблица1[[#This Row],[Ежемесячный платеж]]/Таблица1[[#This Row],[Ежем доход]]</f>
        <v>0.16999954081679508</v>
      </c>
      <c r="Y807" s="3"/>
      <c r="Z807" s="3"/>
      <c r="AA807" s="3"/>
      <c r="AB807" s="3"/>
    </row>
    <row r="808" spans="1:28" x14ac:dyDescent="0.2">
      <c r="A808">
        <v>724</v>
      </c>
      <c r="B808" t="s">
        <v>765</v>
      </c>
      <c r="C808" t="s">
        <v>18</v>
      </c>
      <c r="D808" t="s">
        <v>19</v>
      </c>
      <c r="E808" t="s">
        <v>63</v>
      </c>
      <c r="F808" t="s">
        <v>33</v>
      </c>
      <c r="G808" t="s">
        <v>25</v>
      </c>
      <c r="H808" s="1">
        <v>105798</v>
      </c>
      <c r="I808" s="3">
        <v>722</v>
      </c>
      <c r="J808" s="3">
        <v>628197</v>
      </c>
      <c r="K808" s="3">
        <v>10312.82</v>
      </c>
      <c r="L808" s="2">
        <v>14.5</v>
      </c>
      <c r="M808" s="11">
        <v>35.265240640000002</v>
      </c>
      <c r="N808" s="3">
        <v>14</v>
      </c>
      <c r="O808" s="3">
        <v>149568</v>
      </c>
      <c r="P808" s="3">
        <v>548042</v>
      </c>
      <c r="Q808" s="10">
        <v>1</v>
      </c>
      <c r="R808" s="3">
        <f>(Таблица1[Размер кредита]-$AA$2)/$AA$3</f>
        <v>-1.160270860571593</v>
      </c>
      <c r="S808" s="3">
        <f>(Таблица1[Кредитный рейтинг]-$AA$7)/($AA$8-$AA$7)</f>
        <v>0.96138482023968042</v>
      </c>
      <c r="T808" s="3">
        <f>(Таблица1[Срок с последнего нарушения кредитного договора (мес,)]-$AA$12)/($AA$13-$AA$12)</f>
        <v>0.40074137090909095</v>
      </c>
      <c r="U808" s="3">
        <f>(Таблица1[Количество кредитных карт]-$AA$18)/($AA$19-$AA$18)</f>
        <v>0.30952380952380953</v>
      </c>
      <c r="V808" s="3">
        <f>(Таблица1[Число нарушений кредитных договоров]-$AA$23)/($AA$24-$AA$23)</f>
        <v>0.14285714285714285</v>
      </c>
      <c r="W808" s="3">
        <f>Таблица1[[#This Row],[Годовой доход]]/12</f>
        <v>52349.75</v>
      </c>
      <c r="X808" s="3">
        <f>Таблица1[[#This Row],[Ежемесячный платеж]]/Таблица1[[#This Row],[Ежем доход]]</f>
        <v>0.19699845749024589</v>
      </c>
      <c r="Y808" s="3"/>
      <c r="Z808" s="3"/>
      <c r="AA808" s="3"/>
      <c r="AB808" s="3"/>
    </row>
    <row r="809" spans="1:28" x14ac:dyDescent="0.2">
      <c r="A809">
        <v>1552</v>
      </c>
      <c r="B809" t="s">
        <v>1591</v>
      </c>
      <c r="C809" t="s">
        <v>18</v>
      </c>
      <c r="D809" t="s">
        <v>19</v>
      </c>
      <c r="E809" t="s">
        <v>37</v>
      </c>
      <c r="F809" t="s">
        <v>21</v>
      </c>
      <c r="G809" t="s">
        <v>25</v>
      </c>
      <c r="H809" s="1">
        <v>324500</v>
      </c>
      <c r="I809" s="3">
        <v>711</v>
      </c>
      <c r="J809" s="3">
        <v>971508</v>
      </c>
      <c r="K809" s="3">
        <v>19915.8</v>
      </c>
      <c r="L809" s="2">
        <v>15.1</v>
      </c>
      <c r="M809" s="11">
        <v>35.265240640000002</v>
      </c>
      <c r="N809" s="3">
        <v>23</v>
      </c>
      <c r="O809" s="3">
        <v>333431</v>
      </c>
      <c r="P809" s="3">
        <v>547624</v>
      </c>
      <c r="Q809" s="10">
        <v>0</v>
      </c>
      <c r="R809" s="3">
        <f>(Таблица1[Размер кредита]-$AA$2)/$AA$3</f>
        <v>8.4861059458271756E-2</v>
      </c>
      <c r="S809" s="3">
        <f>(Таблица1[Кредитный рейтинг]-$AA$7)/($AA$8-$AA$7)</f>
        <v>0.94673768308921435</v>
      </c>
      <c r="T809" s="3">
        <f>(Таблица1[Срок с последнего нарушения кредитного договора (мес,)]-$AA$12)/($AA$13-$AA$12)</f>
        <v>0.40074137090909095</v>
      </c>
      <c r="U809" s="3">
        <f>(Таблица1[Количество кредитных карт]-$AA$18)/($AA$19-$AA$18)</f>
        <v>0.52380952380952384</v>
      </c>
      <c r="V809" s="3">
        <f>(Таблица1[Число нарушений кредитных договоров]-$AA$23)/($AA$24-$AA$23)</f>
        <v>0</v>
      </c>
      <c r="W809" s="3">
        <f>Таблица1[[#This Row],[Годовой доход]]/12</f>
        <v>80959</v>
      </c>
      <c r="X809" s="3">
        <f>Таблица1[[#This Row],[Ежемесячный платеж]]/Таблица1[[#This Row],[Ежем доход]]</f>
        <v>0.24599859187984041</v>
      </c>
      <c r="Y809" s="3"/>
      <c r="Z809" s="3"/>
      <c r="AA809" s="3"/>
      <c r="AB809" s="3"/>
    </row>
    <row r="810" spans="1:28" x14ac:dyDescent="0.2">
      <c r="A810">
        <v>1834</v>
      </c>
      <c r="B810" t="s">
        <v>1871</v>
      </c>
      <c r="C810" t="s">
        <v>18</v>
      </c>
      <c r="D810" t="s">
        <v>19</v>
      </c>
      <c r="E810" t="s">
        <v>63</v>
      </c>
      <c r="F810" t="s">
        <v>21</v>
      </c>
      <c r="G810" t="s">
        <v>25</v>
      </c>
      <c r="H810" s="1">
        <v>173932</v>
      </c>
      <c r="I810" s="3">
        <v>0</v>
      </c>
      <c r="J810" s="3">
        <v>1168044</v>
      </c>
      <c r="K810" s="3">
        <v>12697.7</v>
      </c>
      <c r="L810" s="2">
        <v>18.399999999999999</v>
      </c>
      <c r="M810" s="11">
        <v>10</v>
      </c>
      <c r="N810" s="3">
        <v>7</v>
      </c>
      <c r="O810" s="3">
        <v>85937</v>
      </c>
      <c r="P810" s="3">
        <v>546678</v>
      </c>
      <c r="Q810" s="10">
        <v>0</v>
      </c>
      <c r="R810" s="3">
        <f>(Таблица1[Размер кредита]-$AA$2)/$AA$3</f>
        <v>-0.77236485953221157</v>
      </c>
      <c r="S810" s="3">
        <f>(Таблица1[Кредитный рейтинг]-$AA$7)/($AA$8-$AA$7)</f>
        <v>0</v>
      </c>
      <c r="T810" s="3">
        <f>(Таблица1[Срок с последнего нарушения кредитного договора (мес,)]-$AA$12)/($AA$13-$AA$12)</f>
        <v>0.11363636363636363</v>
      </c>
      <c r="U810" s="3">
        <f>(Таблица1[Количество кредитных карт]-$AA$18)/($AA$19-$AA$18)</f>
        <v>0.14285714285714285</v>
      </c>
      <c r="V810" s="3">
        <f>(Таблица1[Число нарушений кредитных договоров]-$AA$23)/($AA$24-$AA$23)</f>
        <v>0</v>
      </c>
      <c r="W810" s="3">
        <f>Таблица1[[#This Row],[Годовой доход]]/12</f>
        <v>97337</v>
      </c>
      <c r="X810" s="3">
        <f>Таблица1[[#This Row],[Ежемесячный платеж]]/Таблица1[[#This Row],[Ежем доход]]</f>
        <v>0.13045090767128636</v>
      </c>
      <c r="Y810" s="3"/>
      <c r="Z810" s="3"/>
      <c r="AA810" s="3"/>
      <c r="AB810" s="3"/>
    </row>
    <row r="811" spans="1:28" x14ac:dyDescent="0.2">
      <c r="A811">
        <v>1330</v>
      </c>
      <c r="B811" t="s">
        <v>1369</v>
      </c>
      <c r="C811" t="s">
        <v>18</v>
      </c>
      <c r="D811" t="s">
        <v>19</v>
      </c>
      <c r="E811" t="s">
        <v>50</v>
      </c>
      <c r="F811" t="s">
        <v>33</v>
      </c>
      <c r="G811" t="s">
        <v>70</v>
      </c>
      <c r="H811" s="1">
        <v>433752</v>
      </c>
      <c r="I811" s="3">
        <v>724</v>
      </c>
      <c r="J811" s="3">
        <v>5806362</v>
      </c>
      <c r="K811" s="3">
        <v>28306.01</v>
      </c>
      <c r="L811" s="2">
        <v>15.7</v>
      </c>
      <c r="M811" s="11">
        <v>17</v>
      </c>
      <c r="N811" s="3">
        <v>6</v>
      </c>
      <c r="O811" s="3">
        <v>354559</v>
      </c>
      <c r="P811" s="3">
        <v>546656</v>
      </c>
      <c r="Q811" s="10">
        <v>0</v>
      </c>
      <c r="R811" s="3">
        <f>(Таблица1[Размер кредита]-$AA$2)/$AA$3</f>
        <v>0.70686338466381526</v>
      </c>
      <c r="S811" s="3">
        <f>(Таблица1[Кредитный рейтинг]-$AA$7)/($AA$8-$AA$7)</f>
        <v>0.96404793608521966</v>
      </c>
      <c r="T811" s="3">
        <f>(Таблица1[Срок с последнего нарушения кредитного договора (мес,)]-$AA$12)/($AA$13-$AA$12)</f>
        <v>0.19318181818181818</v>
      </c>
      <c r="U811" s="3">
        <f>(Таблица1[Количество кредитных карт]-$AA$18)/($AA$19-$AA$18)</f>
        <v>0.11904761904761904</v>
      </c>
      <c r="V811" s="3">
        <f>(Таблица1[Число нарушений кредитных договоров]-$AA$23)/($AA$24-$AA$23)</f>
        <v>0</v>
      </c>
      <c r="W811" s="3">
        <f>Таблица1[[#This Row],[Годовой доход]]/12</f>
        <v>483863.5</v>
      </c>
      <c r="X811" s="3">
        <f>Таблица1[[#This Row],[Ежемесячный платеж]]/Таблица1[[#This Row],[Ежем доход]]</f>
        <v>5.8499990183181826E-2</v>
      </c>
      <c r="Y811" s="3"/>
      <c r="Z811" s="3"/>
      <c r="AA811" s="3"/>
      <c r="AB811" s="3"/>
    </row>
    <row r="812" spans="1:28" x14ac:dyDescent="0.2">
      <c r="A812">
        <v>1815</v>
      </c>
      <c r="B812" t="s">
        <v>1853</v>
      </c>
      <c r="C812" t="s">
        <v>18</v>
      </c>
      <c r="D812" t="s">
        <v>29</v>
      </c>
      <c r="E812" t="s">
        <v>52</v>
      </c>
      <c r="F812" t="s">
        <v>33</v>
      </c>
      <c r="G812" t="s">
        <v>25</v>
      </c>
      <c r="H812" s="1">
        <v>446908</v>
      </c>
      <c r="I812" s="3">
        <v>685</v>
      </c>
      <c r="J812" s="3">
        <v>1583935</v>
      </c>
      <c r="K812" s="3">
        <v>27718.91</v>
      </c>
      <c r="L812" s="2">
        <v>18.899999999999999</v>
      </c>
      <c r="M812" s="11">
        <v>25</v>
      </c>
      <c r="N812" s="3">
        <v>16</v>
      </c>
      <c r="O812" s="3">
        <v>383401</v>
      </c>
      <c r="P812" s="3">
        <v>546062</v>
      </c>
      <c r="Q812" s="10">
        <v>0</v>
      </c>
      <c r="R812" s="3">
        <f>(Таблица1[Размер кредита]-$AA$2)/$AA$3</f>
        <v>0.78176418822259797</v>
      </c>
      <c r="S812" s="3">
        <f>(Таблица1[Кредитный рейтинг]-$AA$7)/($AA$8-$AA$7)</f>
        <v>0.91211717709720375</v>
      </c>
      <c r="T812" s="3">
        <f>(Таблица1[Срок с последнего нарушения кредитного договора (мес,)]-$AA$12)/($AA$13-$AA$12)</f>
        <v>0.28409090909090912</v>
      </c>
      <c r="U812" s="3">
        <f>(Таблица1[Количество кредитных карт]-$AA$18)/($AA$19-$AA$18)</f>
        <v>0.35714285714285715</v>
      </c>
      <c r="V812" s="3">
        <f>(Таблица1[Число нарушений кредитных договоров]-$AA$23)/($AA$24-$AA$23)</f>
        <v>0</v>
      </c>
      <c r="W812" s="3">
        <f>Таблица1[[#This Row],[Годовой доход]]/12</f>
        <v>131994.58333333334</v>
      </c>
      <c r="X812" s="3">
        <f>Таблица1[[#This Row],[Ежемесячный платеж]]/Таблица1[[#This Row],[Ежем доход]]</f>
        <v>0.21000035986325194</v>
      </c>
      <c r="Y812" s="3"/>
      <c r="Z812" s="3"/>
      <c r="AA812" s="3"/>
      <c r="AB812" s="3"/>
    </row>
    <row r="813" spans="1:28" x14ac:dyDescent="0.2">
      <c r="A813">
        <v>1582</v>
      </c>
      <c r="B813" t="s">
        <v>1621</v>
      </c>
      <c r="C813" t="s">
        <v>18</v>
      </c>
      <c r="D813" t="s">
        <v>19</v>
      </c>
      <c r="E813" t="s">
        <v>24</v>
      </c>
      <c r="F813" t="s">
        <v>21</v>
      </c>
      <c r="G813" t="s">
        <v>25</v>
      </c>
      <c r="H813" s="1">
        <v>438372</v>
      </c>
      <c r="I813" s="3">
        <v>737</v>
      </c>
      <c r="J813" s="3">
        <v>1703673</v>
      </c>
      <c r="K813" s="3">
        <v>18314.48</v>
      </c>
      <c r="L813" s="2">
        <v>18</v>
      </c>
      <c r="M813" s="11">
        <v>14</v>
      </c>
      <c r="N813" s="3">
        <v>17</v>
      </c>
      <c r="O813" s="3">
        <v>287527</v>
      </c>
      <c r="P813" s="3">
        <v>545776</v>
      </c>
      <c r="Q813" s="10">
        <v>0</v>
      </c>
      <c r="R813" s="3">
        <f>(Таблица1[Размер кредита]-$AA$2)/$AA$3</f>
        <v>0.73316634243529422</v>
      </c>
      <c r="S813" s="3">
        <f>(Таблица1[Кредитный рейтинг]-$AA$7)/($AA$8-$AA$7)</f>
        <v>0.98135818908122507</v>
      </c>
      <c r="T813" s="3">
        <f>(Таблица1[Срок с последнего нарушения кредитного договора (мес,)]-$AA$12)/($AA$13-$AA$12)</f>
        <v>0.15909090909090909</v>
      </c>
      <c r="U813" s="3">
        <f>(Таблица1[Количество кредитных карт]-$AA$18)/($AA$19-$AA$18)</f>
        <v>0.38095238095238093</v>
      </c>
      <c r="V813" s="3">
        <f>(Таблица1[Число нарушений кредитных договоров]-$AA$23)/($AA$24-$AA$23)</f>
        <v>0</v>
      </c>
      <c r="W813" s="3">
        <f>Таблица1[[#This Row],[Годовой доход]]/12</f>
        <v>141972.75</v>
      </c>
      <c r="X813" s="3">
        <f>Таблица1[[#This Row],[Ежемесячный платеж]]/Таблица1[[#This Row],[Ежем доход]]</f>
        <v>0.12899996654287529</v>
      </c>
      <c r="Y813" s="3"/>
      <c r="Z813" s="3"/>
      <c r="AA813" s="3"/>
      <c r="AB813" s="3"/>
    </row>
    <row r="814" spans="1:28" x14ac:dyDescent="0.2">
      <c r="A814">
        <v>984</v>
      </c>
      <c r="B814" t="s">
        <v>1024</v>
      </c>
      <c r="C814" t="s">
        <v>35</v>
      </c>
      <c r="D814" t="s">
        <v>19</v>
      </c>
      <c r="E814" t="s">
        <v>50</v>
      </c>
      <c r="F814" t="s">
        <v>21</v>
      </c>
      <c r="G814" t="s">
        <v>25</v>
      </c>
      <c r="H814" s="1">
        <v>179432</v>
      </c>
      <c r="I814" s="3">
        <v>0</v>
      </c>
      <c r="J814" s="3">
        <v>1168044</v>
      </c>
      <c r="K814" s="3">
        <v>22775.11</v>
      </c>
      <c r="L814" s="2">
        <v>15.7</v>
      </c>
      <c r="M814" s="11">
        <v>68</v>
      </c>
      <c r="N814" s="3">
        <v>27</v>
      </c>
      <c r="O814" s="3">
        <v>307154</v>
      </c>
      <c r="P814" s="3">
        <v>545468</v>
      </c>
      <c r="Q814" s="10">
        <v>0</v>
      </c>
      <c r="R814" s="3">
        <f>(Таблица1[Размер кредита]-$AA$2)/$AA$3</f>
        <v>-0.7410518145661652</v>
      </c>
      <c r="S814" s="3">
        <f>(Таблица1[Кредитный рейтинг]-$AA$7)/($AA$8-$AA$7)</f>
        <v>0</v>
      </c>
      <c r="T814" s="3">
        <f>(Таблица1[Срок с последнего нарушения кредитного договора (мес,)]-$AA$12)/($AA$13-$AA$12)</f>
        <v>0.77272727272727271</v>
      </c>
      <c r="U814" s="3">
        <f>(Таблица1[Количество кредитных карт]-$AA$18)/($AA$19-$AA$18)</f>
        <v>0.61904761904761907</v>
      </c>
      <c r="V814" s="3">
        <f>(Таблица1[Число нарушений кредитных договоров]-$AA$23)/($AA$24-$AA$23)</f>
        <v>0</v>
      </c>
      <c r="W814" s="3">
        <f>Таблица1[[#This Row],[Годовой доход]]/12</f>
        <v>97337</v>
      </c>
      <c r="X814" s="3">
        <f>Таблица1[[#This Row],[Ежемесячный платеж]]/Таблица1[[#This Row],[Ежем доход]]</f>
        <v>0.23398204177239898</v>
      </c>
      <c r="Y814" s="3"/>
      <c r="Z814" s="3"/>
      <c r="AA814" s="3"/>
      <c r="AB814" s="3"/>
    </row>
    <row r="815" spans="1:28" x14ac:dyDescent="0.2">
      <c r="A815">
        <v>1797</v>
      </c>
      <c r="B815" t="s">
        <v>1835</v>
      </c>
      <c r="C815" t="s">
        <v>18</v>
      </c>
      <c r="D815" t="s">
        <v>19</v>
      </c>
      <c r="E815" t="s">
        <v>24</v>
      </c>
      <c r="F815" t="s">
        <v>27</v>
      </c>
      <c r="G815" t="s">
        <v>25</v>
      </c>
      <c r="H815" s="1">
        <v>87934</v>
      </c>
      <c r="I815" s="3">
        <v>729</v>
      </c>
      <c r="J815" s="3">
        <v>1180964</v>
      </c>
      <c r="K815" s="3">
        <v>23521.05</v>
      </c>
      <c r="L815" s="2">
        <v>16.3</v>
      </c>
      <c r="M815" s="11">
        <v>35.265240640000002</v>
      </c>
      <c r="N815" s="3">
        <v>5</v>
      </c>
      <c r="O815" s="3">
        <v>457254</v>
      </c>
      <c r="P815" s="3">
        <v>545270</v>
      </c>
      <c r="Q815" s="10">
        <v>0</v>
      </c>
      <c r="R815" s="3">
        <f>(Таблица1[Размер кредита]-$AA$2)/$AA$3</f>
        <v>-1.2619756306213112</v>
      </c>
      <c r="S815" s="3">
        <f>(Таблица1[Кредитный рейтинг]-$AA$7)/($AA$8-$AA$7)</f>
        <v>0.97070572569906788</v>
      </c>
      <c r="T815" s="3">
        <f>(Таблица1[Срок с последнего нарушения кредитного договора (мес,)]-$AA$12)/($AA$13-$AA$12)</f>
        <v>0.40074137090909095</v>
      </c>
      <c r="U815" s="3">
        <f>(Таблица1[Количество кредитных карт]-$AA$18)/($AA$19-$AA$18)</f>
        <v>9.5238095238095233E-2</v>
      </c>
      <c r="V815" s="3">
        <f>(Таблица1[Число нарушений кредитных договоров]-$AA$23)/($AA$24-$AA$23)</f>
        <v>0</v>
      </c>
      <c r="W815" s="3">
        <f>Таблица1[[#This Row],[Годовой доход]]/12</f>
        <v>98413.666666666672</v>
      </c>
      <c r="X815" s="3">
        <f>Таблица1[[#This Row],[Ежемесячный платеж]]/Таблица1[[#This Row],[Ежем доход]]</f>
        <v>0.23900186627196085</v>
      </c>
      <c r="Y815" s="3"/>
      <c r="Z815" s="3"/>
      <c r="AA815" s="3"/>
      <c r="AB815" s="3"/>
    </row>
    <row r="816" spans="1:28" x14ac:dyDescent="0.2">
      <c r="A816">
        <v>1119</v>
      </c>
      <c r="B816" t="s">
        <v>1158</v>
      </c>
      <c r="C816" t="s">
        <v>18</v>
      </c>
      <c r="D816" t="s">
        <v>19</v>
      </c>
      <c r="E816" t="s">
        <v>69</v>
      </c>
      <c r="F816" t="s">
        <v>33</v>
      </c>
      <c r="G816" t="s">
        <v>75</v>
      </c>
      <c r="H816" s="1">
        <v>121572</v>
      </c>
      <c r="I816" s="3">
        <v>710</v>
      </c>
      <c r="J816" s="3">
        <v>1349798</v>
      </c>
      <c r="K816" s="3">
        <v>20809.560000000001</v>
      </c>
      <c r="L816" s="2">
        <v>9.1</v>
      </c>
      <c r="M816" s="11">
        <v>35.265240640000002</v>
      </c>
      <c r="N816" s="3">
        <v>17</v>
      </c>
      <c r="O816" s="3">
        <v>206986</v>
      </c>
      <c r="P816" s="3">
        <v>544698</v>
      </c>
      <c r="Q816" s="10">
        <v>0</v>
      </c>
      <c r="R816" s="3">
        <f>(Таблица1[Размер кредита]-$AA$2)/$AA$3</f>
        <v>-1.0704650476089721</v>
      </c>
      <c r="S816" s="3">
        <f>(Таблица1[Кредитный рейтинг]-$AA$7)/($AA$8-$AA$7)</f>
        <v>0.94540612516644473</v>
      </c>
      <c r="T816" s="3">
        <f>(Таблица1[Срок с последнего нарушения кредитного договора (мес,)]-$AA$12)/($AA$13-$AA$12)</f>
        <v>0.40074137090909095</v>
      </c>
      <c r="U816" s="3">
        <f>(Таблица1[Количество кредитных карт]-$AA$18)/($AA$19-$AA$18)</f>
        <v>0.38095238095238093</v>
      </c>
      <c r="V816" s="3">
        <f>(Таблица1[Число нарушений кредитных договоров]-$AA$23)/($AA$24-$AA$23)</f>
        <v>0</v>
      </c>
      <c r="W816" s="3">
        <f>Таблица1[[#This Row],[Годовой доход]]/12</f>
        <v>112483.16666666667</v>
      </c>
      <c r="X816" s="3">
        <f>Таблица1[[#This Row],[Ежемесячный платеж]]/Таблица1[[#This Row],[Ежем доход]]</f>
        <v>0.18500154837983165</v>
      </c>
      <c r="Y816" s="3"/>
      <c r="Z816" s="3"/>
      <c r="AA816" s="3"/>
      <c r="AB816" s="3"/>
    </row>
    <row r="817" spans="1:28" x14ac:dyDescent="0.2">
      <c r="A817">
        <v>1556</v>
      </c>
      <c r="B817" t="s">
        <v>1595</v>
      </c>
      <c r="C817" t="s">
        <v>18</v>
      </c>
      <c r="D817" t="s">
        <v>29</v>
      </c>
      <c r="E817" t="s">
        <v>50</v>
      </c>
      <c r="F817" t="s">
        <v>21</v>
      </c>
      <c r="G817" t="s">
        <v>25</v>
      </c>
      <c r="H817" s="1">
        <v>671616</v>
      </c>
      <c r="I817" s="3">
        <v>0</v>
      </c>
      <c r="J817" s="3">
        <v>1168044</v>
      </c>
      <c r="K817" s="3">
        <v>28013.599999999999</v>
      </c>
      <c r="L817" s="2">
        <v>16.8</v>
      </c>
      <c r="M817" s="11">
        <v>35.265240640000002</v>
      </c>
      <c r="N817" s="3">
        <v>10</v>
      </c>
      <c r="O817" s="3">
        <v>186561</v>
      </c>
      <c r="P817" s="3">
        <v>544126</v>
      </c>
      <c r="Q817" s="10">
        <v>0</v>
      </c>
      <c r="R817" s="3">
        <f>(Таблица1[Размер кредита]-$AA$2)/$AA$3</f>
        <v>2.0610899533553853</v>
      </c>
      <c r="S817" s="3">
        <f>(Таблица1[Кредитный рейтинг]-$AA$7)/($AA$8-$AA$7)</f>
        <v>0</v>
      </c>
      <c r="T817" s="3">
        <f>(Таблица1[Срок с последнего нарушения кредитного договора (мес,)]-$AA$12)/($AA$13-$AA$12)</f>
        <v>0.40074137090909095</v>
      </c>
      <c r="U817" s="3">
        <f>(Таблица1[Количество кредитных карт]-$AA$18)/($AA$19-$AA$18)</f>
        <v>0.21428571428571427</v>
      </c>
      <c r="V817" s="3">
        <f>(Таблица1[Число нарушений кредитных договоров]-$AA$23)/($AA$24-$AA$23)</f>
        <v>0</v>
      </c>
      <c r="W817" s="3">
        <f>Таблица1[[#This Row],[Годовой доход]]/12</f>
        <v>97337</v>
      </c>
      <c r="X817" s="3">
        <f>Таблица1[[#This Row],[Ежемесячный платеж]]/Таблица1[[#This Row],[Ежем доход]]</f>
        <v>0.28780011711887565</v>
      </c>
      <c r="Y817" s="3"/>
      <c r="Z817" s="3"/>
      <c r="AA817" s="3"/>
      <c r="AB817" s="3"/>
    </row>
    <row r="818" spans="1:28" x14ac:dyDescent="0.2">
      <c r="A818">
        <v>124</v>
      </c>
      <c r="B818" t="s">
        <v>166</v>
      </c>
      <c r="C818" t="s">
        <v>35</v>
      </c>
      <c r="D818" t="s">
        <v>29</v>
      </c>
      <c r="E818" t="s">
        <v>41</v>
      </c>
      <c r="F818" t="s">
        <v>21</v>
      </c>
      <c r="G818" t="s">
        <v>25</v>
      </c>
      <c r="H818" s="1">
        <v>663168</v>
      </c>
      <c r="I818" s="3">
        <v>732</v>
      </c>
      <c r="J818" s="3">
        <v>1527296</v>
      </c>
      <c r="K818" s="3">
        <v>22145.83</v>
      </c>
      <c r="L818" s="2">
        <v>17</v>
      </c>
      <c r="M818" s="11">
        <v>32</v>
      </c>
      <c r="N818" s="3">
        <v>8</v>
      </c>
      <c r="O818" s="3">
        <v>331075</v>
      </c>
      <c r="P818" s="3">
        <v>543774</v>
      </c>
      <c r="Q818" s="10">
        <v>0</v>
      </c>
      <c r="R818" s="3">
        <f>(Таблица1[Размер кредита]-$AA$2)/$AA$3</f>
        <v>2.0129931162875381</v>
      </c>
      <c r="S818" s="3">
        <f>(Таблица1[Кредитный рейтинг]-$AA$7)/($AA$8-$AA$7)</f>
        <v>0.97470039946737685</v>
      </c>
      <c r="T818" s="3">
        <f>(Таблица1[Срок с последнего нарушения кредитного договора (мес,)]-$AA$12)/($AA$13-$AA$12)</f>
        <v>0.36363636363636365</v>
      </c>
      <c r="U818" s="3">
        <f>(Таблица1[Количество кредитных карт]-$AA$18)/($AA$19-$AA$18)</f>
        <v>0.16666666666666666</v>
      </c>
      <c r="V818" s="3">
        <f>(Таблица1[Число нарушений кредитных договоров]-$AA$23)/($AA$24-$AA$23)</f>
        <v>0</v>
      </c>
      <c r="W818" s="3">
        <f>Таблица1[[#This Row],[Годовой доход]]/12</f>
        <v>127274.66666666667</v>
      </c>
      <c r="X818" s="3">
        <f>Таблица1[[#This Row],[Ежемесячный платеж]]/Таблица1[[#This Row],[Ежем доход]]</f>
        <v>0.17400029856687899</v>
      </c>
      <c r="Y818" s="3"/>
      <c r="Z818" s="3"/>
      <c r="AA818" s="3"/>
      <c r="AB818" s="3"/>
    </row>
    <row r="819" spans="1:28" x14ac:dyDescent="0.2">
      <c r="A819">
        <v>1276</v>
      </c>
      <c r="B819" t="s">
        <v>1315</v>
      </c>
      <c r="C819" t="s">
        <v>18</v>
      </c>
      <c r="D819" t="s">
        <v>19</v>
      </c>
      <c r="E819" t="s">
        <v>32</v>
      </c>
      <c r="F819" t="s">
        <v>21</v>
      </c>
      <c r="G819" t="s">
        <v>25</v>
      </c>
      <c r="H819" s="1">
        <v>331562</v>
      </c>
      <c r="I819" s="3">
        <v>0</v>
      </c>
      <c r="J819" s="3">
        <v>1168044</v>
      </c>
      <c r="K819" s="3">
        <v>17562.080000000002</v>
      </c>
      <c r="L819" s="2">
        <v>12.6</v>
      </c>
      <c r="M819" s="11">
        <v>5</v>
      </c>
      <c r="N819" s="3">
        <v>17</v>
      </c>
      <c r="O819" s="3">
        <v>344014</v>
      </c>
      <c r="P819" s="3">
        <v>543422</v>
      </c>
      <c r="Q819" s="10">
        <v>0</v>
      </c>
      <c r="R819" s="3">
        <f>(Таблица1[Размер кредита]-$AA$2)/$AA$3</f>
        <v>0.1250670091946752</v>
      </c>
      <c r="S819" s="3">
        <f>(Таблица1[Кредитный рейтинг]-$AA$7)/($AA$8-$AA$7)</f>
        <v>0</v>
      </c>
      <c r="T819" s="3">
        <f>(Таблица1[Срок с последнего нарушения кредитного договора (мес,)]-$AA$12)/($AA$13-$AA$12)</f>
        <v>5.6818181818181816E-2</v>
      </c>
      <c r="U819" s="3">
        <f>(Таблица1[Количество кредитных карт]-$AA$18)/($AA$19-$AA$18)</f>
        <v>0.38095238095238093</v>
      </c>
      <c r="V819" s="3">
        <f>(Таблица1[Число нарушений кредитных договоров]-$AA$23)/($AA$24-$AA$23)</f>
        <v>0</v>
      </c>
      <c r="W819" s="3">
        <f>Таблица1[[#This Row],[Годовой доход]]/12</f>
        <v>97337</v>
      </c>
      <c r="X819" s="3">
        <f>Таблица1[[#This Row],[Ежемесячный платеж]]/Таблица1[[#This Row],[Ежем доход]]</f>
        <v>0.18042553191489363</v>
      </c>
      <c r="Y819" s="3"/>
      <c r="Z819" s="3"/>
      <c r="AA819" s="3"/>
      <c r="AB819" s="3"/>
    </row>
    <row r="820" spans="1:28" x14ac:dyDescent="0.2">
      <c r="A820">
        <v>1546</v>
      </c>
      <c r="B820" t="s">
        <v>1585</v>
      </c>
      <c r="C820" t="s">
        <v>18</v>
      </c>
      <c r="D820" t="s">
        <v>29</v>
      </c>
      <c r="E820" t="s">
        <v>41</v>
      </c>
      <c r="F820" t="s">
        <v>33</v>
      </c>
      <c r="G820" t="s">
        <v>25</v>
      </c>
      <c r="H820" s="1">
        <v>460284</v>
      </c>
      <c r="I820" s="3">
        <v>639</v>
      </c>
      <c r="J820" s="3">
        <v>1211497</v>
      </c>
      <c r="K820" s="3">
        <v>13225.52</v>
      </c>
      <c r="L820" s="2">
        <v>9.4</v>
      </c>
      <c r="M820" s="11">
        <v>35.265240640000002</v>
      </c>
      <c r="N820" s="3">
        <v>14</v>
      </c>
      <c r="O820" s="3">
        <v>91371</v>
      </c>
      <c r="P820" s="3">
        <v>542564</v>
      </c>
      <c r="Q820" s="10">
        <v>1</v>
      </c>
      <c r="R820" s="3">
        <f>(Таблица1[Размер кредита]-$AA$2)/$AA$3</f>
        <v>0.85791751358002255</v>
      </c>
      <c r="S820" s="3">
        <f>(Таблица1[Кредитный рейтинг]-$AA$7)/($AA$8-$AA$7)</f>
        <v>0.85086551264980026</v>
      </c>
      <c r="T820" s="3">
        <f>(Таблица1[Срок с последнего нарушения кредитного договора (мес,)]-$AA$12)/($AA$13-$AA$12)</f>
        <v>0.40074137090909095</v>
      </c>
      <c r="U820" s="3">
        <f>(Таблица1[Количество кредитных карт]-$AA$18)/($AA$19-$AA$18)</f>
        <v>0.30952380952380953</v>
      </c>
      <c r="V820" s="3">
        <f>(Таблица1[Число нарушений кредитных договоров]-$AA$23)/($AA$24-$AA$23)</f>
        <v>0.14285714285714285</v>
      </c>
      <c r="W820" s="3">
        <f>Таблица1[[#This Row],[Годовой доход]]/12</f>
        <v>100958.08333333333</v>
      </c>
      <c r="X820" s="3">
        <f>Таблица1[[#This Row],[Ежемесячный платеж]]/Таблица1[[#This Row],[Ежем доход]]</f>
        <v>0.13100010978153476</v>
      </c>
      <c r="Y820" s="3"/>
      <c r="Z820" s="3"/>
      <c r="AA820" s="3"/>
      <c r="AB820" s="3"/>
    </row>
    <row r="821" spans="1:28" x14ac:dyDescent="0.2">
      <c r="A821">
        <v>1285</v>
      </c>
      <c r="B821" t="s">
        <v>1324</v>
      </c>
      <c r="C821" t="s">
        <v>18</v>
      </c>
      <c r="D821" t="s">
        <v>29</v>
      </c>
      <c r="E821" t="s">
        <v>24</v>
      </c>
      <c r="F821" t="s">
        <v>33</v>
      </c>
      <c r="G821" t="s">
        <v>25</v>
      </c>
      <c r="H821" s="1">
        <v>262460</v>
      </c>
      <c r="I821" s="3">
        <v>696</v>
      </c>
      <c r="J821" s="3">
        <v>793364</v>
      </c>
      <c r="K821" s="3">
        <v>18049.240000000002</v>
      </c>
      <c r="L821" s="2">
        <v>14</v>
      </c>
      <c r="M821" s="11">
        <v>9</v>
      </c>
      <c r="N821" s="3">
        <v>25</v>
      </c>
      <c r="O821" s="3">
        <v>197220</v>
      </c>
      <c r="P821" s="3">
        <v>542432</v>
      </c>
      <c r="Q821" s="10">
        <v>0</v>
      </c>
      <c r="R821" s="3">
        <f>(Таблица1[Размер кредита]-$AA$2)/$AA$3</f>
        <v>-0.26835008775873043</v>
      </c>
      <c r="S821" s="3">
        <f>(Таблица1[Кредитный рейтинг]-$AA$7)/($AA$8-$AA$7)</f>
        <v>0.92676431424766981</v>
      </c>
      <c r="T821" s="3">
        <f>(Таблица1[Срок с последнего нарушения кредитного договора (мес,)]-$AA$12)/($AA$13-$AA$12)</f>
        <v>0.10227272727272728</v>
      </c>
      <c r="U821" s="3">
        <f>(Таблица1[Количество кредитных карт]-$AA$18)/($AA$19-$AA$18)</f>
        <v>0.5714285714285714</v>
      </c>
      <c r="V821" s="3">
        <f>(Таблица1[Число нарушений кредитных договоров]-$AA$23)/($AA$24-$AA$23)</f>
        <v>0</v>
      </c>
      <c r="W821" s="3">
        <f>Таблица1[[#This Row],[Годовой доход]]/12</f>
        <v>66113.666666666672</v>
      </c>
      <c r="X821" s="3">
        <f>Таблица1[[#This Row],[Ежемесячный платеж]]/Таблица1[[#This Row],[Ежем доход]]</f>
        <v>0.27300316122233931</v>
      </c>
      <c r="Y821" s="3"/>
      <c r="Z821" s="3"/>
      <c r="AA821" s="3"/>
      <c r="AB821" s="3"/>
    </row>
    <row r="822" spans="1:28" x14ac:dyDescent="0.2">
      <c r="A822">
        <v>200</v>
      </c>
      <c r="B822" t="s">
        <v>242</v>
      </c>
      <c r="C822" t="s">
        <v>35</v>
      </c>
      <c r="D822" t="s">
        <v>19</v>
      </c>
      <c r="E822" t="s">
        <v>32</v>
      </c>
      <c r="F822" t="s">
        <v>21</v>
      </c>
      <c r="G822" t="s">
        <v>25</v>
      </c>
      <c r="H822" s="1">
        <v>472362</v>
      </c>
      <c r="I822" s="3">
        <v>732</v>
      </c>
      <c r="J822" s="3">
        <v>1075058</v>
      </c>
      <c r="K822" s="3">
        <v>22218.03</v>
      </c>
      <c r="L822" s="2">
        <v>16.100000000000001</v>
      </c>
      <c r="M822" s="11">
        <v>35.265240640000002</v>
      </c>
      <c r="N822" s="3">
        <v>13</v>
      </c>
      <c r="O822" s="3">
        <v>392369</v>
      </c>
      <c r="P822" s="3">
        <v>542146</v>
      </c>
      <c r="Q822" s="10">
        <v>0</v>
      </c>
      <c r="R822" s="3">
        <f>(Таблица1[Размер кредита]-$AA$2)/$AA$3</f>
        <v>0.92668096032546021</v>
      </c>
      <c r="S822" s="3">
        <f>(Таблица1[Кредитный рейтинг]-$AA$7)/($AA$8-$AA$7)</f>
        <v>0.97470039946737685</v>
      </c>
      <c r="T822" s="3">
        <f>(Таблица1[Срок с последнего нарушения кредитного договора (мес,)]-$AA$12)/($AA$13-$AA$12)</f>
        <v>0.40074137090909095</v>
      </c>
      <c r="U822" s="3">
        <f>(Таблица1[Количество кредитных карт]-$AA$18)/($AA$19-$AA$18)</f>
        <v>0.2857142857142857</v>
      </c>
      <c r="V822" s="3">
        <f>(Таблица1[Число нарушений кредитных договоров]-$AA$23)/($AA$24-$AA$23)</f>
        <v>0</v>
      </c>
      <c r="W822" s="3">
        <f>Таблица1[[#This Row],[Годовой доход]]/12</f>
        <v>89588.166666666672</v>
      </c>
      <c r="X822" s="3">
        <f>Таблица1[[#This Row],[Ежемесячный платеж]]/Таблица1[[#This Row],[Ежем доход]]</f>
        <v>0.24800183804036616</v>
      </c>
      <c r="Y822" s="3"/>
      <c r="Z822" s="3"/>
      <c r="AA822" s="3"/>
      <c r="AB822" s="3"/>
    </row>
    <row r="823" spans="1:28" x14ac:dyDescent="0.2">
      <c r="A823">
        <v>74</v>
      </c>
      <c r="B823" t="s">
        <v>116</v>
      </c>
      <c r="C823" t="s">
        <v>18</v>
      </c>
      <c r="D823" t="s">
        <v>29</v>
      </c>
      <c r="E823" t="s">
        <v>24</v>
      </c>
      <c r="F823" t="s">
        <v>21</v>
      </c>
      <c r="G823" t="s">
        <v>25</v>
      </c>
      <c r="H823" s="1">
        <v>311058</v>
      </c>
      <c r="I823" s="3">
        <v>675</v>
      </c>
      <c r="J823" s="3">
        <v>1343167</v>
      </c>
      <c r="K823" s="3">
        <v>21378.799999999999</v>
      </c>
      <c r="L823" s="2">
        <v>31.4</v>
      </c>
      <c r="M823" s="11">
        <v>17</v>
      </c>
      <c r="N823" s="3">
        <v>11</v>
      </c>
      <c r="O823" s="3">
        <v>247912</v>
      </c>
      <c r="P823" s="3">
        <v>541596</v>
      </c>
      <c r="Q823" s="10">
        <v>0</v>
      </c>
      <c r="R823" s="3">
        <f>(Таблица1[Размер кредита]-$AA$2)/$AA$3</f>
        <v>8.3319775612546165E-3</v>
      </c>
      <c r="S823" s="3">
        <f>(Таблица1[Кредитный рейтинг]-$AA$7)/($AA$8-$AA$7)</f>
        <v>0.89880159786950731</v>
      </c>
      <c r="T823" s="3">
        <f>(Таблица1[Срок с последнего нарушения кредитного договора (мес,)]-$AA$12)/($AA$13-$AA$12)</f>
        <v>0.19318181818181818</v>
      </c>
      <c r="U823" s="3">
        <f>(Таблица1[Количество кредитных карт]-$AA$18)/($AA$19-$AA$18)</f>
        <v>0.23809523809523808</v>
      </c>
      <c r="V823" s="3">
        <f>(Таблица1[Число нарушений кредитных договоров]-$AA$23)/($AA$24-$AA$23)</f>
        <v>0</v>
      </c>
      <c r="W823" s="3">
        <f>Таблица1[[#This Row],[Годовой доход]]/12</f>
        <v>111930.58333333333</v>
      </c>
      <c r="X823" s="3">
        <f>Таблица1[[#This Row],[Ежемесячный платеж]]/Таблица1[[#This Row],[Ежем доход]]</f>
        <v>0.19100052338986886</v>
      </c>
      <c r="Y823" s="3"/>
      <c r="Z823" s="3"/>
      <c r="AA823" s="3"/>
      <c r="AB823" s="3"/>
    </row>
    <row r="824" spans="1:28" x14ac:dyDescent="0.2">
      <c r="A824">
        <v>1391</v>
      </c>
      <c r="B824" t="s">
        <v>1430</v>
      </c>
      <c r="C824" t="s">
        <v>18</v>
      </c>
      <c r="D824" t="s">
        <v>29</v>
      </c>
      <c r="E824" t="s">
        <v>30</v>
      </c>
      <c r="F824" t="s">
        <v>33</v>
      </c>
      <c r="G824" t="s">
        <v>25</v>
      </c>
      <c r="H824" s="1">
        <v>371272</v>
      </c>
      <c r="I824" s="3">
        <v>681</v>
      </c>
      <c r="J824" s="3">
        <v>890929</v>
      </c>
      <c r="K824" s="3">
        <v>18858.07</v>
      </c>
      <c r="L824" s="2">
        <v>9.9</v>
      </c>
      <c r="M824" s="11">
        <v>35.265240640000002</v>
      </c>
      <c r="N824" s="3">
        <v>7</v>
      </c>
      <c r="O824" s="3">
        <v>356307</v>
      </c>
      <c r="P824" s="3">
        <v>541420</v>
      </c>
      <c r="Q824" s="10">
        <v>0</v>
      </c>
      <c r="R824" s="3">
        <f>(Таблица1[Размер кредита]-$AA$2)/$AA$3</f>
        <v>0.35114719384952942</v>
      </c>
      <c r="S824" s="3">
        <f>(Таблица1[Кредитный рейтинг]-$AA$7)/($AA$8-$AA$7)</f>
        <v>0.90679094540612515</v>
      </c>
      <c r="T824" s="3">
        <f>(Таблица1[Срок с последнего нарушения кредитного договора (мес,)]-$AA$12)/($AA$13-$AA$12)</f>
        <v>0.40074137090909095</v>
      </c>
      <c r="U824" s="3">
        <f>(Таблица1[Количество кредитных карт]-$AA$18)/($AA$19-$AA$18)</f>
        <v>0.14285714285714285</v>
      </c>
      <c r="V824" s="3">
        <f>(Таблица1[Число нарушений кредитных договоров]-$AA$23)/($AA$24-$AA$23)</f>
        <v>0</v>
      </c>
      <c r="W824" s="3">
        <f>Таблица1[[#This Row],[Годовой доход]]/12</f>
        <v>74244.083333333328</v>
      </c>
      <c r="X824" s="3">
        <f>Таблица1[[#This Row],[Ежемесячный платеж]]/Таблица1[[#This Row],[Ежем доход]]</f>
        <v>0.25400098099848584</v>
      </c>
      <c r="Y824" s="3"/>
      <c r="Z824" s="3"/>
      <c r="AA824" s="3"/>
      <c r="AB824" s="3"/>
    </row>
    <row r="825" spans="1:28" x14ac:dyDescent="0.2">
      <c r="A825">
        <v>958</v>
      </c>
      <c r="B825" t="s">
        <v>999</v>
      </c>
      <c r="C825" t="s">
        <v>18</v>
      </c>
      <c r="D825" t="s">
        <v>19</v>
      </c>
      <c r="E825" t="s">
        <v>24</v>
      </c>
      <c r="F825" t="s">
        <v>21</v>
      </c>
      <c r="G825" t="s">
        <v>67</v>
      </c>
      <c r="H825" s="1">
        <v>155254</v>
      </c>
      <c r="I825" s="3">
        <v>730</v>
      </c>
      <c r="J825" s="3">
        <v>1448028</v>
      </c>
      <c r="K825" s="3">
        <v>15928.46</v>
      </c>
      <c r="L825" s="2">
        <v>18.7</v>
      </c>
      <c r="M825" s="11">
        <v>35.265240640000002</v>
      </c>
      <c r="N825" s="3">
        <v>14</v>
      </c>
      <c r="O825" s="3">
        <v>282131</v>
      </c>
      <c r="P825" s="3">
        <v>540870</v>
      </c>
      <c r="Q825" s="10">
        <v>1</v>
      </c>
      <c r="R825" s="3">
        <f>(Таблица1[Размер кредита]-$AA$2)/$AA$3</f>
        <v>-0.87870396023690467</v>
      </c>
      <c r="S825" s="3">
        <f>(Таблица1[Кредитный рейтинг]-$AA$7)/($AA$8-$AA$7)</f>
        <v>0.9720372836218375</v>
      </c>
      <c r="T825" s="3">
        <f>(Таблица1[Срок с последнего нарушения кредитного договора (мес,)]-$AA$12)/($AA$13-$AA$12)</f>
        <v>0.40074137090909095</v>
      </c>
      <c r="U825" s="3">
        <f>(Таблица1[Количество кредитных карт]-$AA$18)/($AA$19-$AA$18)</f>
        <v>0.30952380952380953</v>
      </c>
      <c r="V825" s="3">
        <f>(Таблица1[Число нарушений кредитных договоров]-$AA$23)/($AA$24-$AA$23)</f>
        <v>0.14285714285714285</v>
      </c>
      <c r="W825" s="3">
        <f>Таблица1[[#This Row],[Годовой доход]]/12</f>
        <v>120669</v>
      </c>
      <c r="X825" s="3">
        <f>Таблица1[[#This Row],[Ежемесячный платеж]]/Таблица1[[#This Row],[Ежем доход]]</f>
        <v>0.13200125964415052</v>
      </c>
      <c r="Y825" s="3"/>
      <c r="Z825" s="3"/>
      <c r="AA825" s="3"/>
      <c r="AB825" s="3"/>
    </row>
    <row r="826" spans="1:28" x14ac:dyDescent="0.2">
      <c r="A826">
        <v>1269</v>
      </c>
      <c r="B826" t="s">
        <v>1308</v>
      </c>
      <c r="C826" t="s">
        <v>18</v>
      </c>
      <c r="D826" t="s">
        <v>19</v>
      </c>
      <c r="E826" t="s">
        <v>37</v>
      </c>
      <c r="F826" t="s">
        <v>33</v>
      </c>
      <c r="G826" t="s">
        <v>25</v>
      </c>
      <c r="H826" s="1">
        <v>264748</v>
      </c>
      <c r="I826" s="3">
        <v>744</v>
      </c>
      <c r="J826" s="3">
        <v>1238458</v>
      </c>
      <c r="K826" s="3">
        <v>11971.71</v>
      </c>
      <c r="L826" s="2">
        <v>11.8</v>
      </c>
      <c r="M826" s="11">
        <v>44</v>
      </c>
      <c r="N826" s="3">
        <v>10</v>
      </c>
      <c r="O826" s="3">
        <v>275443</v>
      </c>
      <c r="P826" s="3">
        <v>540584</v>
      </c>
      <c r="Q826" s="10">
        <v>0</v>
      </c>
      <c r="R826" s="3">
        <f>(Таблица1[Размер кредита]-$AA$2)/$AA$3</f>
        <v>-0.25532386105285515</v>
      </c>
      <c r="S826" s="3">
        <f>(Таблица1[Кредитный рейтинг]-$AA$7)/($AA$8-$AA$7)</f>
        <v>0.99067909454061254</v>
      </c>
      <c r="T826" s="3">
        <f>(Таблица1[Срок с последнего нарушения кредитного договора (мес,)]-$AA$12)/($AA$13-$AA$12)</f>
        <v>0.5</v>
      </c>
      <c r="U826" s="3">
        <f>(Таблица1[Количество кредитных карт]-$AA$18)/($AA$19-$AA$18)</f>
        <v>0.21428571428571427</v>
      </c>
      <c r="V826" s="3">
        <f>(Таблица1[Число нарушений кредитных договоров]-$AA$23)/($AA$24-$AA$23)</f>
        <v>0</v>
      </c>
      <c r="W826" s="3">
        <f>Таблица1[[#This Row],[Годовой доход]]/12</f>
        <v>103204.83333333333</v>
      </c>
      <c r="X826" s="3">
        <f>Таблица1[[#This Row],[Ежемесячный платеж]]/Таблица1[[#This Row],[Ежем доход]]</f>
        <v>0.11599950906692032</v>
      </c>
      <c r="Y826" s="3"/>
      <c r="Z826" s="3"/>
      <c r="AA826" s="3"/>
      <c r="AB826" s="3"/>
    </row>
    <row r="827" spans="1:28" x14ac:dyDescent="0.2">
      <c r="A827">
        <v>571</v>
      </c>
      <c r="B827" t="s">
        <v>612</v>
      </c>
      <c r="C827" t="s">
        <v>18</v>
      </c>
      <c r="D827" t="s">
        <v>19</v>
      </c>
      <c r="E827" t="s">
        <v>63</v>
      </c>
      <c r="F827" t="s">
        <v>33</v>
      </c>
      <c r="G827" t="s">
        <v>39</v>
      </c>
      <c r="H827" s="1">
        <v>150788</v>
      </c>
      <c r="I827" s="3">
        <v>739</v>
      </c>
      <c r="J827" s="3">
        <v>2009326</v>
      </c>
      <c r="K827" s="3">
        <v>11787.98</v>
      </c>
      <c r="L827" s="2">
        <v>31</v>
      </c>
      <c r="M827" s="11">
        <v>35.265240640000002</v>
      </c>
      <c r="N827" s="3">
        <v>4</v>
      </c>
      <c r="O827" s="3">
        <v>51338</v>
      </c>
      <c r="P827" s="3">
        <v>540320</v>
      </c>
      <c r="Q827" s="10">
        <v>0</v>
      </c>
      <c r="R827" s="3">
        <f>(Таблица1[Размер кредита]-$AA$2)/$AA$3</f>
        <v>-0.90413015274933428</v>
      </c>
      <c r="S827" s="3">
        <f>(Таблица1[Кредитный рейтинг]-$AA$7)/($AA$8-$AA$7)</f>
        <v>0.98402130492676432</v>
      </c>
      <c r="T827" s="3">
        <f>(Таблица1[Срок с последнего нарушения кредитного договора (мес,)]-$AA$12)/($AA$13-$AA$12)</f>
        <v>0.40074137090909095</v>
      </c>
      <c r="U827" s="3">
        <f>(Таблица1[Количество кредитных карт]-$AA$18)/($AA$19-$AA$18)</f>
        <v>7.1428571428571425E-2</v>
      </c>
      <c r="V827" s="3">
        <f>(Таблица1[Число нарушений кредитных договоров]-$AA$23)/($AA$24-$AA$23)</f>
        <v>0</v>
      </c>
      <c r="W827" s="3">
        <f>Таблица1[[#This Row],[Годовой доход]]/12</f>
        <v>167443.83333333334</v>
      </c>
      <c r="X827" s="3">
        <f>Таблица1[[#This Row],[Ежемесячный платеж]]/Таблица1[[#This Row],[Ежем доход]]</f>
        <v>7.0399606634264422E-2</v>
      </c>
      <c r="Y827" s="3"/>
      <c r="Z827" s="3"/>
      <c r="AA827" s="3"/>
      <c r="AB827" s="3"/>
    </row>
    <row r="828" spans="1:28" x14ac:dyDescent="0.2">
      <c r="A828">
        <v>1376</v>
      </c>
      <c r="B828" t="s">
        <v>1415</v>
      </c>
      <c r="C828" t="s">
        <v>35</v>
      </c>
      <c r="D828" t="s">
        <v>19</v>
      </c>
      <c r="E828" t="s">
        <v>24</v>
      </c>
      <c r="F828" t="s">
        <v>21</v>
      </c>
      <c r="G828" t="s">
        <v>25</v>
      </c>
      <c r="H828" s="1">
        <v>204600</v>
      </c>
      <c r="I828" s="3">
        <v>719</v>
      </c>
      <c r="J828" s="3">
        <v>1007019</v>
      </c>
      <c r="K828" s="3">
        <v>16028.4</v>
      </c>
      <c r="L828" s="2">
        <v>16.100000000000001</v>
      </c>
      <c r="M828" s="11">
        <v>35.265240640000002</v>
      </c>
      <c r="N828" s="3">
        <v>13</v>
      </c>
      <c r="O828" s="3">
        <v>347928</v>
      </c>
      <c r="P828" s="3">
        <v>540012</v>
      </c>
      <c r="Q828" s="10">
        <v>0</v>
      </c>
      <c r="R828" s="3">
        <f>(Таблица1[Размер кредита]-$AA$2)/$AA$3</f>
        <v>-0.59776332080153738</v>
      </c>
      <c r="S828" s="3">
        <f>(Таблица1[Кредитный рейтинг]-$AA$7)/($AA$8-$AA$7)</f>
        <v>0.95739014647137155</v>
      </c>
      <c r="T828" s="3">
        <f>(Таблица1[Срок с последнего нарушения кредитного договора (мес,)]-$AA$12)/($AA$13-$AA$12)</f>
        <v>0.40074137090909095</v>
      </c>
      <c r="U828" s="3">
        <f>(Таблица1[Количество кредитных карт]-$AA$18)/($AA$19-$AA$18)</f>
        <v>0.2857142857142857</v>
      </c>
      <c r="V828" s="3">
        <f>(Таблица1[Число нарушений кредитных договоров]-$AA$23)/($AA$24-$AA$23)</f>
        <v>0</v>
      </c>
      <c r="W828" s="3">
        <f>Таблица1[[#This Row],[Годовой доход]]/12</f>
        <v>83918.25</v>
      </c>
      <c r="X828" s="3">
        <f>Таблица1[[#This Row],[Ежемесячный платеж]]/Таблица1[[#This Row],[Ежем доход]]</f>
        <v>0.19100016980811682</v>
      </c>
      <c r="Y828" s="3"/>
      <c r="Z828" s="3"/>
      <c r="AA828" s="3"/>
      <c r="AB828" s="3"/>
    </row>
    <row r="829" spans="1:28" x14ac:dyDescent="0.2">
      <c r="A829">
        <v>1949</v>
      </c>
      <c r="B829" t="s">
        <v>1985</v>
      </c>
      <c r="C829" t="s">
        <v>18</v>
      </c>
      <c r="D829" t="s">
        <v>19</v>
      </c>
      <c r="E829" t="s">
        <v>37</v>
      </c>
      <c r="F829" t="s">
        <v>21</v>
      </c>
      <c r="G829" t="s">
        <v>25</v>
      </c>
      <c r="H829" s="1">
        <v>309594.52439999999</v>
      </c>
      <c r="I829" s="3">
        <v>737</v>
      </c>
      <c r="J829" s="3">
        <v>3451464</v>
      </c>
      <c r="K829" s="3">
        <v>22233.23</v>
      </c>
      <c r="L829" s="2">
        <v>16.899999999999999</v>
      </c>
      <c r="M829" s="11">
        <v>24</v>
      </c>
      <c r="N829" s="3">
        <v>9</v>
      </c>
      <c r="O829" s="3">
        <v>374338</v>
      </c>
      <c r="P829" s="3">
        <v>539770</v>
      </c>
      <c r="Q829" s="10">
        <v>0</v>
      </c>
      <c r="R829" s="3">
        <f>(Таблица1[Размер кредита]-$AA$2)/$AA$3</f>
        <v>-1.2411115481956205E-10</v>
      </c>
      <c r="S829" s="3">
        <f>(Таблица1[Кредитный рейтинг]-$AA$7)/($AA$8-$AA$7)</f>
        <v>0.98135818908122507</v>
      </c>
      <c r="T829" s="3">
        <f>(Таблица1[Срок с последнего нарушения кредитного договора (мес,)]-$AA$12)/($AA$13-$AA$12)</f>
        <v>0.27272727272727271</v>
      </c>
      <c r="U829" s="3">
        <f>(Таблица1[Количество кредитных карт]-$AA$18)/($AA$19-$AA$18)</f>
        <v>0.19047619047619047</v>
      </c>
      <c r="V829" s="3">
        <f>(Таблица1[Число нарушений кредитных договоров]-$AA$23)/($AA$24-$AA$23)</f>
        <v>0</v>
      </c>
      <c r="W829" s="3">
        <f>Таблица1[[#This Row],[Годовой доход]]/12</f>
        <v>287622</v>
      </c>
      <c r="X829" s="3">
        <f>Таблица1[[#This Row],[Ежемесячный платеж]]/Таблица1[[#This Row],[Ежем доход]]</f>
        <v>7.7300171753203861E-2</v>
      </c>
      <c r="Y829" s="3"/>
      <c r="Z829" s="3"/>
      <c r="AA829" s="3"/>
      <c r="AB829" s="3"/>
    </row>
    <row r="830" spans="1:28" x14ac:dyDescent="0.2">
      <c r="A830">
        <v>32</v>
      </c>
      <c r="B830" t="s">
        <v>71</v>
      </c>
      <c r="C830" t="s">
        <v>18</v>
      </c>
      <c r="D830" t="s">
        <v>19</v>
      </c>
      <c r="E830" t="s">
        <v>41</v>
      </c>
      <c r="F830" t="s">
        <v>33</v>
      </c>
      <c r="G830" t="s">
        <v>25</v>
      </c>
      <c r="H830" s="1">
        <v>334620</v>
      </c>
      <c r="I830" s="3">
        <v>729</v>
      </c>
      <c r="J830" s="3">
        <v>1348620</v>
      </c>
      <c r="K830" s="3">
        <v>16913.990000000002</v>
      </c>
      <c r="L830" s="2">
        <v>20</v>
      </c>
      <c r="M830" s="11">
        <v>35.265240640000002</v>
      </c>
      <c r="N830" s="3">
        <v>16</v>
      </c>
      <c r="O830" s="3">
        <v>313177</v>
      </c>
      <c r="P830" s="3">
        <v>539616</v>
      </c>
      <c r="Q830" s="10">
        <v>0</v>
      </c>
      <c r="R830" s="3">
        <f>(Таблица1[Размер кредита]-$AA$2)/$AA$3</f>
        <v>0.14247706219579692</v>
      </c>
      <c r="S830" s="3">
        <f>(Таблица1[Кредитный рейтинг]-$AA$7)/($AA$8-$AA$7)</f>
        <v>0.97070572569906788</v>
      </c>
      <c r="T830" s="3">
        <f>(Таблица1[Срок с последнего нарушения кредитного договора (мес,)]-$AA$12)/($AA$13-$AA$12)</f>
        <v>0.40074137090909095</v>
      </c>
      <c r="U830" s="3">
        <f>(Таблица1[Количество кредитных карт]-$AA$18)/($AA$19-$AA$18)</f>
        <v>0.35714285714285715</v>
      </c>
      <c r="V830" s="3">
        <f>(Таблица1[Число нарушений кредитных договоров]-$AA$23)/($AA$24-$AA$23)</f>
        <v>0</v>
      </c>
      <c r="W830" s="3">
        <f>Таблица1[[#This Row],[Годовой доход]]/12</f>
        <v>112385</v>
      </c>
      <c r="X830" s="3">
        <f>Таблица1[[#This Row],[Ежемесячный платеж]]/Таблица1[[#This Row],[Ежем доход]]</f>
        <v>0.15050042265426883</v>
      </c>
      <c r="Y830" s="3"/>
      <c r="Z830" s="3"/>
      <c r="AA830" s="3"/>
      <c r="AB830" s="3"/>
    </row>
    <row r="831" spans="1:28" x14ac:dyDescent="0.2">
      <c r="A831">
        <v>202</v>
      </c>
      <c r="B831" s="4" t="s">
        <v>244</v>
      </c>
      <c r="C831" t="s">
        <v>18</v>
      </c>
      <c r="D831" t="s">
        <v>19</v>
      </c>
      <c r="E831" t="s">
        <v>63</v>
      </c>
      <c r="F831" t="s">
        <v>33</v>
      </c>
      <c r="G831" t="s">
        <v>25</v>
      </c>
      <c r="H831" s="1">
        <v>149402</v>
      </c>
      <c r="I831" s="3">
        <v>727</v>
      </c>
      <c r="J831" s="3">
        <v>841491</v>
      </c>
      <c r="K831" s="3">
        <v>18723.169999999998</v>
      </c>
      <c r="L831" s="2">
        <v>8.6</v>
      </c>
      <c r="M831" s="11">
        <v>35.265240640000002</v>
      </c>
      <c r="N831" s="3">
        <v>14</v>
      </c>
      <c r="O831" s="3">
        <v>163571</v>
      </c>
      <c r="P831" s="3">
        <v>539572</v>
      </c>
      <c r="Q831" s="10">
        <v>0</v>
      </c>
      <c r="R831" s="3">
        <f>(Таблица1[Размер кредита]-$AA$2)/$AA$3</f>
        <v>-0.912021040080778</v>
      </c>
      <c r="S831" s="3">
        <f>(Таблица1[Кредитный рейтинг]-$AA$7)/($AA$8-$AA$7)</f>
        <v>0.96804260985352863</v>
      </c>
      <c r="T831" s="3">
        <f>(Таблица1[Срок с последнего нарушения кредитного договора (мес,)]-$AA$12)/($AA$13-$AA$12)</f>
        <v>0.40074137090909095</v>
      </c>
      <c r="U831" s="3">
        <f>(Таблица1[Количество кредитных карт]-$AA$18)/($AA$19-$AA$18)</f>
        <v>0.30952380952380953</v>
      </c>
      <c r="V831" s="3">
        <f>(Таблица1[Число нарушений кредитных договоров]-$AA$23)/($AA$24-$AA$23)</f>
        <v>0</v>
      </c>
      <c r="W831" s="3">
        <f>Таблица1[[#This Row],[Годовой доход]]/12</f>
        <v>70124.25</v>
      </c>
      <c r="X831" s="3">
        <f>Таблица1[[#This Row],[Ежемесячный платеж]]/Таблица1[[#This Row],[Ежем доход]]</f>
        <v>0.26699993226309016</v>
      </c>
      <c r="Y831" s="3"/>
      <c r="Z831" s="3"/>
      <c r="AA831" s="3"/>
      <c r="AB831" s="3"/>
    </row>
    <row r="832" spans="1:28" x14ac:dyDescent="0.2">
      <c r="A832">
        <v>1184</v>
      </c>
      <c r="B832" t="s">
        <v>1223</v>
      </c>
      <c r="C832" t="s">
        <v>18</v>
      </c>
      <c r="D832" t="s">
        <v>19</v>
      </c>
      <c r="E832" t="s">
        <v>24</v>
      </c>
      <c r="F832" t="s">
        <v>21</v>
      </c>
      <c r="G832" t="s">
        <v>67</v>
      </c>
      <c r="H832" s="1">
        <v>129844</v>
      </c>
      <c r="I832" s="3">
        <v>735</v>
      </c>
      <c r="J832" s="3">
        <v>2990144</v>
      </c>
      <c r="K832" s="3">
        <v>33888.21</v>
      </c>
      <c r="L832" s="2">
        <v>28.9</v>
      </c>
      <c r="M832" s="11">
        <v>16</v>
      </c>
      <c r="N832" s="3">
        <v>9</v>
      </c>
      <c r="O832" s="3">
        <v>391400</v>
      </c>
      <c r="P832" s="3">
        <v>538868</v>
      </c>
      <c r="Q832" s="10">
        <v>0</v>
      </c>
      <c r="R832" s="3">
        <f>(Таблица1[Размер кредита]-$AA$2)/$AA$3</f>
        <v>-1.0233702279800385</v>
      </c>
      <c r="S832" s="3">
        <f>(Таблица1[Кредитный рейтинг]-$AA$7)/($AA$8-$AA$7)</f>
        <v>0.97869507323568572</v>
      </c>
      <c r="T832" s="3">
        <f>(Таблица1[Срок с последнего нарушения кредитного договора (мес,)]-$AA$12)/($AA$13-$AA$12)</f>
        <v>0.18181818181818182</v>
      </c>
      <c r="U832" s="3">
        <f>(Таблица1[Количество кредитных карт]-$AA$18)/($AA$19-$AA$18)</f>
        <v>0.19047619047619047</v>
      </c>
      <c r="V832" s="3">
        <f>(Таблица1[Число нарушений кредитных договоров]-$AA$23)/($AA$24-$AA$23)</f>
        <v>0</v>
      </c>
      <c r="W832" s="3">
        <f>Таблица1[[#This Row],[Годовой доход]]/12</f>
        <v>249178.66666666666</v>
      </c>
      <c r="X832" s="3">
        <f>Таблица1[[#This Row],[Ежемесячный платеж]]/Таблица1[[#This Row],[Ежем доход]]</f>
        <v>0.13599964416429444</v>
      </c>
      <c r="Y832" s="3"/>
      <c r="Z832" s="3"/>
      <c r="AA832" s="3"/>
      <c r="AB832" s="3"/>
    </row>
    <row r="833" spans="1:28" x14ac:dyDescent="0.2">
      <c r="A833">
        <v>653</v>
      </c>
      <c r="B833" t="s">
        <v>694</v>
      </c>
      <c r="C833" t="s">
        <v>18</v>
      </c>
      <c r="D833" t="s">
        <v>19</v>
      </c>
      <c r="E833" t="s">
        <v>37</v>
      </c>
      <c r="F833" t="s">
        <v>33</v>
      </c>
      <c r="G833" t="s">
        <v>25</v>
      </c>
      <c r="H833" s="1">
        <v>389620</v>
      </c>
      <c r="I833" s="3">
        <v>743</v>
      </c>
      <c r="J833" s="3">
        <v>985530</v>
      </c>
      <c r="K833" s="3">
        <v>20942.560000000001</v>
      </c>
      <c r="L833" s="2">
        <v>13</v>
      </c>
      <c r="M833" s="11">
        <v>35.265240640000002</v>
      </c>
      <c r="N833" s="3">
        <v>18</v>
      </c>
      <c r="O833" s="3">
        <v>294481</v>
      </c>
      <c r="P833" s="3">
        <v>538670</v>
      </c>
      <c r="Q833" s="10">
        <v>0</v>
      </c>
      <c r="R833" s="3">
        <f>(Таблица1[Размер кредита]-$AA$2)/$AA$3</f>
        <v>0.45560751185625986</v>
      </c>
      <c r="S833" s="3">
        <f>(Таблица1[Кредитный рейтинг]-$AA$7)/($AA$8-$AA$7)</f>
        <v>0.98934753661784292</v>
      </c>
      <c r="T833" s="3">
        <f>(Таблица1[Срок с последнего нарушения кредитного договора (мес,)]-$AA$12)/($AA$13-$AA$12)</f>
        <v>0.40074137090909095</v>
      </c>
      <c r="U833" s="3">
        <f>(Таблица1[Количество кредитных карт]-$AA$18)/($AA$19-$AA$18)</f>
        <v>0.40476190476190477</v>
      </c>
      <c r="V833" s="3">
        <f>(Таблица1[Число нарушений кредитных договоров]-$AA$23)/($AA$24-$AA$23)</f>
        <v>0</v>
      </c>
      <c r="W833" s="3">
        <f>Таблица1[[#This Row],[Годовой доход]]/12</f>
        <v>82127.5</v>
      </c>
      <c r="X833" s="3">
        <f>Таблица1[[#This Row],[Ежемесячный платеж]]/Таблица1[[#This Row],[Ежем доход]]</f>
        <v>0.25500057836899942</v>
      </c>
      <c r="Y833" s="3"/>
      <c r="Z833" s="3"/>
      <c r="AA833" s="3"/>
      <c r="AB833" s="3"/>
    </row>
    <row r="834" spans="1:28" x14ac:dyDescent="0.2">
      <c r="A834">
        <v>1505</v>
      </c>
      <c r="B834" t="s">
        <v>1544</v>
      </c>
      <c r="C834" t="s">
        <v>18</v>
      </c>
      <c r="D834" t="s">
        <v>19</v>
      </c>
      <c r="E834" t="s">
        <v>24</v>
      </c>
      <c r="F834" t="s">
        <v>21</v>
      </c>
      <c r="G834" t="s">
        <v>25</v>
      </c>
      <c r="H834" s="1">
        <v>105842</v>
      </c>
      <c r="I834" s="3">
        <v>0</v>
      </c>
      <c r="J834" s="3">
        <v>1168044</v>
      </c>
      <c r="K834" s="3">
        <v>10381.6</v>
      </c>
      <c r="L834" s="2">
        <v>21</v>
      </c>
      <c r="M834" s="11">
        <v>40</v>
      </c>
      <c r="N834" s="3">
        <v>12</v>
      </c>
      <c r="O834" s="3">
        <v>314811</v>
      </c>
      <c r="P834" s="3">
        <v>538428</v>
      </c>
      <c r="Q834" s="10">
        <v>0</v>
      </c>
      <c r="R834" s="3">
        <f>(Таблица1[Размер кредита]-$AA$2)/$AA$3</f>
        <v>-1.1600203562118645</v>
      </c>
      <c r="S834" s="3">
        <f>(Таблица1[Кредитный рейтинг]-$AA$7)/($AA$8-$AA$7)</f>
        <v>0</v>
      </c>
      <c r="T834" s="3">
        <f>(Таблица1[Срок с последнего нарушения кредитного договора (мес,)]-$AA$12)/($AA$13-$AA$12)</f>
        <v>0.45454545454545453</v>
      </c>
      <c r="U834" s="3">
        <f>(Таблица1[Количество кредитных карт]-$AA$18)/($AA$19-$AA$18)</f>
        <v>0.26190476190476192</v>
      </c>
      <c r="V834" s="3">
        <f>(Таблица1[Число нарушений кредитных договоров]-$AA$23)/($AA$24-$AA$23)</f>
        <v>0</v>
      </c>
      <c r="W834" s="3">
        <f>Таблица1[[#This Row],[Годовой доход]]/12</f>
        <v>97337</v>
      </c>
      <c r="X834" s="3">
        <f>Таблица1[[#This Row],[Ежемесячный платеж]]/Таблица1[[#This Row],[Ежем доход]]</f>
        <v>0.10665625609994145</v>
      </c>
      <c r="Y834" s="3"/>
      <c r="Z834" s="3"/>
      <c r="AA834" s="3"/>
      <c r="AB834" s="3"/>
    </row>
    <row r="835" spans="1:28" x14ac:dyDescent="0.2">
      <c r="A835">
        <v>1589</v>
      </c>
      <c r="B835" t="s">
        <v>1628</v>
      </c>
      <c r="C835" t="s">
        <v>18</v>
      </c>
      <c r="D835" t="s">
        <v>19</v>
      </c>
      <c r="E835" t="s">
        <v>24</v>
      </c>
      <c r="F835" t="s">
        <v>21</v>
      </c>
      <c r="G835" t="s">
        <v>25</v>
      </c>
      <c r="H835" s="1">
        <v>324104</v>
      </c>
      <c r="I835" s="3">
        <v>721</v>
      </c>
      <c r="J835" s="3">
        <v>3358782</v>
      </c>
      <c r="K835" s="3">
        <v>22084.080000000002</v>
      </c>
      <c r="L835" s="2">
        <v>13.4</v>
      </c>
      <c r="M835" s="11">
        <v>35.265240640000002</v>
      </c>
      <c r="N835" s="3">
        <v>12</v>
      </c>
      <c r="O835" s="3">
        <v>292429</v>
      </c>
      <c r="P835" s="3">
        <v>538340</v>
      </c>
      <c r="Q835" s="10">
        <v>0</v>
      </c>
      <c r="R835" s="3">
        <f>(Таблица1[Размер кредита]-$AA$2)/$AA$3</f>
        <v>8.260652022071642E-2</v>
      </c>
      <c r="S835" s="3">
        <f>(Таблица1[Кредитный рейтинг]-$AA$7)/($AA$8-$AA$7)</f>
        <v>0.96005326231691079</v>
      </c>
      <c r="T835" s="3">
        <f>(Таблица1[Срок с последнего нарушения кредитного договора (мес,)]-$AA$12)/($AA$13-$AA$12)</f>
        <v>0.40074137090909095</v>
      </c>
      <c r="U835" s="3">
        <f>(Таблица1[Количество кредитных карт]-$AA$18)/($AA$19-$AA$18)</f>
        <v>0.26190476190476192</v>
      </c>
      <c r="V835" s="3">
        <f>(Таблица1[Число нарушений кредитных договоров]-$AA$23)/($AA$24-$AA$23)</f>
        <v>0</v>
      </c>
      <c r="W835" s="3">
        <f>Таблица1[[#This Row],[Годовой доход]]/12</f>
        <v>279898.5</v>
      </c>
      <c r="X835" s="3">
        <f>Таблица1[[#This Row],[Ежемесячный платеж]]/Таблица1[[#This Row],[Ежем доход]]</f>
        <v>7.890031565013747E-2</v>
      </c>
      <c r="Y835" s="3"/>
      <c r="Z835" s="3"/>
      <c r="AA835" s="3"/>
      <c r="AB835" s="3"/>
    </row>
    <row r="836" spans="1:28" x14ac:dyDescent="0.2">
      <c r="A836">
        <v>756</v>
      </c>
      <c r="B836" t="s">
        <v>797</v>
      </c>
      <c r="C836" t="s">
        <v>18</v>
      </c>
      <c r="D836" t="s">
        <v>29</v>
      </c>
      <c r="E836" t="s">
        <v>24</v>
      </c>
      <c r="F836" t="s">
        <v>27</v>
      </c>
      <c r="G836" t="s">
        <v>25</v>
      </c>
      <c r="H836" s="1">
        <v>446160</v>
      </c>
      <c r="I836" s="3">
        <v>741</v>
      </c>
      <c r="J836" s="3">
        <v>1541280</v>
      </c>
      <c r="K836" s="3">
        <v>28256.799999999999</v>
      </c>
      <c r="L836" s="2">
        <v>22.1</v>
      </c>
      <c r="M836" s="11">
        <v>35.265240640000002</v>
      </c>
      <c r="N836" s="3">
        <v>10</v>
      </c>
      <c r="O836" s="3">
        <v>235885</v>
      </c>
      <c r="P836" s="3">
        <v>537658</v>
      </c>
      <c r="Q836" s="10">
        <v>0</v>
      </c>
      <c r="R836" s="3">
        <f>(Таблица1[Размер кредита]-$AA$2)/$AA$3</f>
        <v>0.77750561410721575</v>
      </c>
      <c r="S836" s="3">
        <f>(Таблица1[Кредитный рейтинг]-$AA$7)/($AA$8-$AA$7)</f>
        <v>0.98668442077230356</v>
      </c>
      <c r="T836" s="3">
        <f>(Таблица1[Срок с последнего нарушения кредитного договора (мес,)]-$AA$12)/($AA$13-$AA$12)</f>
        <v>0.40074137090909095</v>
      </c>
      <c r="U836" s="3">
        <f>(Таблица1[Количество кредитных карт]-$AA$18)/($AA$19-$AA$18)</f>
        <v>0.21428571428571427</v>
      </c>
      <c r="V836" s="3">
        <f>(Таблица1[Число нарушений кредитных договоров]-$AA$23)/($AA$24-$AA$23)</f>
        <v>0</v>
      </c>
      <c r="W836" s="3">
        <f>Таблица1[[#This Row],[Годовой доход]]/12</f>
        <v>128440</v>
      </c>
      <c r="X836" s="3">
        <f>Таблица1[[#This Row],[Ежемесячный платеж]]/Таблица1[[#This Row],[Ежем доход]]</f>
        <v>0.22</v>
      </c>
      <c r="Y836" s="3"/>
      <c r="Z836" s="3"/>
      <c r="AA836" s="3"/>
      <c r="AB836" s="3"/>
    </row>
    <row r="837" spans="1:28" x14ac:dyDescent="0.2">
      <c r="A837">
        <v>627</v>
      </c>
      <c r="B837" t="s">
        <v>668</v>
      </c>
      <c r="C837" t="s">
        <v>18</v>
      </c>
      <c r="D837" t="s">
        <v>19</v>
      </c>
      <c r="E837" t="s">
        <v>32</v>
      </c>
      <c r="F837" t="s">
        <v>21</v>
      </c>
      <c r="G837" t="s">
        <v>25</v>
      </c>
      <c r="H837" s="1">
        <v>309594.52439999999</v>
      </c>
      <c r="I837" s="3">
        <v>743</v>
      </c>
      <c r="J837" s="3">
        <v>788101</v>
      </c>
      <c r="K837" s="3">
        <v>14317.26</v>
      </c>
      <c r="L837" s="2">
        <v>14.6</v>
      </c>
      <c r="M837" s="11">
        <v>26</v>
      </c>
      <c r="N837" s="3">
        <v>9</v>
      </c>
      <c r="O837" s="3">
        <v>137750</v>
      </c>
      <c r="P837" s="3">
        <v>537042</v>
      </c>
      <c r="Q837" s="10">
        <v>0</v>
      </c>
      <c r="R837" s="3">
        <f>(Таблица1[Размер кредита]-$AA$2)/$AA$3</f>
        <v>-1.2411115481956205E-10</v>
      </c>
      <c r="S837" s="3">
        <f>(Таблица1[Кредитный рейтинг]-$AA$7)/($AA$8-$AA$7)</f>
        <v>0.98934753661784292</v>
      </c>
      <c r="T837" s="3">
        <f>(Таблица1[Срок с последнего нарушения кредитного договора (мес,)]-$AA$12)/($AA$13-$AA$12)</f>
        <v>0.29545454545454547</v>
      </c>
      <c r="U837" s="3">
        <f>(Таблица1[Количество кредитных карт]-$AA$18)/($AA$19-$AA$18)</f>
        <v>0.19047619047619047</v>
      </c>
      <c r="V837" s="3">
        <f>(Таблица1[Число нарушений кредитных договоров]-$AA$23)/($AA$24-$AA$23)</f>
        <v>0</v>
      </c>
      <c r="W837" s="3">
        <f>Таблица1[[#This Row],[Годовой доход]]/12</f>
        <v>65675.083333333328</v>
      </c>
      <c r="X837" s="3">
        <f>Таблица1[[#This Row],[Ежемесячный платеж]]/Таблица1[[#This Row],[Ежем доход]]</f>
        <v>0.21800139829793391</v>
      </c>
      <c r="Y837" s="3"/>
      <c r="Z837" s="3"/>
      <c r="AA837" s="3"/>
      <c r="AB837" s="3"/>
    </row>
    <row r="838" spans="1:28" x14ac:dyDescent="0.2">
      <c r="A838">
        <v>1383</v>
      </c>
      <c r="B838" t="s">
        <v>1422</v>
      </c>
      <c r="C838" t="s">
        <v>18</v>
      </c>
      <c r="D838" t="s">
        <v>19</v>
      </c>
      <c r="E838" t="s">
        <v>47</v>
      </c>
      <c r="F838" t="s">
        <v>33</v>
      </c>
      <c r="G838" t="s">
        <v>25</v>
      </c>
      <c r="H838" s="1">
        <v>309594.52439999999</v>
      </c>
      <c r="I838" s="3">
        <v>731</v>
      </c>
      <c r="J838" s="3">
        <v>1688796</v>
      </c>
      <c r="K838" s="3">
        <v>10948.94</v>
      </c>
      <c r="L838" s="2">
        <v>9.6</v>
      </c>
      <c r="M838" s="11">
        <v>37</v>
      </c>
      <c r="N838" s="3">
        <v>12</v>
      </c>
      <c r="O838" s="3">
        <v>379392</v>
      </c>
      <c r="P838" s="3">
        <v>536382</v>
      </c>
      <c r="Q838" s="10">
        <v>0</v>
      </c>
      <c r="R838" s="3">
        <f>(Таблица1[Размер кредита]-$AA$2)/$AA$3</f>
        <v>-1.2411115481956205E-10</v>
      </c>
      <c r="S838" s="3">
        <f>(Таблица1[Кредитный рейтинг]-$AA$7)/($AA$8-$AA$7)</f>
        <v>0.97336884154460723</v>
      </c>
      <c r="T838" s="3">
        <f>(Таблица1[Срок с последнего нарушения кредитного договора (мес,)]-$AA$12)/($AA$13-$AA$12)</f>
        <v>0.42045454545454547</v>
      </c>
      <c r="U838" s="3">
        <f>(Таблица1[Количество кредитных карт]-$AA$18)/($AA$19-$AA$18)</f>
        <v>0.26190476190476192</v>
      </c>
      <c r="V838" s="3">
        <f>(Таблица1[Число нарушений кредитных договоров]-$AA$23)/($AA$24-$AA$23)</f>
        <v>0</v>
      </c>
      <c r="W838" s="3">
        <f>Таблица1[[#This Row],[Годовой доход]]/12</f>
        <v>140733</v>
      </c>
      <c r="X838" s="3">
        <f>Таблица1[[#This Row],[Ежемесячный платеж]]/Таблица1[[#This Row],[Ежем доход]]</f>
        <v>7.779937896584313E-2</v>
      </c>
      <c r="Y838" s="3"/>
      <c r="Z838" s="3"/>
      <c r="AA838" s="3"/>
      <c r="AB838" s="3"/>
    </row>
    <row r="839" spans="1:28" x14ac:dyDescent="0.2">
      <c r="A839">
        <v>628</v>
      </c>
      <c r="B839" t="s">
        <v>669</v>
      </c>
      <c r="C839" t="s">
        <v>35</v>
      </c>
      <c r="D839" t="s">
        <v>19</v>
      </c>
      <c r="E839" t="s">
        <v>24</v>
      </c>
      <c r="F839" t="s">
        <v>21</v>
      </c>
      <c r="G839" t="s">
        <v>25</v>
      </c>
      <c r="H839" s="1">
        <v>432520</v>
      </c>
      <c r="I839" s="3">
        <v>745</v>
      </c>
      <c r="J839" s="3">
        <v>1029477</v>
      </c>
      <c r="K839" s="3">
        <v>17758.54</v>
      </c>
      <c r="L839" s="2">
        <v>15.4</v>
      </c>
      <c r="M839" s="11">
        <v>35.265240640000002</v>
      </c>
      <c r="N839" s="3">
        <v>7</v>
      </c>
      <c r="O839" s="3">
        <v>296286</v>
      </c>
      <c r="P839" s="3">
        <v>536074</v>
      </c>
      <c r="Q839" s="10">
        <v>0</v>
      </c>
      <c r="R839" s="3">
        <f>(Таблица1[Размер кредита]-$AA$2)/$AA$3</f>
        <v>0.69984926259142088</v>
      </c>
      <c r="S839" s="3">
        <f>(Таблица1[Кредитный рейтинг]-$AA$7)/($AA$8-$AA$7)</f>
        <v>0.99201065246338216</v>
      </c>
      <c r="T839" s="3">
        <f>(Таблица1[Срок с последнего нарушения кредитного договора (мес,)]-$AA$12)/($AA$13-$AA$12)</f>
        <v>0.40074137090909095</v>
      </c>
      <c r="U839" s="3">
        <f>(Таблица1[Количество кредитных карт]-$AA$18)/($AA$19-$AA$18)</f>
        <v>0.14285714285714285</v>
      </c>
      <c r="V839" s="3">
        <f>(Таблица1[Число нарушений кредитных договоров]-$AA$23)/($AA$24-$AA$23)</f>
        <v>0</v>
      </c>
      <c r="W839" s="3">
        <f>Таблица1[[#This Row],[Годовой доход]]/12</f>
        <v>85789.75</v>
      </c>
      <c r="X839" s="3">
        <f>Таблица1[[#This Row],[Ежемесячный платеж]]/Таблица1[[#This Row],[Ежем доход]]</f>
        <v>0.20700071978295775</v>
      </c>
      <c r="Y839" s="3"/>
      <c r="Z839" s="3"/>
      <c r="AA839" s="3"/>
      <c r="AB839" s="3"/>
    </row>
    <row r="840" spans="1:28" x14ac:dyDescent="0.2">
      <c r="A840">
        <v>434</v>
      </c>
      <c r="B840" t="s">
        <v>475</v>
      </c>
      <c r="C840" t="s">
        <v>18</v>
      </c>
      <c r="D840" t="s">
        <v>19</v>
      </c>
      <c r="E840" t="s">
        <v>24</v>
      </c>
      <c r="F840" t="s">
        <v>21</v>
      </c>
      <c r="G840" t="s">
        <v>25</v>
      </c>
      <c r="H840" s="1">
        <v>396286</v>
      </c>
      <c r="I840" s="3">
        <v>741</v>
      </c>
      <c r="J840" s="3">
        <v>2528767</v>
      </c>
      <c r="K840" s="3">
        <v>17111.400000000001</v>
      </c>
      <c r="L840" s="2">
        <v>28.9</v>
      </c>
      <c r="M840" s="11">
        <v>4</v>
      </c>
      <c r="N840" s="3">
        <v>11</v>
      </c>
      <c r="O840" s="3">
        <v>174781</v>
      </c>
      <c r="P840" s="3">
        <v>535414</v>
      </c>
      <c r="Q840" s="10">
        <v>0</v>
      </c>
      <c r="R840" s="3">
        <f>(Таблица1[Размер кредита]-$AA$2)/$AA$3</f>
        <v>0.49355892235510795</v>
      </c>
      <c r="S840" s="3">
        <f>(Таблица1[Кредитный рейтинг]-$AA$7)/($AA$8-$AA$7)</f>
        <v>0.98668442077230356</v>
      </c>
      <c r="T840" s="3">
        <f>(Таблица1[Срок с последнего нарушения кредитного договора (мес,)]-$AA$12)/($AA$13-$AA$12)</f>
        <v>4.5454545454545456E-2</v>
      </c>
      <c r="U840" s="3">
        <f>(Таблица1[Количество кредитных карт]-$AA$18)/($AA$19-$AA$18)</f>
        <v>0.23809523809523808</v>
      </c>
      <c r="V840" s="3">
        <f>(Таблица1[Число нарушений кредитных договоров]-$AA$23)/($AA$24-$AA$23)</f>
        <v>0</v>
      </c>
      <c r="W840" s="3">
        <f>Таблица1[[#This Row],[Годовой доход]]/12</f>
        <v>210730.58333333334</v>
      </c>
      <c r="X840" s="3">
        <f>Таблица1[[#This Row],[Ежемесячный платеж]]/Таблица1[[#This Row],[Ежем доход]]</f>
        <v>8.1200363655489022E-2</v>
      </c>
      <c r="Y840" s="3"/>
      <c r="Z840" s="3"/>
      <c r="AA840" s="3"/>
      <c r="AB840" s="3"/>
    </row>
    <row r="841" spans="1:28" x14ac:dyDescent="0.2">
      <c r="A841">
        <v>1368</v>
      </c>
      <c r="B841" t="s">
        <v>1407</v>
      </c>
      <c r="C841" t="s">
        <v>35</v>
      </c>
      <c r="D841" t="s">
        <v>19</v>
      </c>
      <c r="E841" t="s">
        <v>30</v>
      </c>
      <c r="F841" t="s">
        <v>21</v>
      </c>
      <c r="G841" t="s">
        <v>25</v>
      </c>
      <c r="H841" s="1">
        <v>644094</v>
      </c>
      <c r="I841" s="3">
        <v>734</v>
      </c>
      <c r="J841" s="3">
        <v>2225052</v>
      </c>
      <c r="K841" s="3">
        <v>34859.11</v>
      </c>
      <c r="L841" s="2">
        <v>19.399999999999999</v>
      </c>
      <c r="M841" s="11">
        <v>35.265240640000002</v>
      </c>
      <c r="N841" s="3">
        <v>20</v>
      </c>
      <c r="O841" s="3">
        <v>413060</v>
      </c>
      <c r="P841" s="3">
        <v>534402</v>
      </c>
      <c r="Q841" s="10">
        <v>0</v>
      </c>
      <c r="R841" s="3">
        <f>(Таблица1[Размер кредита]-$AA$2)/$AA$3</f>
        <v>1.9043994763452896</v>
      </c>
      <c r="S841" s="3">
        <f>(Таблица1[Кредитный рейтинг]-$AA$7)/($AA$8-$AA$7)</f>
        <v>0.9773635153129161</v>
      </c>
      <c r="T841" s="3">
        <f>(Таблица1[Срок с последнего нарушения кредитного договора (мес,)]-$AA$12)/($AA$13-$AA$12)</f>
        <v>0.40074137090909095</v>
      </c>
      <c r="U841" s="3">
        <f>(Таблица1[Количество кредитных карт]-$AA$18)/($AA$19-$AA$18)</f>
        <v>0.45238095238095238</v>
      </c>
      <c r="V841" s="3">
        <f>(Таблица1[Число нарушений кредитных договоров]-$AA$23)/($AA$24-$AA$23)</f>
        <v>0</v>
      </c>
      <c r="W841" s="3">
        <f>Таблица1[[#This Row],[Годовой доход]]/12</f>
        <v>185421</v>
      </c>
      <c r="X841" s="3">
        <f>Таблица1[[#This Row],[Ежемесячный платеж]]/Таблица1[[#This Row],[Ежем доход]]</f>
        <v>0.18799979506096937</v>
      </c>
      <c r="Y841" s="3"/>
      <c r="Z841" s="3"/>
      <c r="AA841" s="3"/>
      <c r="AB841" s="3"/>
    </row>
    <row r="842" spans="1:28" x14ac:dyDescent="0.2">
      <c r="A842">
        <v>1657</v>
      </c>
      <c r="B842" t="s">
        <v>1695</v>
      </c>
      <c r="C842" t="s">
        <v>35</v>
      </c>
      <c r="D842" t="s">
        <v>29</v>
      </c>
      <c r="E842" t="s">
        <v>69</v>
      </c>
      <c r="F842" t="s">
        <v>33</v>
      </c>
      <c r="G842" t="s">
        <v>25</v>
      </c>
      <c r="H842" s="1">
        <v>259512</v>
      </c>
      <c r="I842" s="3">
        <v>713</v>
      </c>
      <c r="J842" s="3">
        <v>1251359</v>
      </c>
      <c r="K842" s="3">
        <v>25861.47</v>
      </c>
      <c r="L842" s="2">
        <v>28.4</v>
      </c>
      <c r="M842" s="11">
        <v>55</v>
      </c>
      <c r="N842" s="3">
        <v>15</v>
      </c>
      <c r="O842" s="3">
        <v>433276</v>
      </c>
      <c r="P842" s="3">
        <v>534270</v>
      </c>
      <c r="Q842" s="10">
        <v>0</v>
      </c>
      <c r="R842" s="3">
        <f>(Таблица1[Размер кредита]-$AA$2)/$AA$3</f>
        <v>-0.28513387986053124</v>
      </c>
      <c r="S842" s="3">
        <f>(Таблица1[Кредитный рейтинг]-$AA$7)/($AA$8-$AA$7)</f>
        <v>0.94940079893475371</v>
      </c>
      <c r="T842" s="3">
        <f>(Таблица1[Срок с последнего нарушения кредитного договора (мес,)]-$AA$12)/($AA$13-$AA$12)</f>
        <v>0.625</v>
      </c>
      <c r="U842" s="3">
        <f>(Таблица1[Количество кредитных карт]-$AA$18)/($AA$19-$AA$18)</f>
        <v>0.33333333333333331</v>
      </c>
      <c r="V842" s="3">
        <f>(Таблица1[Число нарушений кредитных договоров]-$AA$23)/($AA$24-$AA$23)</f>
        <v>0</v>
      </c>
      <c r="W842" s="3">
        <f>Таблица1[[#This Row],[Годовой доход]]/12</f>
        <v>104279.91666666667</v>
      </c>
      <c r="X842" s="3">
        <f>Таблица1[[#This Row],[Ежемесячный платеж]]/Таблица1[[#This Row],[Ежем доход]]</f>
        <v>0.24800048587176021</v>
      </c>
      <c r="Y842" s="3"/>
      <c r="Z842" s="3"/>
      <c r="AA842" s="3"/>
      <c r="AB842" s="3"/>
    </row>
    <row r="843" spans="1:28" x14ac:dyDescent="0.2">
      <c r="A843">
        <v>1989</v>
      </c>
      <c r="B843" t="s">
        <v>2025</v>
      </c>
      <c r="C843" t="s">
        <v>18</v>
      </c>
      <c r="D843" t="s">
        <v>19</v>
      </c>
      <c r="E843" t="s">
        <v>24</v>
      </c>
      <c r="F843" t="s">
        <v>33</v>
      </c>
      <c r="G843" t="s">
        <v>102</v>
      </c>
      <c r="H843" s="1">
        <v>218944</v>
      </c>
      <c r="I843" s="3">
        <v>727</v>
      </c>
      <c r="J843" s="3">
        <v>718542</v>
      </c>
      <c r="K843" s="3">
        <v>11616.22</v>
      </c>
      <c r="L843" s="2">
        <v>16.8</v>
      </c>
      <c r="M843" s="11">
        <v>33</v>
      </c>
      <c r="N843" s="3">
        <v>12</v>
      </c>
      <c r="O843" s="3">
        <v>10564</v>
      </c>
      <c r="P843" s="3">
        <v>532114</v>
      </c>
      <c r="Q843" s="10">
        <v>0</v>
      </c>
      <c r="R843" s="3">
        <f>(Таблица1[Размер кредита]-$AA$2)/$AA$3</f>
        <v>-0.5160988995300887</v>
      </c>
      <c r="S843" s="3">
        <f>(Таблица1[Кредитный рейтинг]-$AA$7)/($AA$8-$AA$7)</f>
        <v>0.96804260985352863</v>
      </c>
      <c r="T843" s="3">
        <f>(Таблица1[Срок с последнего нарушения кредитного договора (мес,)]-$AA$12)/($AA$13-$AA$12)</f>
        <v>0.375</v>
      </c>
      <c r="U843" s="3">
        <f>(Таблица1[Количество кредитных карт]-$AA$18)/($AA$19-$AA$18)</f>
        <v>0.26190476190476192</v>
      </c>
      <c r="V843" s="3">
        <f>(Таблица1[Число нарушений кредитных договоров]-$AA$23)/($AA$24-$AA$23)</f>
        <v>0</v>
      </c>
      <c r="W843" s="3">
        <f>Таблица1[[#This Row],[Годовой доход]]/12</f>
        <v>59878.5</v>
      </c>
      <c r="X843" s="3">
        <f>Таблица1[[#This Row],[Ежемесячный платеж]]/Таблица1[[#This Row],[Ежем доход]]</f>
        <v>0.19399650959860382</v>
      </c>
      <c r="Y843" s="3"/>
      <c r="Z843" s="3"/>
      <c r="AA843" s="3"/>
      <c r="AB843" s="3"/>
    </row>
    <row r="844" spans="1:28" x14ac:dyDescent="0.2">
      <c r="A844">
        <v>517</v>
      </c>
      <c r="B844" t="s">
        <v>558</v>
      </c>
      <c r="C844" t="s">
        <v>18</v>
      </c>
      <c r="D844" t="s">
        <v>19</v>
      </c>
      <c r="E844" t="s">
        <v>41</v>
      </c>
      <c r="F844" t="s">
        <v>21</v>
      </c>
      <c r="G844" t="s">
        <v>25</v>
      </c>
      <c r="H844" s="1">
        <v>782408</v>
      </c>
      <c r="I844" s="3">
        <v>0</v>
      </c>
      <c r="J844" s="3">
        <v>1168044</v>
      </c>
      <c r="K844" s="3">
        <v>69227.64</v>
      </c>
      <c r="L844" s="2">
        <v>33.4</v>
      </c>
      <c r="M844" s="11">
        <v>35.265240640000002</v>
      </c>
      <c r="N844" s="3">
        <v>12</v>
      </c>
      <c r="O844" s="3">
        <v>246658</v>
      </c>
      <c r="P844" s="3">
        <v>531828</v>
      </c>
      <c r="Q844" s="10">
        <v>0</v>
      </c>
      <c r="R844" s="3">
        <f>(Таблица1[Размер кредита]-$AA$2)/$AA$3</f>
        <v>2.6918599311514217</v>
      </c>
      <c r="S844" s="3">
        <f>(Таблица1[Кредитный рейтинг]-$AA$7)/($AA$8-$AA$7)</f>
        <v>0</v>
      </c>
      <c r="T844" s="3">
        <f>(Таблица1[Срок с последнего нарушения кредитного договора (мес,)]-$AA$12)/($AA$13-$AA$12)</f>
        <v>0.40074137090909095</v>
      </c>
      <c r="U844" s="3">
        <f>(Таблица1[Количество кредитных карт]-$AA$18)/($AA$19-$AA$18)</f>
        <v>0.26190476190476192</v>
      </c>
      <c r="V844" s="3">
        <f>(Таблица1[Число нарушений кредитных договоров]-$AA$23)/($AA$24-$AA$23)</f>
        <v>0</v>
      </c>
      <c r="W844" s="3">
        <f>Таблица1[[#This Row],[Годовой доход]]/12</f>
        <v>97337</v>
      </c>
      <c r="X844" s="3">
        <f>Таблица1[[#This Row],[Ежемесячный платеж]]/Таблица1[[#This Row],[Ежем доход]]</f>
        <v>0.71121608432559047</v>
      </c>
      <c r="Y844" s="3"/>
      <c r="Z844" s="3"/>
      <c r="AA844" s="3"/>
      <c r="AB844" s="3"/>
    </row>
    <row r="845" spans="1:28" x14ac:dyDescent="0.2">
      <c r="A845">
        <v>1845</v>
      </c>
      <c r="B845" t="s">
        <v>1882</v>
      </c>
      <c r="C845" t="s">
        <v>18</v>
      </c>
      <c r="D845" t="s">
        <v>29</v>
      </c>
      <c r="E845" t="s">
        <v>52</v>
      </c>
      <c r="F845" t="s">
        <v>33</v>
      </c>
      <c r="G845" t="s">
        <v>25</v>
      </c>
      <c r="H845" s="1">
        <v>448624</v>
      </c>
      <c r="I845" s="3">
        <v>709</v>
      </c>
      <c r="J845" s="3">
        <v>1356068</v>
      </c>
      <c r="K845" s="3">
        <v>15594.82</v>
      </c>
      <c r="L845" s="2">
        <v>23.4</v>
      </c>
      <c r="M845" s="11">
        <v>35.265240640000002</v>
      </c>
      <c r="N845" s="3">
        <v>6</v>
      </c>
      <c r="O845" s="3">
        <v>219488</v>
      </c>
      <c r="P845" s="3">
        <v>531696</v>
      </c>
      <c r="Q845" s="10">
        <v>0</v>
      </c>
      <c r="R845" s="3">
        <f>(Таблица1[Размер кредита]-$AA$2)/$AA$3</f>
        <v>0.7915338582520044</v>
      </c>
      <c r="S845" s="3">
        <f>(Таблица1[Кредитный рейтинг]-$AA$7)/($AA$8-$AA$7)</f>
        <v>0.94407456724367511</v>
      </c>
      <c r="T845" s="3">
        <f>(Таблица1[Срок с последнего нарушения кредитного договора (мес,)]-$AA$12)/($AA$13-$AA$12)</f>
        <v>0.40074137090909095</v>
      </c>
      <c r="U845" s="3">
        <f>(Таблица1[Количество кредитных карт]-$AA$18)/($AA$19-$AA$18)</f>
        <v>0.11904761904761904</v>
      </c>
      <c r="V845" s="3">
        <f>(Таблица1[Число нарушений кредитных договоров]-$AA$23)/($AA$24-$AA$23)</f>
        <v>0</v>
      </c>
      <c r="W845" s="3">
        <f>Таблица1[[#This Row],[Годовой доход]]/12</f>
        <v>113005.66666666667</v>
      </c>
      <c r="X845" s="3">
        <f>Таблица1[[#This Row],[Ежемесячный платеж]]/Таблица1[[#This Row],[Ежем доход]]</f>
        <v>0.13800033626632291</v>
      </c>
      <c r="Y845" s="3"/>
      <c r="Z845" s="3"/>
      <c r="AA845" s="3"/>
      <c r="AB845" s="3"/>
    </row>
    <row r="846" spans="1:28" x14ac:dyDescent="0.2">
      <c r="A846">
        <v>1514</v>
      </c>
      <c r="B846" t="s">
        <v>1553</v>
      </c>
      <c r="C846" t="s">
        <v>35</v>
      </c>
      <c r="D846" t="s">
        <v>19</v>
      </c>
      <c r="E846" t="s">
        <v>24</v>
      </c>
      <c r="F846" t="s">
        <v>33</v>
      </c>
      <c r="G846" t="s">
        <v>25</v>
      </c>
      <c r="H846" s="1">
        <v>193996</v>
      </c>
      <c r="I846" s="3">
        <v>735</v>
      </c>
      <c r="J846" s="3">
        <v>2233944</v>
      </c>
      <c r="K846" s="3">
        <v>8246.9500000000007</v>
      </c>
      <c r="L846" s="2">
        <v>16.5</v>
      </c>
      <c r="M846" s="11">
        <v>16</v>
      </c>
      <c r="N846" s="3">
        <v>14</v>
      </c>
      <c r="O846" s="3">
        <v>285171</v>
      </c>
      <c r="P846" s="3">
        <v>530860</v>
      </c>
      <c r="Q846" s="10">
        <v>0</v>
      </c>
      <c r="R846" s="3">
        <f>(Таблица1[Размер кредита]-$AA$2)/$AA$3</f>
        <v>-0.65813487149607464</v>
      </c>
      <c r="S846" s="3">
        <f>(Таблица1[Кредитный рейтинг]-$AA$7)/($AA$8-$AA$7)</f>
        <v>0.97869507323568572</v>
      </c>
      <c r="T846" s="3">
        <f>(Таблица1[Срок с последнего нарушения кредитного договора (мес,)]-$AA$12)/($AA$13-$AA$12)</f>
        <v>0.18181818181818182</v>
      </c>
      <c r="U846" s="3">
        <f>(Таблица1[Количество кредитных карт]-$AA$18)/($AA$19-$AA$18)</f>
        <v>0.30952380952380953</v>
      </c>
      <c r="V846" s="3">
        <f>(Таблица1[Число нарушений кредитных договоров]-$AA$23)/($AA$24-$AA$23)</f>
        <v>0</v>
      </c>
      <c r="W846" s="3">
        <f>Таблица1[[#This Row],[Годовой доход]]/12</f>
        <v>186162</v>
      </c>
      <c r="X846" s="3">
        <f>Таблица1[[#This Row],[Ежемесячный платеж]]/Таблица1[[#This Row],[Ежем доход]]</f>
        <v>4.4299857113696675E-2</v>
      </c>
      <c r="Y846" s="3"/>
      <c r="Z846" s="3"/>
      <c r="AA846" s="3"/>
      <c r="AB846" s="3"/>
    </row>
    <row r="847" spans="1:28" x14ac:dyDescent="0.2">
      <c r="A847">
        <v>1650</v>
      </c>
      <c r="B847" t="s">
        <v>1688</v>
      </c>
      <c r="C847" t="s">
        <v>18</v>
      </c>
      <c r="D847" t="s">
        <v>19</v>
      </c>
      <c r="E847" t="s">
        <v>30</v>
      </c>
      <c r="F847" t="s">
        <v>21</v>
      </c>
      <c r="G847" t="s">
        <v>25</v>
      </c>
      <c r="H847" s="1">
        <v>436480</v>
      </c>
      <c r="I847" s="3">
        <v>679</v>
      </c>
      <c r="J847" s="3">
        <v>2261760</v>
      </c>
      <c r="K847" s="3">
        <v>19790.400000000001</v>
      </c>
      <c r="L847" s="2">
        <v>15.7</v>
      </c>
      <c r="M847" s="11">
        <v>30</v>
      </c>
      <c r="N847" s="3">
        <v>9</v>
      </c>
      <c r="O847" s="3">
        <v>341145</v>
      </c>
      <c r="P847" s="3">
        <v>530222</v>
      </c>
      <c r="Q847" s="10">
        <v>0</v>
      </c>
      <c r="R847" s="3">
        <f>(Таблица1[Размер кредита]-$AA$2)/$AA$3</f>
        <v>0.72239465496697419</v>
      </c>
      <c r="S847" s="3">
        <f>(Таблица1[Кредитный рейтинг]-$AA$7)/($AA$8-$AA$7)</f>
        <v>0.9041278295605859</v>
      </c>
      <c r="T847" s="3">
        <f>(Таблица1[Срок с последнего нарушения кредитного договора (мес,)]-$AA$12)/($AA$13-$AA$12)</f>
        <v>0.34090909090909088</v>
      </c>
      <c r="U847" s="3">
        <f>(Таблица1[Количество кредитных карт]-$AA$18)/($AA$19-$AA$18)</f>
        <v>0.19047619047619047</v>
      </c>
      <c r="V847" s="3">
        <f>(Таблица1[Число нарушений кредитных договоров]-$AA$23)/($AA$24-$AA$23)</f>
        <v>0</v>
      </c>
      <c r="W847" s="3">
        <f>Таблица1[[#This Row],[Годовой доход]]/12</f>
        <v>188480</v>
      </c>
      <c r="X847" s="3">
        <f>Таблица1[[#This Row],[Ежемесячный платеж]]/Таблица1[[#This Row],[Ежем доход]]</f>
        <v>0.10500000000000001</v>
      </c>
      <c r="Y847" s="3"/>
      <c r="Z847" s="3"/>
      <c r="AA847" s="3"/>
      <c r="AB847" s="3"/>
    </row>
    <row r="848" spans="1:28" x14ac:dyDescent="0.2">
      <c r="A848">
        <v>43</v>
      </c>
      <c r="B848" t="s">
        <v>83</v>
      </c>
      <c r="C848" t="s">
        <v>18</v>
      </c>
      <c r="D848" t="s">
        <v>29</v>
      </c>
      <c r="E848" t="s">
        <v>47</v>
      </c>
      <c r="F848" t="s">
        <v>21</v>
      </c>
      <c r="G848" t="s">
        <v>25</v>
      </c>
      <c r="H848" s="1">
        <v>327008</v>
      </c>
      <c r="I848" s="3">
        <v>0</v>
      </c>
      <c r="J848" s="3">
        <v>1168044</v>
      </c>
      <c r="K848" s="3">
        <v>15419.45</v>
      </c>
      <c r="L848" s="2">
        <v>16.7</v>
      </c>
      <c r="M848" s="11">
        <v>24</v>
      </c>
      <c r="N848" s="3">
        <v>13</v>
      </c>
      <c r="O848" s="3">
        <v>268090</v>
      </c>
      <c r="P848" s="3">
        <v>529738</v>
      </c>
      <c r="Q848" s="10">
        <v>0</v>
      </c>
      <c r="R848" s="3">
        <f>(Таблица1[Размер кредита]-$AA$2)/$AA$3</f>
        <v>9.9139807962788859E-2</v>
      </c>
      <c r="S848" s="3">
        <f>(Таблица1[Кредитный рейтинг]-$AA$7)/($AA$8-$AA$7)</f>
        <v>0</v>
      </c>
      <c r="T848" s="3">
        <f>(Таблица1[Срок с последнего нарушения кредитного договора (мес,)]-$AA$12)/($AA$13-$AA$12)</f>
        <v>0.27272727272727271</v>
      </c>
      <c r="U848" s="3">
        <f>(Таблица1[Количество кредитных карт]-$AA$18)/($AA$19-$AA$18)</f>
        <v>0.2857142857142857</v>
      </c>
      <c r="V848" s="3">
        <f>(Таблица1[Число нарушений кредитных договоров]-$AA$23)/($AA$24-$AA$23)</f>
        <v>0</v>
      </c>
      <c r="W848" s="3">
        <f>Таблица1[[#This Row],[Годовой доход]]/12</f>
        <v>97337</v>
      </c>
      <c r="X848" s="3">
        <f>Таблица1[[#This Row],[Ежемесячный платеж]]/Таблица1[[#This Row],[Ежем доход]]</f>
        <v>0.15841303923482336</v>
      </c>
      <c r="Y848" s="3"/>
      <c r="Z848" s="3"/>
      <c r="AA848" s="3"/>
      <c r="AB848" s="3"/>
    </row>
    <row r="849" spans="1:28" x14ac:dyDescent="0.2">
      <c r="A849">
        <v>1528</v>
      </c>
      <c r="B849" t="s">
        <v>1567</v>
      </c>
      <c r="C849" t="s">
        <v>18</v>
      </c>
      <c r="D849" t="s">
        <v>29</v>
      </c>
      <c r="E849" t="s">
        <v>30</v>
      </c>
      <c r="F849" t="s">
        <v>33</v>
      </c>
      <c r="G849" t="s">
        <v>25</v>
      </c>
      <c r="H849" s="1">
        <v>309594.52439999999</v>
      </c>
      <c r="I849" s="3">
        <v>713</v>
      </c>
      <c r="J849" s="3">
        <v>2597870</v>
      </c>
      <c r="K849" s="3">
        <v>19462.46</v>
      </c>
      <c r="L849" s="2">
        <v>13.3</v>
      </c>
      <c r="M849" s="11">
        <v>35.265240640000002</v>
      </c>
      <c r="N849" s="3">
        <v>7</v>
      </c>
      <c r="O849" s="3">
        <v>286729</v>
      </c>
      <c r="P849" s="3">
        <v>529518</v>
      </c>
      <c r="Q849" s="10">
        <v>0</v>
      </c>
      <c r="R849" s="3">
        <f>(Таблица1[Размер кредита]-$AA$2)/$AA$3</f>
        <v>-1.2411115481956205E-10</v>
      </c>
      <c r="S849" s="3">
        <f>(Таблица1[Кредитный рейтинг]-$AA$7)/($AA$8-$AA$7)</f>
        <v>0.94940079893475371</v>
      </c>
      <c r="T849" s="3">
        <f>(Таблица1[Срок с последнего нарушения кредитного договора (мес,)]-$AA$12)/($AA$13-$AA$12)</f>
        <v>0.40074137090909095</v>
      </c>
      <c r="U849" s="3">
        <f>(Таблица1[Количество кредитных карт]-$AA$18)/($AA$19-$AA$18)</f>
        <v>0.14285714285714285</v>
      </c>
      <c r="V849" s="3">
        <f>(Таблица1[Число нарушений кредитных договоров]-$AA$23)/($AA$24-$AA$23)</f>
        <v>0</v>
      </c>
      <c r="W849" s="3">
        <f>Таблица1[[#This Row],[Годовой доход]]/12</f>
        <v>216489.16666666666</v>
      </c>
      <c r="X849" s="3">
        <f>Таблица1[[#This Row],[Ежемесячный платеж]]/Таблица1[[#This Row],[Ежем доход]]</f>
        <v>8.9900387625246839E-2</v>
      </c>
      <c r="Y849" s="3"/>
      <c r="Z849" s="3"/>
      <c r="AA849" s="3"/>
      <c r="AB849" s="3"/>
    </row>
    <row r="850" spans="1:28" x14ac:dyDescent="0.2">
      <c r="A850">
        <v>1431</v>
      </c>
      <c r="B850" t="s">
        <v>1470</v>
      </c>
      <c r="C850" t="s">
        <v>35</v>
      </c>
      <c r="D850" t="s">
        <v>19</v>
      </c>
      <c r="E850" t="s">
        <v>24</v>
      </c>
      <c r="F850" t="s">
        <v>21</v>
      </c>
      <c r="G850" t="s">
        <v>25</v>
      </c>
      <c r="H850" s="1">
        <v>420684</v>
      </c>
      <c r="I850" s="3">
        <v>746</v>
      </c>
      <c r="J850" s="3">
        <v>810616</v>
      </c>
      <c r="K850" s="3">
        <v>15469.04</v>
      </c>
      <c r="L850" s="2">
        <v>17.100000000000001</v>
      </c>
      <c r="M850" s="11">
        <v>7</v>
      </c>
      <c r="N850" s="3">
        <v>10</v>
      </c>
      <c r="O850" s="3">
        <v>235505</v>
      </c>
      <c r="P850" s="3">
        <v>529474</v>
      </c>
      <c r="Q850" s="10">
        <v>0</v>
      </c>
      <c r="R850" s="3">
        <f>(Таблица1[Размер кредита]-$AA$2)/$AA$3</f>
        <v>0.63246358982448925</v>
      </c>
      <c r="S850" s="3">
        <f>(Таблица1[Кредитный рейтинг]-$AA$7)/($AA$8-$AA$7)</f>
        <v>0.99334221038615178</v>
      </c>
      <c r="T850" s="3">
        <f>(Таблица1[Срок с последнего нарушения кредитного договора (мес,)]-$AA$12)/($AA$13-$AA$12)</f>
        <v>7.9545454545454544E-2</v>
      </c>
      <c r="U850" s="3">
        <f>(Таблица1[Количество кредитных карт]-$AA$18)/($AA$19-$AA$18)</f>
        <v>0.21428571428571427</v>
      </c>
      <c r="V850" s="3">
        <f>(Таблица1[Число нарушений кредитных договоров]-$AA$23)/($AA$24-$AA$23)</f>
        <v>0</v>
      </c>
      <c r="W850" s="3">
        <f>Таблица1[[#This Row],[Годовой доход]]/12</f>
        <v>67551.333333333328</v>
      </c>
      <c r="X850" s="3">
        <f>Таблица1[[#This Row],[Ежемесячный платеж]]/Таблица1[[#This Row],[Ежем доход]]</f>
        <v>0.22899681230076882</v>
      </c>
      <c r="Y850" s="3"/>
      <c r="Z850" s="3"/>
      <c r="AA850" s="3"/>
      <c r="AB850" s="3"/>
    </row>
    <row r="851" spans="1:28" x14ac:dyDescent="0.2">
      <c r="A851">
        <v>914</v>
      </c>
      <c r="B851" t="s">
        <v>955</v>
      </c>
      <c r="C851" t="s">
        <v>18</v>
      </c>
      <c r="D851" t="s">
        <v>19</v>
      </c>
      <c r="E851" t="s">
        <v>52</v>
      </c>
      <c r="F851" t="s">
        <v>21</v>
      </c>
      <c r="G851" t="s">
        <v>39</v>
      </c>
      <c r="H851" s="1">
        <v>225126</v>
      </c>
      <c r="I851" s="3">
        <v>719</v>
      </c>
      <c r="J851" s="3">
        <v>1788736</v>
      </c>
      <c r="K851" s="3">
        <v>15055.03</v>
      </c>
      <c r="L851" s="2">
        <v>19.3</v>
      </c>
      <c r="M851" s="11">
        <v>61</v>
      </c>
      <c r="N851" s="3">
        <v>21</v>
      </c>
      <c r="O851" s="3">
        <v>329593</v>
      </c>
      <c r="P851" s="3">
        <v>529320</v>
      </c>
      <c r="Q851" s="10">
        <v>0</v>
      </c>
      <c r="R851" s="3">
        <f>(Таблица1[Размер кредита]-$AA$2)/$AA$3</f>
        <v>-0.48090303698825265</v>
      </c>
      <c r="S851" s="3">
        <f>(Таблица1[Кредитный рейтинг]-$AA$7)/($AA$8-$AA$7)</f>
        <v>0.95739014647137155</v>
      </c>
      <c r="T851" s="3">
        <f>(Таблица1[Срок с последнего нарушения кредитного договора (мес,)]-$AA$12)/($AA$13-$AA$12)</f>
        <v>0.69318181818181823</v>
      </c>
      <c r="U851" s="3">
        <f>(Таблица1[Количество кредитных карт]-$AA$18)/($AA$19-$AA$18)</f>
        <v>0.47619047619047616</v>
      </c>
      <c r="V851" s="3">
        <f>(Таблица1[Число нарушений кредитных договоров]-$AA$23)/($AA$24-$AA$23)</f>
        <v>0</v>
      </c>
      <c r="W851" s="3">
        <f>Таблица1[[#This Row],[Годовой доход]]/12</f>
        <v>149061.33333333334</v>
      </c>
      <c r="X851" s="3">
        <f>Таблица1[[#This Row],[Ежемесячный платеж]]/Таблица1[[#This Row],[Ежем доход]]</f>
        <v>0.10099889530931339</v>
      </c>
      <c r="Y851" s="3"/>
      <c r="Z851" s="3"/>
      <c r="AA851" s="3"/>
      <c r="AB851" s="3"/>
    </row>
    <row r="852" spans="1:28" x14ac:dyDescent="0.2">
      <c r="A852">
        <v>1526</v>
      </c>
      <c r="B852" s="4" t="s">
        <v>1565</v>
      </c>
      <c r="C852" t="s">
        <v>35</v>
      </c>
      <c r="D852" t="s">
        <v>19</v>
      </c>
      <c r="E852" t="s">
        <v>30</v>
      </c>
      <c r="F852" t="s">
        <v>21</v>
      </c>
      <c r="G852" t="s">
        <v>70</v>
      </c>
      <c r="H852" s="1">
        <v>431948</v>
      </c>
      <c r="I852" s="3">
        <v>671</v>
      </c>
      <c r="J852" s="3">
        <v>932615</v>
      </c>
      <c r="K852" s="3">
        <v>10258.67</v>
      </c>
      <c r="L852" s="2">
        <v>16.2</v>
      </c>
      <c r="M852" s="11">
        <v>35.265240640000002</v>
      </c>
      <c r="N852" s="3">
        <v>12</v>
      </c>
      <c r="O852" s="3">
        <v>120194</v>
      </c>
      <c r="P852" s="3">
        <v>529166</v>
      </c>
      <c r="Q852" s="10">
        <v>0</v>
      </c>
      <c r="R852" s="3">
        <f>(Таблица1[Размер кредита]-$AA$2)/$AA$3</f>
        <v>0.69659270591495215</v>
      </c>
      <c r="S852" s="3">
        <f>(Таблица1[Кредитный рейтинг]-$AA$7)/($AA$8-$AA$7)</f>
        <v>0.89347536617842871</v>
      </c>
      <c r="T852" s="3">
        <f>(Таблица1[Срок с последнего нарушения кредитного договора (мес,)]-$AA$12)/($AA$13-$AA$12)</f>
        <v>0.40074137090909095</v>
      </c>
      <c r="U852" s="3">
        <f>(Таблица1[Количество кредитных карт]-$AA$18)/($AA$19-$AA$18)</f>
        <v>0.26190476190476192</v>
      </c>
      <c r="V852" s="3">
        <f>(Таблица1[Число нарушений кредитных договоров]-$AA$23)/($AA$24-$AA$23)</f>
        <v>0</v>
      </c>
      <c r="W852" s="3">
        <f>Таблица1[[#This Row],[Годовой доход]]/12</f>
        <v>77717.916666666672</v>
      </c>
      <c r="X852" s="3">
        <f>Таблица1[[#This Row],[Ежемесячный платеж]]/Таблица1[[#This Row],[Ежем доход]]</f>
        <v>0.13199877763064072</v>
      </c>
      <c r="Y852" s="3"/>
      <c r="Z852" s="3"/>
      <c r="AA852" s="3"/>
      <c r="AB852" s="3"/>
    </row>
    <row r="853" spans="1:28" x14ac:dyDescent="0.2">
      <c r="A853">
        <v>637</v>
      </c>
      <c r="B853" t="s">
        <v>678</v>
      </c>
      <c r="C853" t="s">
        <v>18</v>
      </c>
      <c r="D853" t="s">
        <v>19</v>
      </c>
      <c r="E853" t="s">
        <v>41</v>
      </c>
      <c r="F853" t="s">
        <v>33</v>
      </c>
      <c r="G853" t="s">
        <v>25</v>
      </c>
      <c r="H853" s="1">
        <v>309594.52439999999</v>
      </c>
      <c r="I853" s="3">
        <v>691</v>
      </c>
      <c r="J853" s="3">
        <v>1680417</v>
      </c>
      <c r="K853" s="3">
        <v>22965.68</v>
      </c>
      <c r="L853" s="2">
        <v>17.7</v>
      </c>
      <c r="M853" s="11">
        <v>62</v>
      </c>
      <c r="N853" s="3">
        <v>27</v>
      </c>
      <c r="O853" s="3">
        <v>92720</v>
      </c>
      <c r="P853" s="3">
        <v>528880</v>
      </c>
      <c r="Q853" s="10">
        <v>0</v>
      </c>
      <c r="R853" s="3">
        <f>(Таблица1[Размер кредита]-$AA$2)/$AA$3</f>
        <v>-1.2411115481956205E-10</v>
      </c>
      <c r="S853" s="3">
        <f>(Таблица1[Кредитный рейтинг]-$AA$7)/($AA$8-$AA$7)</f>
        <v>0.92010652463382159</v>
      </c>
      <c r="T853" s="3">
        <f>(Таблица1[Срок с последнего нарушения кредитного договора (мес,)]-$AA$12)/($AA$13-$AA$12)</f>
        <v>0.70454545454545459</v>
      </c>
      <c r="U853" s="3">
        <f>(Таблица1[Количество кредитных карт]-$AA$18)/($AA$19-$AA$18)</f>
        <v>0.61904761904761907</v>
      </c>
      <c r="V853" s="3">
        <f>(Таблица1[Число нарушений кредитных договоров]-$AA$23)/($AA$24-$AA$23)</f>
        <v>0</v>
      </c>
      <c r="W853" s="3">
        <f>Таблица1[[#This Row],[Годовой доход]]/12</f>
        <v>140034.75</v>
      </c>
      <c r="X853" s="3">
        <f>Таблица1[[#This Row],[Ежемесячный платеж]]/Таблица1[[#This Row],[Ежем доход]]</f>
        <v>0.16399986431939215</v>
      </c>
      <c r="Y853" s="3"/>
      <c r="Z853" s="3"/>
      <c r="AA853" s="3"/>
      <c r="AB853" s="3"/>
    </row>
    <row r="854" spans="1:28" x14ac:dyDescent="0.2">
      <c r="A854">
        <v>1852</v>
      </c>
      <c r="B854" t="s">
        <v>1889</v>
      </c>
      <c r="C854" t="s">
        <v>18</v>
      </c>
      <c r="D854" t="s">
        <v>19</v>
      </c>
      <c r="E854" t="s">
        <v>24</v>
      </c>
      <c r="F854" t="s">
        <v>21</v>
      </c>
      <c r="G854" t="s">
        <v>25</v>
      </c>
      <c r="H854" s="1">
        <v>144848</v>
      </c>
      <c r="I854" s="3">
        <v>0</v>
      </c>
      <c r="J854" s="3">
        <v>1168044</v>
      </c>
      <c r="K854" s="3">
        <v>4193.1099999999997</v>
      </c>
      <c r="L854" s="2">
        <v>12.3</v>
      </c>
      <c r="M854" s="11">
        <v>26</v>
      </c>
      <c r="N854" s="3">
        <v>7</v>
      </c>
      <c r="O854" s="3">
        <v>123785</v>
      </c>
      <c r="P854" s="3">
        <v>528880</v>
      </c>
      <c r="Q854" s="10">
        <v>1</v>
      </c>
      <c r="R854" s="3">
        <f>(Таблица1[Размер кредита]-$AA$2)/$AA$3</f>
        <v>-0.9379482413126643</v>
      </c>
      <c r="S854" s="3">
        <f>(Таблица1[Кредитный рейтинг]-$AA$7)/($AA$8-$AA$7)</f>
        <v>0</v>
      </c>
      <c r="T854" s="3">
        <f>(Таблица1[Срок с последнего нарушения кредитного договора (мес,)]-$AA$12)/($AA$13-$AA$12)</f>
        <v>0.29545454545454547</v>
      </c>
      <c r="U854" s="3">
        <f>(Таблица1[Количество кредитных карт]-$AA$18)/($AA$19-$AA$18)</f>
        <v>0.14285714285714285</v>
      </c>
      <c r="V854" s="3">
        <f>(Таблица1[Число нарушений кредитных договоров]-$AA$23)/($AA$24-$AA$23)</f>
        <v>0.14285714285714285</v>
      </c>
      <c r="W854" s="3">
        <f>Таблица1[[#This Row],[Годовой доход]]/12</f>
        <v>97337</v>
      </c>
      <c r="X854" s="3">
        <f>Таблица1[[#This Row],[Ежемесячный платеж]]/Таблица1[[#This Row],[Ежем доход]]</f>
        <v>4.3078274448565289E-2</v>
      </c>
      <c r="Y854" s="3"/>
      <c r="Z854" s="3"/>
      <c r="AA854" s="3"/>
      <c r="AB854" s="3"/>
    </row>
    <row r="855" spans="1:28" x14ac:dyDescent="0.2">
      <c r="A855">
        <v>669</v>
      </c>
      <c r="B855" t="s">
        <v>710</v>
      </c>
      <c r="C855" t="s">
        <v>18</v>
      </c>
      <c r="D855" t="s">
        <v>19</v>
      </c>
      <c r="E855" t="s">
        <v>24</v>
      </c>
      <c r="F855" t="s">
        <v>21</v>
      </c>
      <c r="G855" t="s">
        <v>25</v>
      </c>
      <c r="H855" s="1">
        <v>333036</v>
      </c>
      <c r="I855" s="3">
        <v>727</v>
      </c>
      <c r="J855" s="3">
        <v>1629858</v>
      </c>
      <c r="K855" s="3">
        <v>7904.76</v>
      </c>
      <c r="L855" s="2">
        <v>21</v>
      </c>
      <c r="M855" s="11">
        <v>35.265240640000002</v>
      </c>
      <c r="N855" s="3">
        <v>9</v>
      </c>
      <c r="O855" s="3">
        <v>281979</v>
      </c>
      <c r="P855" s="3">
        <v>528330</v>
      </c>
      <c r="Q855" s="10">
        <v>0</v>
      </c>
      <c r="R855" s="3">
        <f>(Таблица1[Размер кредита]-$AA$2)/$AA$3</f>
        <v>0.1334589052455756</v>
      </c>
      <c r="S855" s="3">
        <f>(Таблица1[Кредитный рейтинг]-$AA$7)/($AA$8-$AA$7)</f>
        <v>0.96804260985352863</v>
      </c>
      <c r="T855" s="3">
        <f>(Таблица1[Срок с последнего нарушения кредитного договора (мес,)]-$AA$12)/($AA$13-$AA$12)</f>
        <v>0.40074137090909095</v>
      </c>
      <c r="U855" s="3">
        <f>(Таблица1[Количество кредитных карт]-$AA$18)/($AA$19-$AA$18)</f>
        <v>0.19047619047619047</v>
      </c>
      <c r="V855" s="3">
        <f>(Таблица1[Число нарушений кредитных договоров]-$AA$23)/($AA$24-$AA$23)</f>
        <v>0</v>
      </c>
      <c r="W855" s="3">
        <f>Таблица1[[#This Row],[Годовой доход]]/12</f>
        <v>135821.5</v>
      </c>
      <c r="X855" s="3">
        <f>Таблица1[[#This Row],[Ежемесячный платеж]]/Таблица1[[#This Row],[Ежем доход]]</f>
        <v>5.8199622298384275E-2</v>
      </c>
      <c r="Y855" s="3"/>
      <c r="Z855" s="3"/>
      <c r="AA855" s="3"/>
      <c r="AB855" s="3"/>
    </row>
    <row r="856" spans="1:28" x14ac:dyDescent="0.2">
      <c r="A856">
        <v>930</v>
      </c>
      <c r="B856" t="s">
        <v>971</v>
      </c>
      <c r="C856" t="s">
        <v>18</v>
      </c>
      <c r="D856" t="s">
        <v>19</v>
      </c>
      <c r="E856" t="s">
        <v>37</v>
      </c>
      <c r="F856" t="s">
        <v>21</v>
      </c>
      <c r="G856" t="s">
        <v>25</v>
      </c>
      <c r="H856" s="1">
        <v>460570</v>
      </c>
      <c r="I856" s="3">
        <v>0</v>
      </c>
      <c r="J856" s="3">
        <v>1168044</v>
      </c>
      <c r="K856" s="3">
        <v>26730.53</v>
      </c>
      <c r="L856" s="2">
        <v>15.5</v>
      </c>
      <c r="M856" s="11">
        <v>75</v>
      </c>
      <c r="N856" s="3">
        <v>10</v>
      </c>
      <c r="O856" s="3">
        <v>316673</v>
      </c>
      <c r="P856" s="3">
        <v>528330</v>
      </c>
      <c r="Q856" s="10">
        <v>0</v>
      </c>
      <c r="R856" s="3">
        <f>(Таблица1[Размер кредита]-$AA$2)/$AA$3</f>
        <v>0.85954579191825697</v>
      </c>
      <c r="S856" s="3">
        <f>(Таблица1[Кредитный рейтинг]-$AA$7)/($AA$8-$AA$7)</f>
        <v>0</v>
      </c>
      <c r="T856" s="3">
        <f>(Таблица1[Срок с последнего нарушения кредитного договора (мес,)]-$AA$12)/($AA$13-$AA$12)</f>
        <v>0.85227272727272729</v>
      </c>
      <c r="U856" s="3">
        <f>(Таблица1[Количество кредитных карт]-$AA$18)/($AA$19-$AA$18)</f>
        <v>0.21428571428571427</v>
      </c>
      <c r="V856" s="3">
        <f>(Таблица1[Число нарушений кредитных договоров]-$AA$23)/($AA$24-$AA$23)</f>
        <v>0</v>
      </c>
      <c r="W856" s="3">
        <f>Таблица1[[#This Row],[Годовой доход]]/12</f>
        <v>97337</v>
      </c>
      <c r="X856" s="3">
        <f>Таблица1[[#This Row],[Ежемесячный платеж]]/Таблица1[[#This Row],[Ежем доход]]</f>
        <v>0.2746183876634784</v>
      </c>
      <c r="Y856" s="3"/>
      <c r="Z856" s="3"/>
      <c r="AA856" s="3"/>
      <c r="AB856" s="3"/>
    </row>
    <row r="857" spans="1:28" x14ac:dyDescent="0.2">
      <c r="A857">
        <v>520</v>
      </c>
      <c r="B857" t="s">
        <v>561</v>
      </c>
      <c r="C857" t="s">
        <v>18</v>
      </c>
      <c r="D857" t="s">
        <v>19</v>
      </c>
      <c r="E857" t="s">
        <v>47</v>
      </c>
      <c r="F857" t="s">
        <v>33</v>
      </c>
      <c r="G857" t="s">
        <v>25</v>
      </c>
      <c r="H857" s="1">
        <v>147400</v>
      </c>
      <c r="I857" s="3">
        <v>745</v>
      </c>
      <c r="J857" s="3">
        <v>2314428</v>
      </c>
      <c r="K857" s="3">
        <v>20058.3</v>
      </c>
      <c r="L857" s="2">
        <v>19.8</v>
      </c>
      <c r="M857" s="11">
        <v>35.265240640000002</v>
      </c>
      <c r="N857" s="3">
        <v>8</v>
      </c>
      <c r="O857" s="3">
        <v>40603</v>
      </c>
      <c r="P857" s="3">
        <v>528198</v>
      </c>
      <c r="Q857" s="10">
        <v>0</v>
      </c>
      <c r="R857" s="3">
        <f>(Таблица1[Размер кредита]-$AA$2)/$AA$3</f>
        <v>-0.92341898844841885</v>
      </c>
      <c r="S857" s="3">
        <f>(Таблица1[Кредитный рейтинг]-$AA$7)/($AA$8-$AA$7)</f>
        <v>0.99201065246338216</v>
      </c>
      <c r="T857" s="3">
        <f>(Таблица1[Срок с последнего нарушения кредитного договора (мес,)]-$AA$12)/($AA$13-$AA$12)</f>
        <v>0.40074137090909095</v>
      </c>
      <c r="U857" s="3">
        <f>(Таблица1[Количество кредитных карт]-$AA$18)/($AA$19-$AA$18)</f>
        <v>0.16666666666666666</v>
      </c>
      <c r="V857" s="3">
        <f>(Таблица1[Число нарушений кредитных договоров]-$AA$23)/($AA$24-$AA$23)</f>
        <v>0</v>
      </c>
      <c r="W857" s="3">
        <f>Таблица1[[#This Row],[Годовой доход]]/12</f>
        <v>192869</v>
      </c>
      <c r="X857" s="3">
        <f>Таблица1[[#This Row],[Ежемесячный платеж]]/Таблица1[[#This Row],[Ежем доход]]</f>
        <v>0.10399960595015269</v>
      </c>
      <c r="Y857" s="3"/>
      <c r="Z857" s="3"/>
      <c r="AA857" s="3"/>
      <c r="AB857" s="3"/>
    </row>
    <row r="858" spans="1:28" x14ac:dyDescent="0.2">
      <c r="A858">
        <v>746</v>
      </c>
      <c r="B858" t="s">
        <v>787</v>
      </c>
      <c r="C858" t="s">
        <v>18</v>
      </c>
      <c r="D858" t="s">
        <v>19</v>
      </c>
      <c r="E858" t="s">
        <v>30</v>
      </c>
      <c r="F858" t="s">
        <v>33</v>
      </c>
      <c r="G858" t="s">
        <v>25</v>
      </c>
      <c r="H858" s="1">
        <v>214764</v>
      </c>
      <c r="I858" s="3">
        <v>730</v>
      </c>
      <c r="J858" s="3">
        <v>983041</v>
      </c>
      <c r="K858" s="3">
        <v>12697.51</v>
      </c>
      <c r="L858" s="2">
        <v>13.4</v>
      </c>
      <c r="M858" s="11">
        <v>43</v>
      </c>
      <c r="N858" s="3">
        <v>19</v>
      </c>
      <c r="O858" s="3">
        <v>209741</v>
      </c>
      <c r="P858" s="3">
        <v>527956</v>
      </c>
      <c r="Q858" s="10">
        <v>0</v>
      </c>
      <c r="R858" s="3">
        <f>(Таблица1[Размер кредита]-$AA$2)/$AA$3</f>
        <v>-0.53989681370428388</v>
      </c>
      <c r="S858" s="3">
        <f>(Таблица1[Кредитный рейтинг]-$AA$7)/($AA$8-$AA$7)</f>
        <v>0.9720372836218375</v>
      </c>
      <c r="T858" s="3">
        <f>(Таблица1[Срок с последнего нарушения кредитного договора (мес,)]-$AA$12)/($AA$13-$AA$12)</f>
        <v>0.48863636363636365</v>
      </c>
      <c r="U858" s="3">
        <f>(Таблица1[Количество кредитных карт]-$AA$18)/($AA$19-$AA$18)</f>
        <v>0.42857142857142855</v>
      </c>
      <c r="V858" s="3">
        <f>(Таблица1[Число нарушений кредитных договоров]-$AA$23)/($AA$24-$AA$23)</f>
        <v>0</v>
      </c>
      <c r="W858" s="3">
        <f>Таблица1[[#This Row],[Годовой доход]]/12</f>
        <v>81920.083333333328</v>
      </c>
      <c r="X858" s="3">
        <f>Таблица1[[#This Row],[Ежемесячный платеж]]/Таблица1[[#This Row],[Ежем доход]]</f>
        <v>0.15499874369431185</v>
      </c>
      <c r="Y858" s="3"/>
      <c r="Z858" s="3"/>
      <c r="AA858" s="3"/>
      <c r="AB858" s="3"/>
    </row>
    <row r="859" spans="1:28" x14ac:dyDescent="0.2">
      <c r="A859">
        <v>678</v>
      </c>
      <c r="B859" t="s">
        <v>719</v>
      </c>
      <c r="C859" t="s">
        <v>35</v>
      </c>
      <c r="D859" t="s">
        <v>19</v>
      </c>
      <c r="E859" t="s">
        <v>30</v>
      </c>
      <c r="F859" t="s">
        <v>21</v>
      </c>
      <c r="G859" t="s">
        <v>25</v>
      </c>
      <c r="H859" s="1">
        <v>64592</v>
      </c>
      <c r="I859" s="3">
        <v>686</v>
      </c>
      <c r="J859" s="3">
        <v>1299581</v>
      </c>
      <c r="K859" s="3">
        <v>35197.120000000003</v>
      </c>
      <c r="L859" s="2">
        <v>24.2</v>
      </c>
      <c r="M859" s="11">
        <v>35.265240640000002</v>
      </c>
      <c r="N859" s="3">
        <v>20</v>
      </c>
      <c r="O859" s="3">
        <v>271111</v>
      </c>
      <c r="P859" s="3">
        <v>527582</v>
      </c>
      <c r="Q859" s="10">
        <v>0</v>
      </c>
      <c r="R859" s="3">
        <f>(Таблица1[Размер кредита]-$AA$2)/$AA$3</f>
        <v>-1.3948681934572118</v>
      </c>
      <c r="S859" s="3">
        <f>(Таблица1[Кредитный рейтинг]-$AA$7)/($AA$8-$AA$7)</f>
        <v>0.91344873501997337</v>
      </c>
      <c r="T859" s="3">
        <f>(Таблица1[Срок с последнего нарушения кредитного договора (мес,)]-$AA$12)/($AA$13-$AA$12)</f>
        <v>0.40074137090909095</v>
      </c>
      <c r="U859" s="3">
        <f>(Таблица1[Количество кредитных карт]-$AA$18)/($AA$19-$AA$18)</f>
        <v>0.45238095238095238</v>
      </c>
      <c r="V859" s="3">
        <f>(Таблица1[Число нарушений кредитных договоров]-$AA$23)/($AA$24-$AA$23)</f>
        <v>0</v>
      </c>
      <c r="W859" s="3">
        <f>Таблица1[[#This Row],[Годовой доход]]/12</f>
        <v>108298.41666666667</v>
      </c>
      <c r="X859" s="3">
        <f>Таблица1[[#This Row],[Ежемесячный платеж]]/Таблица1[[#This Row],[Ежем доход]]</f>
        <v>0.32500124270822672</v>
      </c>
      <c r="Y859" s="3"/>
      <c r="Z859" s="3"/>
      <c r="AA859" s="3"/>
      <c r="AB859" s="3"/>
    </row>
    <row r="860" spans="1:28" x14ac:dyDescent="0.2">
      <c r="A860">
        <v>1235</v>
      </c>
      <c r="B860" t="s">
        <v>1274</v>
      </c>
      <c r="C860" t="s">
        <v>18</v>
      </c>
      <c r="D860" t="s">
        <v>19</v>
      </c>
      <c r="E860" t="s">
        <v>24</v>
      </c>
      <c r="F860" t="s">
        <v>33</v>
      </c>
      <c r="G860" t="s">
        <v>25</v>
      </c>
      <c r="H860" s="1">
        <v>216106</v>
      </c>
      <c r="I860" s="3">
        <v>742</v>
      </c>
      <c r="J860" s="3">
        <v>1343794</v>
      </c>
      <c r="K860" s="3">
        <v>23202.799999999999</v>
      </c>
      <c r="L860" s="2">
        <v>21.5</v>
      </c>
      <c r="M860" s="11">
        <v>25</v>
      </c>
      <c r="N860" s="3">
        <v>10</v>
      </c>
      <c r="O860" s="3">
        <v>316160</v>
      </c>
      <c r="P860" s="3">
        <v>527494</v>
      </c>
      <c r="Q860" s="10">
        <v>0</v>
      </c>
      <c r="R860" s="3">
        <f>(Таблица1[Размер кредита]-$AA$2)/$AA$3</f>
        <v>-0.53225643073256856</v>
      </c>
      <c r="S860" s="3">
        <f>(Таблица1[Кредитный рейтинг]-$AA$7)/($AA$8-$AA$7)</f>
        <v>0.98801597869507318</v>
      </c>
      <c r="T860" s="3">
        <f>(Таблица1[Срок с последнего нарушения кредитного договора (мес,)]-$AA$12)/($AA$13-$AA$12)</f>
        <v>0.28409090909090912</v>
      </c>
      <c r="U860" s="3">
        <f>(Таблица1[Количество кредитных карт]-$AA$18)/($AA$19-$AA$18)</f>
        <v>0.21428571428571427</v>
      </c>
      <c r="V860" s="3">
        <f>(Таблица1[Число нарушений кредитных договоров]-$AA$23)/($AA$24-$AA$23)</f>
        <v>0</v>
      </c>
      <c r="W860" s="3">
        <f>Таблица1[[#This Row],[Годовой доход]]/12</f>
        <v>111982.83333333333</v>
      </c>
      <c r="X860" s="3">
        <f>Таблица1[[#This Row],[Ежемесячный платеж]]/Таблица1[[#This Row],[Ежем доход]]</f>
        <v>0.20719961541724402</v>
      </c>
      <c r="Y860" s="3"/>
      <c r="Z860" s="3"/>
      <c r="AA860" s="3"/>
      <c r="AB860" s="3"/>
    </row>
    <row r="861" spans="1:28" x14ac:dyDescent="0.2">
      <c r="A861">
        <v>1633</v>
      </c>
      <c r="B861" t="s">
        <v>1671</v>
      </c>
      <c r="C861" t="s">
        <v>35</v>
      </c>
      <c r="D861" t="s">
        <v>19</v>
      </c>
      <c r="E861" t="s">
        <v>63</v>
      </c>
      <c r="F861" t="s">
        <v>21</v>
      </c>
      <c r="G861" t="s">
        <v>67</v>
      </c>
      <c r="H861" s="1">
        <v>191686</v>
      </c>
      <c r="I861" s="3">
        <v>710</v>
      </c>
      <c r="J861" s="3">
        <v>1166334</v>
      </c>
      <c r="K861" s="3">
        <v>13510.14</v>
      </c>
      <c r="L861" s="2">
        <v>23.4</v>
      </c>
      <c r="M861" s="11">
        <v>16</v>
      </c>
      <c r="N861" s="3">
        <v>5</v>
      </c>
      <c r="O861" s="3">
        <v>423282</v>
      </c>
      <c r="P861" s="3">
        <v>527010</v>
      </c>
      <c r="Q861" s="10">
        <v>0</v>
      </c>
      <c r="R861" s="3">
        <f>(Таблица1[Размер кредита]-$AA$2)/$AA$3</f>
        <v>-0.67128635038181406</v>
      </c>
      <c r="S861" s="3">
        <f>(Таблица1[Кредитный рейтинг]-$AA$7)/($AA$8-$AA$7)</f>
        <v>0.94540612516644473</v>
      </c>
      <c r="T861" s="3">
        <f>(Таблица1[Срок с последнего нарушения кредитного договора (мес,)]-$AA$12)/($AA$13-$AA$12)</f>
        <v>0.18181818181818182</v>
      </c>
      <c r="U861" s="3">
        <f>(Таблица1[Количество кредитных карт]-$AA$18)/($AA$19-$AA$18)</f>
        <v>9.5238095238095233E-2</v>
      </c>
      <c r="V861" s="3">
        <f>(Таблица1[Число нарушений кредитных договоров]-$AA$23)/($AA$24-$AA$23)</f>
        <v>0</v>
      </c>
      <c r="W861" s="3">
        <f>Таблица1[[#This Row],[Годовой доход]]/12</f>
        <v>97194.5</v>
      </c>
      <c r="X861" s="3">
        <f>Таблица1[[#This Row],[Ежемесячный платеж]]/Таблица1[[#This Row],[Ежем доход]]</f>
        <v>0.1390010751637181</v>
      </c>
      <c r="Y861" s="3"/>
      <c r="Z861" s="3"/>
      <c r="AA861" s="3"/>
      <c r="AB861" s="3"/>
    </row>
    <row r="862" spans="1:28" x14ac:dyDescent="0.2">
      <c r="A862">
        <v>1160</v>
      </c>
      <c r="B862" t="s">
        <v>1199</v>
      </c>
      <c r="C862" t="s">
        <v>18</v>
      </c>
      <c r="D862" t="s">
        <v>19</v>
      </c>
      <c r="E862" t="s">
        <v>30</v>
      </c>
      <c r="F862" t="s">
        <v>33</v>
      </c>
      <c r="G862" t="s">
        <v>102</v>
      </c>
      <c r="H862" s="1">
        <v>224752</v>
      </c>
      <c r="I862" s="3">
        <v>0</v>
      </c>
      <c r="J862" s="3">
        <v>1168044</v>
      </c>
      <c r="K862" s="3">
        <v>1536.72</v>
      </c>
      <c r="L862" s="2">
        <v>13.6</v>
      </c>
      <c r="M862" s="11">
        <v>35.265240640000002</v>
      </c>
      <c r="N862" s="3">
        <v>3</v>
      </c>
      <c r="O862" s="3">
        <v>75107</v>
      </c>
      <c r="P862" s="3">
        <v>526988</v>
      </c>
      <c r="Q862" s="10">
        <v>0</v>
      </c>
      <c r="R862" s="3">
        <f>(Таблица1[Размер кредита]-$AA$2)/$AA$3</f>
        <v>-0.48303232404594376</v>
      </c>
      <c r="S862" s="3">
        <f>(Таблица1[Кредитный рейтинг]-$AA$7)/($AA$8-$AA$7)</f>
        <v>0</v>
      </c>
      <c r="T862" s="3">
        <f>(Таблица1[Срок с последнего нарушения кредитного договора (мес,)]-$AA$12)/($AA$13-$AA$12)</f>
        <v>0.40074137090909095</v>
      </c>
      <c r="U862" s="3">
        <f>(Таблица1[Количество кредитных карт]-$AA$18)/($AA$19-$AA$18)</f>
        <v>4.7619047619047616E-2</v>
      </c>
      <c r="V862" s="3">
        <f>(Таблица1[Число нарушений кредитных договоров]-$AA$23)/($AA$24-$AA$23)</f>
        <v>0</v>
      </c>
      <c r="W862" s="3">
        <f>Таблица1[[#This Row],[Годовой доход]]/12</f>
        <v>97337</v>
      </c>
      <c r="X862" s="3">
        <f>Таблица1[[#This Row],[Ежемесячный платеж]]/Таблица1[[#This Row],[Ежем доход]]</f>
        <v>1.5787624438805388E-2</v>
      </c>
      <c r="Y862" s="3"/>
      <c r="Z862" s="3"/>
      <c r="AA862" s="3"/>
      <c r="AB862" s="3"/>
    </row>
    <row r="863" spans="1:28" x14ac:dyDescent="0.2">
      <c r="A863">
        <v>847</v>
      </c>
      <c r="B863" t="s">
        <v>888</v>
      </c>
      <c r="C863" t="s">
        <v>18</v>
      </c>
      <c r="D863" t="s">
        <v>19</v>
      </c>
      <c r="E863" t="s">
        <v>52</v>
      </c>
      <c r="F863" t="s">
        <v>33</v>
      </c>
      <c r="G863" t="s">
        <v>25</v>
      </c>
      <c r="H863" s="1">
        <v>220770</v>
      </c>
      <c r="I863" s="3">
        <v>741</v>
      </c>
      <c r="J863" s="3">
        <v>591071</v>
      </c>
      <c r="K863" s="3">
        <v>12067.66</v>
      </c>
      <c r="L863" s="2">
        <v>18.5</v>
      </c>
      <c r="M863" s="11">
        <v>35.265240640000002</v>
      </c>
      <c r="N863" s="3">
        <v>7</v>
      </c>
      <c r="O863" s="3">
        <v>393585</v>
      </c>
      <c r="P863" s="3">
        <v>525646</v>
      </c>
      <c r="Q863" s="10">
        <v>0</v>
      </c>
      <c r="R863" s="3">
        <f>(Таблица1[Размер кредита]-$AA$2)/$AA$3</f>
        <v>-0.50570296860136132</v>
      </c>
      <c r="S863" s="3">
        <f>(Таблица1[Кредитный рейтинг]-$AA$7)/($AA$8-$AA$7)</f>
        <v>0.98668442077230356</v>
      </c>
      <c r="T863" s="3">
        <f>(Таблица1[Срок с последнего нарушения кредитного договора (мес,)]-$AA$12)/($AA$13-$AA$12)</f>
        <v>0.40074137090909095</v>
      </c>
      <c r="U863" s="3">
        <f>(Таблица1[Количество кредитных карт]-$AA$18)/($AA$19-$AA$18)</f>
        <v>0.14285714285714285</v>
      </c>
      <c r="V863" s="3">
        <f>(Таблица1[Число нарушений кредитных договоров]-$AA$23)/($AA$24-$AA$23)</f>
        <v>0</v>
      </c>
      <c r="W863" s="3">
        <f>Таблица1[[#This Row],[Годовой доход]]/12</f>
        <v>49255.916666666664</v>
      </c>
      <c r="X863" s="3">
        <f>Таблица1[[#This Row],[Ежемесячный платеж]]/Таблица1[[#This Row],[Ежем доход]]</f>
        <v>0.24499919637403966</v>
      </c>
      <c r="Y863" s="3"/>
      <c r="Z863" s="3"/>
      <c r="AA863" s="3"/>
      <c r="AB863" s="3"/>
    </row>
    <row r="864" spans="1:28" x14ac:dyDescent="0.2">
      <c r="A864">
        <v>1548</v>
      </c>
      <c r="B864" t="s">
        <v>1587</v>
      </c>
      <c r="C864" t="s">
        <v>18</v>
      </c>
      <c r="D864" t="s">
        <v>19</v>
      </c>
      <c r="E864" t="s">
        <v>37</v>
      </c>
      <c r="F864" t="s">
        <v>33</v>
      </c>
      <c r="G864" t="s">
        <v>25</v>
      </c>
      <c r="H864" s="1">
        <v>309594.52439999999</v>
      </c>
      <c r="I864" s="3">
        <v>694</v>
      </c>
      <c r="J864" s="3">
        <v>741228</v>
      </c>
      <c r="K864" s="3">
        <v>21371.96</v>
      </c>
      <c r="L864" s="2">
        <v>9</v>
      </c>
      <c r="M864" s="11">
        <v>35.265240640000002</v>
      </c>
      <c r="N864" s="3">
        <v>10</v>
      </c>
      <c r="O864" s="3">
        <v>244188</v>
      </c>
      <c r="P864" s="3">
        <v>525536</v>
      </c>
      <c r="Q864" s="10">
        <v>0</v>
      </c>
      <c r="R864" s="3">
        <f>(Таблица1[Размер кредита]-$AA$2)/$AA$3</f>
        <v>-1.2411115481956205E-10</v>
      </c>
      <c r="S864" s="3">
        <f>(Таблица1[Кредитный рейтинг]-$AA$7)/($AA$8-$AA$7)</f>
        <v>0.92410119840213045</v>
      </c>
      <c r="T864" s="3">
        <f>(Таблица1[Срок с последнего нарушения кредитного договора (мес,)]-$AA$12)/($AA$13-$AA$12)</f>
        <v>0.40074137090909095</v>
      </c>
      <c r="U864" s="3">
        <f>(Таблица1[Количество кредитных карт]-$AA$18)/($AA$19-$AA$18)</f>
        <v>0.21428571428571427</v>
      </c>
      <c r="V864" s="3">
        <f>(Таблица1[Число нарушений кредитных договоров]-$AA$23)/($AA$24-$AA$23)</f>
        <v>0</v>
      </c>
      <c r="W864" s="3">
        <f>Таблица1[[#This Row],[Годовой доход]]/12</f>
        <v>61769</v>
      </c>
      <c r="X864" s="3">
        <f>Таблица1[[#This Row],[Ежемесячный платеж]]/Таблица1[[#This Row],[Ежем доход]]</f>
        <v>0.34599815441402643</v>
      </c>
      <c r="Y864" s="3"/>
      <c r="Z864" s="3"/>
      <c r="AA864" s="3"/>
      <c r="AB864" s="3"/>
    </row>
    <row r="865" spans="1:28" x14ac:dyDescent="0.2">
      <c r="A865">
        <v>1015</v>
      </c>
      <c r="B865" t="s">
        <v>1054</v>
      </c>
      <c r="C865" t="s">
        <v>18</v>
      </c>
      <c r="D865" t="s">
        <v>19</v>
      </c>
      <c r="E865" t="s">
        <v>24</v>
      </c>
      <c r="F865" t="s">
        <v>21</v>
      </c>
      <c r="G865" t="s">
        <v>25</v>
      </c>
      <c r="H865" s="1">
        <v>346258</v>
      </c>
      <c r="I865" s="3">
        <v>742</v>
      </c>
      <c r="J865" s="3">
        <v>1626058</v>
      </c>
      <c r="K865" s="3">
        <v>4634.29</v>
      </c>
      <c r="L865" s="2">
        <v>15</v>
      </c>
      <c r="M865" s="11">
        <v>74</v>
      </c>
      <c r="N865" s="3">
        <v>8</v>
      </c>
      <c r="O865" s="3">
        <v>307724</v>
      </c>
      <c r="P865" s="3">
        <v>525514</v>
      </c>
      <c r="Q865" s="10">
        <v>0</v>
      </c>
      <c r="R865" s="3">
        <f>(Таблица1[Размер кредита]-$AA$2)/$AA$3</f>
        <v>0.20873546534395088</v>
      </c>
      <c r="S865" s="3">
        <f>(Таблица1[Кредитный рейтинг]-$AA$7)/($AA$8-$AA$7)</f>
        <v>0.98801597869507318</v>
      </c>
      <c r="T865" s="3">
        <f>(Таблица1[Срок с последнего нарушения кредитного договора (мес,)]-$AA$12)/($AA$13-$AA$12)</f>
        <v>0.84090909090909094</v>
      </c>
      <c r="U865" s="3">
        <f>(Таблица1[Количество кредитных карт]-$AA$18)/($AA$19-$AA$18)</f>
        <v>0.16666666666666666</v>
      </c>
      <c r="V865" s="3">
        <f>(Таблица1[Число нарушений кредитных договоров]-$AA$23)/($AA$24-$AA$23)</f>
        <v>0</v>
      </c>
      <c r="W865" s="3">
        <f>Таблица1[[#This Row],[Годовой доход]]/12</f>
        <v>135504.83333333334</v>
      </c>
      <c r="X865" s="3">
        <f>Таблица1[[#This Row],[Ежемесячный платеж]]/Таблица1[[#This Row],[Ежем доход]]</f>
        <v>3.4200182281320837E-2</v>
      </c>
      <c r="Y865" s="3"/>
      <c r="Z865" s="3"/>
      <c r="AA865" s="3"/>
      <c r="AB865" s="3"/>
    </row>
    <row r="866" spans="1:28" x14ac:dyDescent="0.2">
      <c r="A866">
        <v>550</v>
      </c>
      <c r="B866" t="s">
        <v>591</v>
      </c>
      <c r="C866" t="s">
        <v>18</v>
      </c>
      <c r="D866" t="s">
        <v>19</v>
      </c>
      <c r="E866" t="s">
        <v>32</v>
      </c>
      <c r="F866" t="s">
        <v>33</v>
      </c>
      <c r="G866" t="s">
        <v>25</v>
      </c>
      <c r="H866" s="1">
        <v>110044</v>
      </c>
      <c r="I866" s="3">
        <v>729</v>
      </c>
      <c r="J866" s="3">
        <v>1478637</v>
      </c>
      <c r="K866" s="3">
        <v>27601.49</v>
      </c>
      <c r="L866" s="2">
        <v>17</v>
      </c>
      <c r="M866" s="11">
        <v>35.265240640000002</v>
      </c>
      <c r="N866" s="3">
        <v>16</v>
      </c>
      <c r="O866" s="3">
        <v>364933</v>
      </c>
      <c r="P866" s="3">
        <v>523600</v>
      </c>
      <c r="Q866" s="10">
        <v>0</v>
      </c>
      <c r="R866" s="3">
        <f>(Таблица1[Размер кредита]-$AA$2)/$AA$3</f>
        <v>-1.1360971898578052</v>
      </c>
      <c r="S866" s="3">
        <f>(Таблица1[Кредитный рейтинг]-$AA$7)/($AA$8-$AA$7)</f>
        <v>0.97070572569906788</v>
      </c>
      <c r="T866" s="3">
        <f>(Таблица1[Срок с последнего нарушения кредитного договора (мес,)]-$AA$12)/($AA$13-$AA$12)</f>
        <v>0.40074137090909095</v>
      </c>
      <c r="U866" s="3">
        <f>(Таблица1[Количество кредитных карт]-$AA$18)/($AA$19-$AA$18)</f>
        <v>0.35714285714285715</v>
      </c>
      <c r="V866" s="3">
        <f>(Таблица1[Число нарушений кредитных договоров]-$AA$23)/($AA$24-$AA$23)</f>
        <v>0</v>
      </c>
      <c r="W866" s="3">
        <f>Таблица1[[#This Row],[Годовой доход]]/12</f>
        <v>123219.75</v>
      </c>
      <c r="X866" s="3">
        <f>Таблица1[[#This Row],[Ежемесячный платеж]]/Таблица1[[#This Row],[Ежем доход]]</f>
        <v>0.22400215874484408</v>
      </c>
      <c r="Y866" s="3"/>
      <c r="Z866" s="3"/>
      <c r="AA866" s="3"/>
      <c r="AB866" s="3"/>
    </row>
    <row r="867" spans="1:28" x14ac:dyDescent="0.2">
      <c r="A867">
        <v>84</v>
      </c>
      <c r="B867" t="s">
        <v>126</v>
      </c>
      <c r="C867" t="s">
        <v>18</v>
      </c>
      <c r="D867" t="s">
        <v>19</v>
      </c>
      <c r="E867" t="s">
        <v>41</v>
      </c>
      <c r="F867" t="s">
        <v>21</v>
      </c>
      <c r="G867" t="s">
        <v>22</v>
      </c>
      <c r="H867" s="1">
        <v>444620</v>
      </c>
      <c r="I867" s="3">
        <v>0</v>
      </c>
      <c r="J867" s="3">
        <v>1168044</v>
      </c>
      <c r="K867" s="3">
        <v>15292.34</v>
      </c>
      <c r="L867" s="2">
        <v>11.8</v>
      </c>
      <c r="M867" s="11">
        <v>35.265240640000002</v>
      </c>
      <c r="N867" s="3">
        <v>9</v>
      </c>
      <c r="O867" s="3">
        <v>373350</v>
      </c>
      <c r="P867" s="3">
        <v>522742</v>
      </c>
      <c r="Q867" s="10">
        <v>0</v>
      </c>
      <c r="R867" s="3">
        <f>(Таблица1[Размер кредита]-$AA$2)/$AA$3</f>
        <v>0.7687379615167228</v>
      </c>
      <c r="S867" s="3">
        <f>(Таблица1[Кредитный рейтинг]-$AA$7)/($AA$8-$AA$7)</f>
        <v>0</v>
      </c>
      <c r="T867" s="3">
        <f>(Таблица1[Срок с последнего нарушения кредитного договора (мес,)]-$AA$12)/($AA$13-$AA$12)</f>
        <v>0.40074137090909095</v>
      </c>
      <c r="U867" s="3">
        <f>(Таблица1[Количество кредитных карт]-$AA$18)/($AA$19-$AA$18)</f>
        <v>0.19047619047619047</v>
      </c>
      <c r="V867" s="3">
        <f>(Таблица1[Число нарушений кредитных договоров]-$AA$23)/($AA$24-$AA$23)</f>
        <v>0</v>
      </c>
      <c r="W867" s="3">
        <f>Таблица1[[#This Row],[Годовой доход]]/12</f>
        <v>97337</v>
      </c>
      <c r="X867" s="3">
        <f>Таблица1[[#This Row],[Ежемесячный платеж]]/Таблица1[[#This Row],[Ежем доход]]</f>
        <v>0.1571071637712278</v>
      </c>
      <c r="Y867" s="3"/>
      <c r="Z867" s="3"/>
      <c r="AA867" s="3"/>
      <c r="AB867" s="3"/>
    </row>
    <row r="868" spans="1:28" x14ac:dyDescent="0.2">
      <c r="A868">
        <v>1260</v>
      </c>
      <c r="B868" s="4" t="s">
        <v>1299</v>
      </c>
      <c r="C868" t="s">
        <v>18</v>
      </c>
      <c r="D868" t="s">
        <v>19</v>
      </c>
      <c r="E868" t="s">
        <v>50</v>
      </c>
      <c r="F868" t="s">
        <v>33</v>
      </c>
      <c r="G868" t="s">
        <v>25</v>
      </c>
      <c r="H868" s="1">
        <v>309594.52439999999</v>
      </c>
      <c r="I868" s="3">
        <v>657</v>
      </c>
      <c r="J868" s="3">
        <v>929518</v>
      </c>
      <c r="K868" s="3">
        <v>12548.55</v>
      </c>
      <c r="L868" s="2">
        <v>16.899999999999999</v>
      </c>
      <c r="M868" s="11">
        <v>35.265240640000002</v>
      </c>
      <c r="N868" s="3">
        <v>18</v>
      </c>
      <c r="O868" s="3">
        <v>263549</v>
      </c>
      <c r="P868" s="3">
        <v>521642</v>
      </c>
      <c r="Q868" s="10">
        <v>0</v>
      </c>
      <c r="R868" s="3">
        <f>(Таблица1[Размер кредита]-$AA$2)/$AA$3</f>
        <v>-1.2411115481956205E-10</v>
      </c>
      <c r="S868" s="3">
        <f>(Таблица1[Кредитный рейтинг]-$AA$7)/($AA$8-$AA$7)</f>
        <v>0.87483355525965378</v>
      </c>
      <c r="T868" s="3">
        <f>(Таблица1[Срок с последнего нарушения кредитного договора (мес,)]-$AA$12)/($AA$13-$AA$12)</f>
        <v>0.40074137090909095</v>
      </c>
      <c r="U868" s="3">
        <f>(Таблица1[Количество кредитных карт]-$AA$18)/($AA$19-$AA$18)</f>
        <v>0.40476190476190477</v>
      </c>
      <c r="V868" s="3">
        <f>(Таблица1[Число нарушений кредитных договоров]-$AA$23)/($AA$24-$AA$23)</f>
        <v>0</v>
      </c>
      <c r="W868" s="3">
        <f>Таблица1[[#This Row],[Годовой доход]]/12</f>
        <v>77459.833333333328</v>
      </c>
      <c r="X868" s="3">
        <f>Таблица1[[#This Row],[Ежемесячный платеж]]/Таблица1[[#This Row],[Ежем доход]]</f>
        <v>0.1620007358652549</v>
      </c>
      <c r="Y868" s="3"/>
      <c r="Z868" s="3"/>
      <c r="AA868" s="3"/>
      <c r="AB868" s="3"/>
    </row>
    <row r="869" spans="1:28" x14ac:dyDescent="0.2">
      <c r="A869">
        <v>1809</v>
      </c>
      <c r="B869" t="s">
        <v>1847</v>
      </c>
      <c r="C869" t="s">
        <v>18</v>
      </c>
      <c r="D869" t="s">
        <v>29</v>
      </c>
      <c r="E869" t="s">
        <v>63</v>
      </c>
      <c r="F869" t="s">
        <v>21</v>
      </c>
      <c r="G869" t="s">
        <v>25</v>
      </c>
      <c r="H869" s="1">
        <v>314468</v>
      </c>
      <c r="I869" s="3">
        <v>629</v>
      </c>
      <c r="J869" s="3">
        <v>921462</v>
      </c>
      <c r="K869" s="3">
        <v>13668.22</v>
      </c>
      <c r="L869" s="2">
        <v>26.5</v>
      </c>
      <c r="M869" s="11">
        <v>35.265240640000002</v>
      </c>
      <c r="N869" s="3">
        <v>17</v>
      </c>
      <c r="O869" s="3">
        <v>193458</v>
      </c>
      <c r="P869" s="3">
        <v>520960</v>
      </c>
      <c r="Q869" s="10">
        <v>0</v>
      </c>
      <c r="R869" s="3">
        <f>(Таблица1[Размер кредита]-$AA$2)/$AA$3</f>
        <v>2.7746065440203315E-2</v>
      </c>
      <c r="S869" s="3">
        <f>(Таблица1[Кредитный рейтинг]-$AA$7)/($AA$8-$AA$7)</f>
        <v>0.83754993342210382</v>
      </c>
      <c r="T869" s="3">
        <f>(Таблица1[Срок с последнего нарушения кредитного договора (мес,)]-$AA$12)/($AA$13-$AA$12)</f>
        <v>0.40074137090909095</v>
      </c>
      <c r="U869" s="3">
        <f>(Таблица1[Количество кредитных карт]-$AA$18)/($AA$19-$AA$18)</f>
        <v>0.38095238095238093</v>
      </c>
      <c r="V869" s="3">
        <f>(Таблица1[Число нарушений кредитных договоров]-$AA$23)/($AA$24-$AA$23)</f>
        <v>0</v>
      </c>
      <c r="W869" s="3">
        <f>Таблица1[[#This Row],[Годовой доход]]/12</f>
        <v>76788.5</v>
      </c>
      <c r="X869" s="3">
        <f>Таблица1[[#This Row],[Ежемесячный платеж]]/Таблица1[[#This Row],[Ежем доход]]</f>
        <v>0.17799826796981319</v>
      </c>
      <c r="Y869" s="3"/>
      <c r="Z869" s="3"/>
      <c r="AA869" s="3"/>
      <c r="AB869" s="3"/>
    </row>
    <row r="870" spans="1:28" x14ac:dyDescent="0.2">
      <c r="A870">
        <v>1180</v>
      </c>
      <c r="B870" t="s">
        <v>1219</v>
      </c>
      <c r="C870" t="s">
        <v>18</v>
      </c>
      <c r="D870" t="s">
        <v>19</v>
      </c>
      <c r="E870" t="s">
        <v>50</v>
      </c>
      <c r="F870" t="s">
        <v>33</v>
      </c>
      <c r="G870" t="s">
        <v>25</v>
      </c>
      <c r="H870" s="1">
        <v>309594.52439999999</v>
      </c>
      <c r="I870" s="3">
        <v>744</v>
      </c>
      <c r="J870" s="3">
        <v>751564</v>
      </c>
      <c r="K870" s="3">
        <v>16283.95</v>
      </c>
      <c r="L870" s="2">
        <v>12</v>
      </c>
      <c r="M870" s="11">
        <v>35.265240640000002</v>
      </c>
      <c r="N870" s="3">
        <v>6</v>
      </c>
      <c r="O870" s="3">
        <v>281751</v>
      </c>
      <c r="P870" s="3">
        <v>520300</v>
      </c>
      <c r="Q870" s="10">
        <v>0</v>
      </c>
      <c r="R870" s="3">
        <f>(Таблица1[Размер кредита]-$AA$2)/$AA$3</f>
        <v>-1.2411115481956205E-10</v>
      </c>
      <c r="S870" s="3">
        <f>(Таблица1[Кредитный рейтинг]-$AA$7)/($AA$8-$AA$7)</f>
        <v>0.99067909454061254</v>
      </c>
      <c r="T870" s="3">
        <f>(Таблица1[Срок с последнего нарушения кредитного договора (мес,)]-$AA$12)/($AA$13-$AA$12)</f>
        <v>0.40074137090909095</v>
      </c>
      <c r="U870" s="3">
        <f>(Таблица1[Количество кредитных карт]-$AA$18)/($AA$19-$AA$18)</f>
        <v>0.11904761904761904</v>
      </c>
      <c r="V870" s="3">
        <f>(Таблица1[Число нарушений кредитных договоров]-$AA$23)/($AA$24-$AA$23)</f>
        <v>0</v>
      </c>
      <c r="W870" s="3">
        <f>Таблица1[[#This Row],[Годовой доход]]/12</f>
        <v>62630.333333333336</v>
      </c>
      <c r="X870" s="3">
        <f>Таблица1[[#This Row],[Ежемесячный платеж]]/Таблица1[[#This Row],[Ежем доход]]</f>
        <v>0.26000101122459296</v>
      </c>
      <c r="Y870" s="3"/>
      <c r="Z870" s="3"/>
      <c r="AA870" s="3"/>
      <c r="AB870" s="3"/>
    </row>
    <row r="871" spans="1:28" x14ac:dyDescent="0.2">
      <c r="A871">
        <v>1756</v>
      </c>
      <c r="B871" t="s">
        <v>1794</v>
      </c>
      <c r="C871" t="s">
        <v>18</v>
      </c>
      <c r="D871" t="s">
        <v>19</v>
      </c>
      <c r="E871" t="s">
        <v>41</v>
      </c>
      <c r="F871" t="s">
        <v>21</v>
      </c>
      <c r="G871" t="s">
        <v>25</v>
      </c>
      <c r="H871" s="1">
        <v>261008</v>
      </c>
      <c r="I871" s="3">
        <v>749</v>
      </c>
      <c r="J871" s="3">
        <v>1744029</v>
      </c>
      <c r="K871" s="3">
        <v>38368.6</v>
      </c>
      <c r="L871" s="2">
        <v>13.2</v>
      </c>
      <c r="M871" s="11">
        <v>46</v>
      </c>
      <c r="N871" s="3">
        <v>18</v>
      </c>
      <c r="O871" s="3">
        <v>140999</v>
      </c>
      <c r="P871" s="3">
        <v>519970</v>
      </c>
      <c r="Q871" s="10">
        <v>0</v>
      </c>
      <c r="R871" s="3">
        <f>(Таблица1[Размер кредита]-$AA$2)/$AA$3</f>
        <v>-0.27661673162976663</v>
      </c>
      <c r="S871" s="3">
        <f>(Таблица1[Кредитный рейтинг]-$AA$7)/($AA$8-$AA$7)</f>
        <v>0.99733688415446076</v>
      </c>
      <c r="T871" s="3">
        <f>(Таблица1[Срок с последнего нарушения кредитного договора (мес,)]-$AA$12)/($AA$13-$AA$12)</f>
        <v>0.52272727272727271</v>
      </c>
      <c r="U871" s="3">
        <f>(Таблица1[Количество кредитных карт]-$AA$18)/($AA$19-$AA$18)</f>
        <v>0.40476190476190477</v>
      </c>
      <c r="V871" s="3">
        <f>(Таблица1[Число нарушений кредитных договоров]-$AA$23)/($AA$24-$AA$23)</f>
        <v>0</v>
      </c>
      <c r="W871" s="3">
        <f>Таблица1[[#This Row],[Годовой доход]]/12</f>
        <v>145335.75</v>
      </c>
      <c r="X871" s="3">
        <f>Таблица1[[#This Row],[Ежемесячный платеж]]/Таблица1[[#This Row],[Ежем доход]]</f>
        <v>0.26399973853645781</v>
      </c>
      <c r="Y871" s="3"/>
      <c r="Z871" s="3"/>
      <c r="AA871" s="3"/>
      <c r="AB871" s="3"/>
    </row>
    <row r="872" spans="1:28" x14ac:dyDescent="0.2">
      <c r="A872">
        <v>395</v>
      </c>
      <c r="B872" t="s">
        <v>437</v>
      </c>
      <c r="C872" t="s">
        <v>35</v>
      </c>
      <c r="D872" t="s">
        <v>19</v>
      </c>
      <c r="E872" t="s">
        <v>24</v>
      </c>
      <c r="F872" t="s">
        <v>33</v>
      </c>
      <c r="G872" t="s">
        <v>25</v>
      </c>
      <c r="H872" s="1">
        <v>456126</v>
      </c>
      <c r="I872" s="3">
        <v>0</v>
      </c>
      <c r="J872" s="3">
        <v>1168044</v>
      </c>
      <c r="K872" s="3">
        <v>23213.82</v>
      </c>
      <c r="L872" s="2">
        <v>18.600000000000001</v>
      </c>
      <c r="M872" s="11">
        <v>35.265240640000002</v>
      </c>
      <c r="N872" s="3">
        <v>8</v>
      </c>
      <c r="O872" s="3">
        <v>333640</v>
      </c>
      <c r="P872" s="3">
        <v>519244</v>
      </c>
      <c r="Q872" s="10">
        <v>0</v>
      </c>
      <c r="R872" s="3">
        <f>(Таблица1[Размер кредита]-$AA$2)/$AA$3</f>
        <v>0.83424485158569162</v>
      </c>
      <c r="S872" s="3">
        <f>(Таблица1[Кредитный рейтинг]-$AA$7)/($AA$8-$AA$7)</f>
        <v>0</v>
      </c>
      <c r="T872" s="3">
        <f>(Таблица1[Срок с последнего нарушения кредитного договора (мес,)]-$AA$12)/($AA$13-$AA$12)</f>
        <v>0.40074137090909095</v>
      </c>
      <c r="U872" s="3">
        <f>(Таблица1[Количество кредитных карт]-$AA$18)/($AA$19-$AA$18)</f>
        <v>0.16666666666666666</v>
      </c>
      <c r="V872" s="3">
        <f>(Таблица1[Число нарушений кредитных договоров]-$AA$23)/($AA$24-$AA$23)</f>
        <v>0</v>
      </c>
      <c r="W872" s="3">
        <f>Таблица1[[#This Row],[Годовой доход]]/12</f>
        <v>97337</v>
      </c>
      <c r="X872" s="3">
        <f>Таблица1[[#This Row],[Ежемесячный платеж]]/Таблица1[[#This Row],[Ежем доход]]</f>
        <v>0.23848916650400157</v>
      </c>
      <c r="Y872" s="3"/>
      <c r="Z872" s="3"/>
      <c r="AA872" s="3"/>
      <c r="AB872" s="3"/>
    </row>
    <row r="873" spans="1:28" x14ac:dyDescent="0.2">
      <c r="A873">
        <v>1749</v>
      </c>
      <c r="B873" t="s">
        <v>1787</v>
      </c>
      <c r="C873" t="s">
        <v>18</v>
      </c>
      <c r="D873" t="s">
        <v>29</v>
      </c>
      <c r="E873" t="s">
        <v>24</v>
      </c>
      <c r="F873" t="s">
        <v>21</v>
      </c>
      <c r="G873" t="s">
        <v>25</v>
      </c>
      <c r="H873" s="1">
        <v>568656</v>
      </c>
      <c r="I873" s="3">
        <v>690</v>
      </c>
      <c r="J873" s="3">
        <v>1408033</v>
      </c>
      <c r="K873" s="3">
        <v>27573.94</v>
      </c>
      <c r="L873" s="2">
        <v>22.5</v>
      </c>
      <c r="M873" s="11">
        <v>35.265240640000002</v>
      </c>
      <c r="N873" s="3">
        <v>16</v>
      </c>
      <c r="O873" s="3">
        <v>389234</v>
      </c>
      <c r="P873" s="3">
        <v>519222</v>
      </c>
      <c r="Q873" s="10">
        <v>0</v>
      </c>
      <c r="R873" s="3">
        <f>(Таблица1[Размер кредита]-$AA$2)/$AA$3</f>
        <v>1.4749097515909988</v>
      </c>
      <c r="S873" s="3">
        <f>(Таблица1[Кредитный рейтинг]-$AA$7)/($AA$8-$AA$7)</f>
        <v>0.91877496671105197</v>
      </c>
      <c r="T873" s="3">
        <f>(Таблица1[Срок с последнего нарушения кредитного договора (мес,)]-$AA$12)/($AA$13-$AA$12)</f>
        <v>0.40074137090909095</v>
      </c>
      <c r="U873" s="3">
        <f>(Таблица1[Количество кредитных карт]-$AA$18)/($AA$19-$AA$18)</f>
        <v>0.35714285714285715</v>
      </c>
      <c r="V873" s="3">
        <f>(Таблица1[Число нарушений кредитных договоров]-$AA$23)/($AA$24-$AA$23)</f>
        <v>0</v>
      </c>
      <c r="W873" s="3">
        <f>Таблица1[[#This Row],[Годовой доход]]/12</f>
        <v>117336.08333333333</v>
      </c>
      <c r="X873" s="3">
        <f>Таблица1[[#This Row],[Ежемесячный платеж]]/Таблица1[[#This Row],[Ежем доход]]</f>
        <v>0.23499966264995209</v>
      </c>
      <c r="Y873" s="3"/>
      <c r="Z873" s="3"/>
      <c r="AA873" s="3"/>
      <c r="AB873" s="3"/>
    </row>
    <row r="874" spans="1:28" x14ac:dyDescent="0.2">
      <c r="A874">
        <v>276</v>
      </c>
      <c r="B874" t="s">
        <v>318</v>
      </c>
      <c r="C874" t="s">
        <v>18</v>
      </c>
      <c r="D874" t="s">
        <v>19</v>
      </c>
      <c r="E874" t="s">
        <v>24</v>
      </c>
      <c r="F874" t="s">
        <v>21</v>
      </c>
      <c r="G874" t="s">
        <v>25</v>
      </c>
      <c r="H874" s="1">
        <v>118998</v>
      </c>
      <c r="I874" s="3">
        <v>686</v>
      </c>
      <c r="J874" s="3">
        <v>576327</v>
      </c>
      <c r="K874" s="3">
        <v>10037.700000000001</v>
      </c>
      <c r="L874" s="2">
        <v>11.1</v>
      </c>
      <c r="M874" s="11">
        <v>35.265240640000002</v>
      </c>
      <c r="N874" s="3">
        <v>11</v>
      </c>
      <c r="O874" s="3">
        <v>320834</v>
      </c>
      <c r="P874" s="3">
        <v>518144</v>
      </c>
      <c r="Q874" s="10">
        <v>0</v>
      </c>
      <c r="R874" s="3">
        <f>(Таблица1[Размер кредита]-$AA$2)/$AA$3</f>
        <v>-1.0851195526530819</v>
      </c>
      <c r="S874" s="3">
        <f>(Таблица1[Кредитный рейтинг]-$AA$7)/($AA$8-$AA$7)</f>
        <v>0.91344873501997337</v>
      </c>
      <c r="T874" s="3">
        <f>(Таблица1[Срок с последнего нарушения кредитного договора (мес,)]-$AA$12)/($AA$13-$AA$12)</f>
        <v>0.40074137090909095</v>
      </c>
      <c r="U874" s="3">
        <f>(Таблица1[Количество кредитных карт]-$AA$18)/($AA$19-$AA$18)</f>
        <v>0.23809523809523808</v>
      </c>
      <c r="V874" s="3">
        <f>(Таблица1[Число нарушений кредитных договоров]-$AA$23)/($AA$24-$AA$23)</f>
        <v>0</v>
      </c>
      <c r="W874" s="3">
        <f>Таблица1[[#This Row],[Годовой доход]]/12</f>
        <v>48027.25</v>
      </c>
      <c r="X874" s="3">
        <f>Таблица1[[#This Row],[Ежемесячный платеж]]/Таблица1[[#This Row],[Ежем доход]]</f>
        <v>0.20900009890218577</v>
      </c>
      <c r="Y874" s="3"/>
      <c r="Z874" s="3"/>
      <c r="AA874" s="3"/>
      <c r="AB874" s="3"/>
    </row>
    <row r="875" spans="1:28" x14ac:dyDescent="0.2">
      <c r="A875">
        <v>1923</v>
      </c>
      <c r="B875" t="s">
        <v>1959</v>
      </c>
      <c r="C875" t="s">
        <v>18</v>
      </c>
      <c r="D875" t="s">
        <v>19</v>
      </c>
      <c r="E875" t="s">
        <v>32</v>
      </c>
      <c r="F875" t="s">
        <v>33</v>
      </c>
      <c r="G875" t="s">
        <v>25</v>
      </c>
      <c r="H875" s="1">
        <v>528836</v>
      </c>
      <c r="I875" s="3">
        <v>718</v>
      </c>
      <c r="J875" s="3">
        <v>1140912</v>
      </c>
      <c r="K875" s="3">
        <v>19899.650000000001</v>
      </c>
      <c r="L875" s="2">
        <v>13.9</v>
      </c>
      <c r="M875" s="11">
        <v>35.265240640000002</v>
      </c>
      <c r="N875" s="3">
        <v>11</v>
      </c>
      <c r="O875" s="3">
        <v>272403</v>
      </c>
      <c r="P875" s="3">
        <v>517066</v>
      </c>
      <c r="Q875" s="10">
        <v>0</v>
      </c>
      <c r="R875" s="3">
        <f>(Таблица1[Размер кредита]-$AA$2)/$AA$3</f>
        <v>1.2482033060368236</v>
      </c>
      <c r="S875" s="3">
        <f>(Таблица1[Кредитный рейтинг]-$AA$7)/($AA$8-$AA$7)</f>
        <v>0.95605858854860182</v>
      </c>
      <c r="T875" s="3">
        <f>(Таблица1[Срок с последнего нарушения кредитного договора (мес,)]-$AA$12)/($AA$13-$AA$12)</f>
        <v>0.40074137090909095</v>
      </c>
      <c r="U875" s="3">
        <f>(Таблица1[Количество кредитных карт]-$AA$18)/($AA$19-$AA$18)</f>
        <v>0.23809523809523808</v>
      </c>
      <c r="V875" s="3">
        <f>(Таблица1[Число нарушений кредитных договоров]-$AA$23)/($AA$24-$AA$23)</f>
        <v>0</v>
      </c>
      <c r="W875" s="3">
        <f>Таблица1[[#This Row],[Годовой доход]]/12</f>
        <v>95076</v>
      </c>
      <c r="X875" s="3">
        <f>Таблица1[[#This Row],[Ежемесячный платеж]]/Таблица1[[#This Row],[Ежем доход]]</f>
        <v>0.20930255795363711</v>
      </c>
      <c r="Y875" s="3"/>
      <c r="Z875" s="3"/>
      <c r="AA875" s="3"/>
      <c r="AB875" s="3"/>
    </row>
    <row r="876" spans="1:28" x14ac:dyDescent="0.2">
      <c r="A876">
        <v>877</v>
      </c>
      <c r="B876" t="s">
        <v>918</v>
      </c>
      <c r="C876" t="s">
        <v>35</v>
      </c>
      <c r="D876" t="s">
        <v>29</v>
      </c>
      <c r="E876" t="s">
        <v>24</v>
      </c>
      <c r="F876" t="s">
        <v>21</v>
      </c>
      <c r="G876" t="s">
        <v>25</v>
      </c>
      <c r="H876" s="1">
        <v>785026</v>
      </c>
      <c r="I876" s="3">
        <v>0</v>
      </c>
      <c r="J876" s="3">
        <v>1168044</v>
      </c>
      <c r="K876" s="3">
        <v>49394.87</v>
      </c>
      <c r="L876" s="2">
        <v>21.7</v>
      </c>
      <c r="M876" s="11">
        <v>6</v>
      </c>
      <c r="N876" s="3">
        <v>7</v>
      </c>
      <c r="O876" s="3">
        <v>431224</v>
      </c>
      <c r="P876" s="3">
        <v>515812</v>
      </c>
      <c r="Q876" s="10">
        <v>0</v>
      </c>
      <c r="R876" s="3">
        <f>(Таблица1[Размер кредита]-$AA$2)/$AA$3</f>
        <v>2.7067649405552596</v>
      </c>
      <c r="S876" s="3">
        <f>(Таблица1[Кредитный рейтинг]-$AA$7)/($AA$8-$AA$7)</f>
        <v>0</v>
      </c>
      <c r="T876" s="3">
        <f>(Таблица1[Срок с последнего нарушения кредитного договора (мес,)]-$AA$12)/($AA$13-$AA$12)</f>
        <v>6.8181818181818177E-2</v>
      </c>
      <c r="U876" s="3">
        <f>(Таблица1[Количество кредитных карт]-$AA$18)/($AA$19-$AA$18)</f>
        <v>0.14285714285714285</v>
      </c>
      <c r="V876" s="3">
        <f>(Таблица1[Число нарушений кредитных договоров]-$AA$23)/($AA$24-$AA$23)</f>
        <v>0</v>
      </c>
      <c r="W876" s="3">
        <f>Таблица1[[#This Row],[Годовой доход]]/12</f>
        <v>97337</v>
      </c>
      <c r="X876" s="3">
        <f>Таблица1[[#This Row],[Ежемесячный платеж]]/Таблица1[[#This Row],[Ежем доход]]</f>
        <v>0.50746242436072619</v>
      </c>
      <c r="Y876" s="3"/>
      <c r="Z876" s="3"/>
      <c r="AA876" s="3"/>
      <c r="AB876" s="3"/>
    </row>
    <row r="877" spans="1:28" x14ac:dyDescent="0.2">
      <c r="A877">
        <v>34</v>
      </c>
      <c r="B877" t="s">
        <v>73</v>
      </c>
      <c r="C877" t="s">
        <v>18</v>
      </c>
      <c r="D877" t="s">
        <v>29</v>
      </c>
      <c r="E877" t="s">
        <v>24</v>
      </c>
      <c r="F877" t="s">
        <v>21</v>
      </c>
      <c r="G877" t="s">
        <v>25</v>
      </c>
      <c r="H877" s="1">
        <v>333564</v>
      </c>
      <c r="I877" s="3">
        <v>725</v>
      </c>
      <c r="J877" s="3">
        <v>1248338</v>
      </c>
      <c r="K877" s="3">
        <v>18205.04</v>
      </c>
      <c r="L877" s="2">
        <v>14.6</v>
      </c>
      <c r="M877" s="11">
        <v>35.265240640000002</v>
      </c>
      <c r="N877" s="3">
        <v>18</v>
      </c>
      <c r="O877" s="3">
        <v>300979</v>
      </c>
      <c r="P877" s="3">
        <v>515526</v>
      </c>
      <c r="Q877" s="10">
        <v>0</v>
      </c>
      <c r="R877" s="3">
        <f>(Таблица1[Размер кредита]-$AA$2)/$AA$3</f>
        <v>0.13646495756231605</v>
      </c>
      <c r="S877" s="3">
        <f>(Таблица1[Кредитный рейтинг]-$AA$7)/($AA$8-$AA$7)</f>
        <v>0.96537949400798939</v>
      </c>
      <c r="T877" s="3">
        <f>(Таблица1[Срок с последнего нарушения кредитного договора (мес,)]-$AA$12)/($AA$13-$AA$12)</f>
        <v>0.40074137090909095</v>
      </c>
      <c r="U877" s="3">
        <f>(Таблица1[Количество кредитных карт]-$AA$18)/($AA$19-$AA$18)</f>
        <v>0.40476190476190477</v>
      </c>
      <c r="V877" s="3">
        <f>(Таблица1[Число нарушений кредитных договоров]-$AA$23)/($AA$24-$AA$23)</f>
        <v>0</v>
      </c>
      <c r="W877" s="3">
        <f>Таблица1[[#This Row],[Годовой доход]]/12</f>
        <v>104028.16666666667</v>
      </c>
      <c r="X877" s="3">
        <f>Таблица1[[#This Row],[Ежемесячный платеж]]/Таблица1[[#This Row],[Ежем доход]]</f>
        <v>0.17500106541657789</v>
      </c>
      <c r="Y877" s="3"/>
      <c r="Z877" s="3"/>
      <c r="AA877" s="3"/>
      <c r="AB877" s="3"/>
    </row>
    <row r="878" spans="1:28" x14ac:dyDescent="0.2">
      <c r="A878">
        <v>145</v>
      </c>
      <c r="B878" t="s">
        <v>187</v>
      </c>
      <c r="C878" t="s">
        <v>18</v>
      </c>
      <c r="D878" t="s">
        <v>19</v>
      </c>
      <c r="E878" t="s">
        <v>63</v>
      </c>
      <c r="F878" t="s">
        <v>21</v>
      </c>
      <c r="G878" t="s">
        <v>25</v>
      </c>
      <c r="H878" s="1">
        <v>537878</v>
      </c>
      <c r="I878" s="3">
        <v>743</v>
      </c>
      <c r="J878" s="3">
        <v>1296807</v>
      </c>
      <c r="K878" s="3">
        <v>24963.53</v>
      </c>
      <c r="L878" s="2">
        <v>18.399999999999999</v>
      </c>
      <c r="M878" s="11">
        <v>70</v>
      </c>
      <c r="N878" s="3">
        <v>12</v>
      </c>
      <c r="O878" s="3">
        <v>249223</v>
      </c>
      <c r="P878" s="3">
        <v>515306</v>
      </c>
      <c r="Q878" s="10">
        <v>0</v>
      </c>
      <c r="R878" s="3">
        <f>(Таблица1[Размер кредита]-$AA$2)/$AA$3</f>
        <v>1.2996819519610037</v>
      </c>
      <c r="S878" s="3">
        <f>(Таблица1[Кредитный рейтинг]-$AA$7)/($AA$8-$AA$7)</f>
        <v>0.98934753661784292</v>
      </c>
      <c r="T878" s="3">
        <f>(Таблица1[Срок с последнего нарушения кредитного договора (мес,)]-$AA$12)/($AA$13-$AA$12)</f>
        <v>0.79545454545454541</v>
      </c>
      <c r="U878" s="3">
        <f>(Таблица1[Количество кредитных карт]-$AA$18)/($AA$19-$AA$18)</f>
        <v>0.26190476190476192</v>
      </c>
      <c r="V878" s="3">
        <f>(Таблица1[Число нарушений кредитных договоров]-$AA$23)/($AA$24-$AA$23)</f>
        <v>0</v>
      </c>
      <c r="W878" s="3">
        <f>Таблица1[[#This Row],[Годовой доход]]/12</f>
        <v>108067.25</v>
      </c>
      <c r="X878" s="3">
        <f>Таблица1[[#This Row],[Ежемесячный платеж]]/Таблица1[[#This Row],[Ежем доход]]</f>
        <v>0.23099995604588808</v>
      </c>
      <c r="Y878" s="3"/>
      <c r="Z878" s="3"/>
      <c r="AA878" s="3"/>
      <c r="AB878" s="3"/>
    </row>
    <row r="879" spans="1:28" x14ac:dyDescent="0.2">
      <c r="A879">
        <v>469</v>
      </c>
      <c r="B879" t="s">
        <v>510</v>
      </c>
      <c r="C879" t="s">
        <v>35</v>
      </c>
      <c r="D879" t="s">
        <v>19</v>
      </c>
      <c r="E879" t="s">
        <v>37</v>
      </c>
      <c r="F879" t="s">
        <v>21</v>
      </c>
      <c r="G879" t="s">
        <v>67</v>
      </c>
      <c r="H879" s="1">
        <v>44022</v>
      </c>
      <c r="I879" s="3">
        <v>666</v>
      </c>
      <c r="J879" s="3">
        <v>910727</v>
      </c>
      <c r="K879" s="3">
        <v>19808.259999999998</v>
      </c>
      <c r="L879" s="2">
        <v>22.5</v>
      </c>
      <c r="M879" s="11">
        <v>24</v>
      </c>
      <c r="N879" s="3">
        <v>8</v>
      </c>
      <c r="O879" s="3">
        <v>419748</v>
      </c>
      <c r="P879" s="3">
        <v>514866</v>
      </c>
      <c r="Q879" s="10">
        <v>0</v>
      </c>
      <c r="R879" s="3">
        <f>(Таблица1[Размер кредита]-$AA$2)/$AA$3</f>
        <v>-1.5119789816302249</v>
      </c>
      <c r="S879" s="3">
        <f>(Таблица1[Кредитный рейтинг]-$AA$7)/($AA$8-$AA$7)</f>
        <v>0.8868175765645806</v>
      </c>
      <c r="T879" s="3">
        <f>(Таблица1[Срок с последнего нарушения кредитного договора (мес,)]-$AA$12)/($AA$13-$AA$12)</f>
        <v>0.27272727272727271</v>
      </c>
      <c r="U879" s="3">
        <f>(Таблица1[Количество кредитных карт]-$AA$18)/($AA$19-$AA$18)</f>
        <v>0.16666666666666666</v>
      </c>
      <c r="V879" s="3">
        <f>(Таблица1[Число нарушений кредитных договоров]-$AA$23)/($AA$24-$AA$23)</f>
        <v>0</v>
      </c>
      <c r="W879" s="3">
        <f>Таблица1[[#This Row],[Годовой доход]]/12</f>
        <v>75893.916666666672</v>
      </c>
      <c r="X879" s="3">
        <f>Таблица1[[#This Row],[Ежемесячный платеж]]/Таблица1[[#This Row],[Ежем доход]]</f>
        <v>0.26099931153902317</v>
      </c>
      <c r="Y879" s="3"/>
      <c r="Z879" s="3"/>
      <c r="AA879" s="3"/>
      <c r="AB879" s="3"/>
    </row>
    <row r="880" spans="1:28" x14ac:dyDescent="0.2">
      <c r="A880">
        <v>130</v>
      </c>
      <c r="B880" t="s">
        <v>172</v>
      </c>
      <c r="C880" t="s">
        <v>18</v>
      </c>
      <c r="D880" t="s">
        <v>29</v>
      </c>
      <c r="E880" t="s">
        <v>30</v>
      </c>
      <c r="F880" t="s">
        <v>33</v>
      </c>
      <c r="G880" t="s">
        <v>25</v>
      </c>
      <c r="H880" s="1">
        <v>752290</v>
      </c>
      <c r="I880" s="3">
        <v>649</v>
      </c>
      <c r="J880" s="3">
        <v>2320375</v>
      </c>
      <c r="K880" s="3">
        <v>39252.86</v>
      </c>
      <c r="L880" s="2">
        <v>13.4</v>
      </c>
      <c r="M880" s="11">
        <v>16</v>
      </c>
      <c r="N880" s="3">
        <v>13</v>
      </c>
      <c r="O880" s="3">
        <v>431053</v>
      </c>
      <c r="P880" s="3">
        <v>513502</v>
      </c>
      <c r="Q880" s="10">
        <v>0</v>
      </c>
      <c r="R880" s="3">
        <f>(Таблица1[Размер кредита]-$AA$2)/$AA$3</f>
        <v>2.5203896969173525</v>
      </c>
      <c r="S880" s="3">
        <f>(Таблица1[Кредитный рейтинг]-$AA$7)/($AA$8-$AA$7)</f>
        <v>0.8641810918774967</v>
      </c>
      <c r="T880" s="3">
        <f>(Таблица1[Срок с последнего нарушения кредитного договора (мес,)]-$AA$12)/($AA$13-$AA$12)</f>
        <v>0.18181818181818182</v>
      </c>
      <c r="U880" s="3">
        <f>(Таблица1[Количество кредитных карт]-$AA$18)/($AA$19-$AA$18)</f>
        <v>0.2857142857142857</v>
      </c>
      <c r="V880" s="3">
        <f>(Таблица1[Число нарушений кредитных договоров]-$AA$23)/($AA$24-$AA$23)</f>
        <v>0</v>
      </c>
      <c r="W880" s="3">
        <f>Таблица1[[#This Row],[Годовой доход]]/12</f>
        <v>193364.58333333334</v>
      </c>
      <c r="X880" s="3">
        <f>Таблица1[[#This Row],[Ежемесячный платеж]]/Таблица1[[#This Row],[Ежем доход]]</f>
        <v>0.20299922210849539</v>
      </c>
      <c r="Y880" s="3"/>
      <c r="Z880" s="3"/>
      <c r="AA880" s="3"/>
      <c r="AB880" s="3"/>
    </row>
    <row r="881" spans="1:28" x14ac:dyDescent="0.2">
      <c r="A881">
        <v>1937</v>
      </c>
      <c r="B881" t="s">
        <v>1973</v>
      </c>
      <c r="C881" t="s">
        <v>35</v>
      </c>
      <c r="D881" t="s">
        <v>19</v>
      </c>
      <c r="E881" t="s">
        <v>24</v>
      </c>
      <c r="F881" t="s">
        <v>21</v>
      </c>
      <c r="G881" t="s">
        <v>25</v>
      </c>
      <c r="H881" s="1">
        <v>224224</v>
      </c>
      <c r="I881" s="3">
        <v>718</v>
      </c>
      <c r="J881" s="3">
        <v>1084425</v>
      </c>
      <c r="K881" s="3">
        <v>23947.79</v>
      </c>
      <c r="L881" s="2">
        <v>16.399999999999999</v>
      </c>
      <c r="M881" s="11">
        <v>35.265240640000002</v>
      </c>
      <c r="N881" s="3">
        <v>17</v>
      </c>
      <c r="O881" s="3">
        <v>327826</v>
      </c>
      <c r="P881" s="3">
        <v>511566</v>
      </c>
      <c r="Q881" s="10">
        <v>1</v>
      </c>
      <c r="R881" s="3">
        <f>(Таблица1[Размер кредита]-$AA$2)/$AA$3</f>
        <v>-0.48603837636268421</v>
      </c>
      <c r="S881" s="3">
        <f>(Таблица1[Кредитный рейтинг]-$AA$7)/($AA$8-$AA$7)</f>
        <v>0.95605858854860182</v>
      </c>
      <c r="T881" s="3">
        <f>(Таблица1[Срок с последнего нарушения кредитного договора (мес,)]-$AA$12)/($AA$13-$AA$12)</f>
        <v>0.40074137090909095</v>
      </c>
      <c r="U881" s="3">
        <f>(Таблица1[Количество кредитных карт]-$AA$18)/($AA$19-$AA$18)</f>
        <v>0.38095238095238093</v>
      </c>
      <c r="V881" s="3">
        <f>(Таблица1[Число нарушений кредитных договоров]-$AA$23)/($AA$24-$AA$23)</f>
        <v>0.14285714285714285</v>
      </c>
      <c r="W881" s="3">
        <f>Таблица1[[#This Row],[Годовой доход]]/12</f>
        <v>90368.75</v>
      </c>
      <c r="X881" s="3">
        <f>Таблица1[[#This Row],[Ежемесячный платеж]]/Таблица1[[#This Row],[Ежем доход]]</f>
        <v>0.26500078843626806</v>
      </c>
      <c r="Y881" s="3"/>
      <c r="Z881" s="3"/>
      <c r="AA881" s="3"/>
      <c r="AB881" s="3"/>
    </row>
    <row r="882" spans="1:28" x14ac:dyDescent="0.2">
      <c r="A882">
        <v>1134</v>
      </c>
      <c r="B882" t="s">
        <v>1173</v>
      </c>
      <c r="C882" t="s">
        <v>18</v>
      </c>
      <c r="D882" t="s">
        <v>19</v>
      </c>
      <c r="E882" t="s">
        <v>63</v>
      </c>
      <c r="F882" t="s">
        <v>33</v>
      </c>
      <c r="G882" t="s">
        <v>25</v>
      </c>
      <c r="H882" s="1">
        <v>335192</v>
      </c>
      <c r="I882" s="3">
        <v>702</v>
      </c>
      <c r="J882" s="3">
        <v>2508779</v>
      </c>
      <c r="K882" s="3">
        <v>14446.27</v>
      </c>
      <c r="L882" s="2">
        <v>16.8</v>
      </c>
      <c r="M882" s="11">
        <v>63</v>
      </c>
      <c r="N882" s="3">
        <v>8</v>
      </c>
      <c r="O882" s="3">
        <v>317642</v>
      </c>
      <c r="P882" s="3">
        <v>511544</v>
      </c>
      <c r="Q882" s="10">
        <v>0</v>
      </c>
      <c r="R882" s="3">
        <f>(Таблица1[Размер кредита]-$AA$2)/$AA$3</f>
        <v>0.14573361887226574</v>
      </c>
      <c r="S882" s="3">
        <f>(Таблица1[Кредитный рейтинг]-$AA$7)/($AA$8-$AA$7)</f>
        <v>0.93475366178428765</v>
      </c>
      <c r="T882" s="3">
        <f>(Таблица1[Срок с последнего нарушения кредитного договора (мес,)]-$AA$12)/($AA$13-$AA$12)</f>
        <v>0.71590909090909094</v>
      </c>
      <c r="U882" s="3">
        <f>(Таблица1[Количество кредитных карт]-$AA$18)/($AA$19-$AA$18)</f>
        <v>0.16666666666666666</v>
      </c>
      <c r="V882" s="3">
        <f>(Таблица1[Число нарушений кредитных договоров]-$AA$23)/($AA$24-$AA$23)</f>
        <v>0</v>
      </c>
      <c r="W882" s="3">
        <f>Таблица1[[#This Row],[Годовой доход]]/12</f>
        <v>209064.91666666666</v>
      </c>
      <c r="X882" s="3">
        <f>Таблица1[[#This Row],[Ежемесячный платеж]]/Таблица1[[#This Row],[Ежем доход]]</f>
        <v>6.9099446384077681E-2</v>
      </c>
      <c r="Y882" s="3"/>
      <c r="Z882" s="3"/>
      <c r="AA882" s="3"/>
      <c r="AB882" s="3"/>
    </row>
    <row r="883" spans="1:28" x14ac:dyDescent="0.2">
      <c r="A883">
        <v>995</v>
      </c>
      <c r="B883" t="s">
        <v>1035</v>
      </c>
      <c r="C883" t="s">
        <v>18</v>
      </c>
      <c r="D883" t="s">
        <v>19</v>
      </c>
      <c r="E883" t="s">
        <v>50</v>
      </c>
      <c r="F883" t="s">
        <v>33</v>
      </c>
      <c r="G883" t="s">
        <v>25</v>
      </c>
      <c r="H883" s="1">
        <v>309594.52439999999</v>
      </c>
      <c r="I883" s="3">
        <v>719</v>
      </c>
      <c r="J883" s="3">
        <v>613415</v>
      </c>
      <c r="K883" s="3">
        <v>14210.67</v>
      </c>
      <c r="L883" s="2">
        <v>16.5</v>
      </c>
      <c r="M883" s="11">
        <v>35.265240640000002</v>
      </c>
      <c r="N883" s="3">
        <v>10</v>
      </c>
      <c r="O883" s="3">
        <v>271928</v>
      </c>
      <c r="P883" s="3">
        <v>511148</v>
      </c>
      <c r="Q883" s="10">
        <v>0</v>
      </c>
      <c r="R883" s="3">
        <f>(Таблица1[Размер кредита]-$AA$2)/$AA$3</f>
        <v>-1.2411115481956205E-10</v>
      </c>
      <c r="S883" s="3">
        <f>(Таблица1[Кредитный рейтинг]-$AA$7)/($AA$8-$AA$7)</f>
        <v>0.95739014647137155</v>
      </c>
      <c r="T883" s="3">
        <f>(Таблица1[Срок с последнего нарушения кредитного договора (мес,)]-$AA$12)/($AA$13-$AA$12)</f>
        <v>0.40074137090909095</v>
      </c>
      <c r="U883" s="3">
        <f>(Таблица1[Количество кредитных карт]-$AA$18)/($AA$19-$AA$18)</f>
        <v>0.21428571428571427</v>
      </c>
      <c r="V883" s="3">
        <f>(Таблица1[Число нарушений кредитных договоров]-$AA$23)/($AA$24-$AA$23)</f>
        <v>0</v>
      </c>
      <c r="W883" s="3">
        <f>Таблица1[[#This Row],[Годовой доход]]/12</f>
        <v>51117.916666666664</v>
      </c>
      <c r="X883" s="3">
        <f>Таблица1[[#This Row],[Ежемесячный платеж]]/Таблица1[[#This Row],[Ежем доход]]</f>
        <v>0.2779978318104383</v>
      </c>
      <c r="Y883" s="3"/>
      <c r="Z883" s="3"/>
      <c r="AA883" s="3"/>
      <c r="AB883" s="3"/>
    </row>
    <row r="884" spans="1:28" x14ac:dyDescent="0.2">
      <c r="A884">
        <v>1578</v>
      </c>
      <c r="B884" t="s">
        <v>1617</v>
      </c>
      <c r="C884" t="s">
        <v>18</v>
      </c>
      <c r="D884" t="s">
        <v>29</v>
      </c>
      <c r="E884" t="s">
        <v>63</v>
      </c>
      <c r="F884" t="s">
        <v>33</v>
      </c>
      <c r="G884" t="s">
        <v>25</v>
      </c>
      <c r="H884" s="1">
        <v>436788</v>
      </c>
      <c r="I884" s="3">
        <v>720</v>
      </c>
      <c r="J884" s="3">
        <v>980780</v>
      </c>
      <c r="K884" s="3">
        <v>7691.01</v>
      </c>
      <c r="L884" s="2">
        <v>18</v>
      </c>
      <c r="M884" s="11">
        <v>29</v>
      </c>
      <c r="N884" s="3">
        <v>6</v>
      </c>
      <c r="O884" s="3">
        <v>343748</v>
      </c>
      <c r="P884" s="3">
        <v>510928</v>
      </c>
      <c r="Q884" s="10">
        <v>0</v>
      </c>
      <c r="R884" s="3">
        <f>(Таблица1[Размер кредита]-$AA$2)/$AA$3</f>
        <v>0.72414818548507287</v>
      </c>
      <c r="S884" s="3">
        <f>(Таблица1[Кредитный рейтинг]-$AA$7)/($AA$8-$AA$7)</f>
        <v>0.95872170439414117</v>
      </c>
      <c r="T884" s="3">
        <f>(Таблица1[Срок с последнего нарушения кредитного договора (мес,)]-$AA$12)/($AA$13-$AA$12)</f>
        <v>0.32954545454545453</v>
      </c>
      <c r="U884" s="3">
        <f>(Таблица1[Количество кредитных карт]-$AA$18)/($AA$19-$AA$18)</f>
        <v>0.11904761904761904</v>
      </c>
      <c r="V884" s="3">
        <f>(Таблица1[Число нарушений кредитных договоров]-$AA$23)/($AA$24-$AA$23)</f>
        <v>0</v>
      </c>
      <c r="W884" s="3">
        <f>Таблица1[[#This Row],[Годовой доход]]/12</f>
        <v>81731.666666666672</v>
      </c>
      <c r="X884" s="3">
        <f>Таблица1[[#This Row],[Ежемесячный платеж]]/Таблица1[[#This Row],[Ежем доход]]</f>
        <v>9.4100736148779535E-2</v>
      </c>
      <c r="Y884" s="3"/>
      <c r="Z884" s="3"/>
      <c r="AA884" s="3"/>
      <c r="AB884" s="3"/>
    </row>
    <row r="885" spans="1:28" x14ac:dyDescent="0.2">
      <c r="A885">
        <v>865</v>
      </c>
      <c r="B885" t="s">
        <v>906</v>
      </c>
      <c r="C885" t="s">
        <v>18</v>
      </c>
      <c r="D885" t="s">
        <v>19</v>
      </c>
      <c r="E885" t="s">
        <v>52</v>
      </c>
      <c r="F885" t="s">
        <v>21</v>
      </c>
      <c r="G885" t="s">
        <v>25</v>
      </c>
      <c r="H885" s="1">
        <v>312422</v>
      </c>
      <c r="I885" s="3">
        <v>0</v>
      </c>
      <c r="J885" s="3">
        <v>1168044</v>
      </c>
      <c r="K885" s="3">
        <v>16836.09</v>
      </c>
      <c r="L885" s="2">
        <v>21</v>
      </c>
      <c r="M885" s="11">
        <v>35.265240640000002</v>
      </c>
      <c r="N885" s="3">
        <v>17</v>
      </c>
      <c r="O885" s="3">
        <v>426018</v>
      </c>
      <c r="P885" s="3">
        <v>510664</v>
      </c>
      <c r="Q885" s="10">
        <v>0</v>
      </c>
      <c r="R885" s="3">
        <f>(Таблица1[Размер кредита]-$AA$2)/$AA$3</f>
        <v>1.6097612712834095E-2</v>
      </c>
      <c r="S885" s="3">
        <f>(Таблица1[Кредитный рейтинг]-$AA$7)/($AA$8-$AA$7)</f>
        <v>0</v>
      </c>
      <c r="T885" s="3">
        <f>(Таблица1[Срок с последнего нарушения кредитного договора (мес,)]-$AA$12)/($AA$13-$AA$12)</f>
        <v>0.40074137090909095</v>
      </c>
      <c r="U885" s="3">
        <f>(Таблица1[Количество кредитных карт]-$AA$18)/($AA$19-$AA$18)</f>
        <v>0.38095238095238093</v>
      </c>
      <c r="V885" s="3">
        <f>(Таблица1[Число нарушений кредитных договоров]-$AA$23)/($AA$24-$AA$23)</f>
        <v>0</v>
      </c>
      <c r="W885" s="3">
        <f>Таблица1[[#This Row],[Годовой доход]]/12</f>
        <v>97337</v>
      </c>
      <c r="X885" s="3">
        <f>Таблица1[[#This Row],[Ежемесячный платеж]]/Таблица1[[#This Row],[Ежем доход]]</f>
        <v>0.17296701151668945</v>
      </c>
      <c r="Y885" s="3"/>
      <c r="Z885" s="3"/>
      <c r="AA885" s="3"/>
      <c r="AB885" s="3"/>
    </row>
    <row r="886" spans="1:28" x14ac:dyDescent="0.2">
      <c r="A886">
        <v>224</v>
      </c>
      <c r="B886" t="s">
        <v>266</v>
      </c>
      <c r="C886" t="s">
        <v>18</v>
      </c>
      <c r="D886" t="s">
        <v>29</v>
      </c>
      <c r="E886" t="s">
        <v>30</v>
      </c>
      <c r="F886" t="s">
        <v>33</v>
      </c>
      <c r="G886" t="s">
        <v>25</v>
      </c>
      <c r="H886" s="1">
        <v>449460</v>
      </c>
      <c r="I886" s="3">
        <v>658</v>
      </c>
      <c r="J886" s="3">
        <v>1057768</v>
      </c>
      <c r="K886" s="3">
        <v>19039.71</v>
      </c>
      <c r="L886" s="2">
        <v>16.3</v>
      </c>
      <c r="M886" s="11">
        <v>35.265240640000002</v>
      </c>
      <c r="N886" s="3">
        <v>8</v>
      </c>
      <c r="O886" s="3">
        <v>367992</v>
      </c>
      <c r="P886" s="3">
        <v>510290</v>
      </c>
      <c r="Q886" s="10">
        <v>0</v>
      </c>
      <c r="R886" s="3">
        <f>(Таблица1[Размер кредита]-$AA$2)/$AA$3</f>
        <v>0.79629344108684352</v>
      </c>
      <c r="S886" s="3">
        <f>(Таблица1[Кредитный рейтинг]-$AA$7)/($AA$8-$AA$7)</f>
        <v>0.87616511318242341</v>
      </c>
      <c r="T886" s="3">
        <f>(Таблица1[Срок с последнего нарушения кредитного договора (мес,)]-$AA$12)/($AA$13-$AA$12)</f>
        <v>0.40074137090909095</v>
      </c>
      <c r="U886" s="3">
        <f>(Таблица1[Количество кредитных карт]-$AA$18)/($AA$19-$AA$18)</f>
        <v>0.16666666666666666</v>
      </c>
      <c r="V886" s="3">
        <f>(Таблица1[Число нарушений кредитных договоров]-$AA$23)/($AA$24-$AA$23)</f>
        <v>0</v>
      </c>
      <c r="W886" s="3">
        <f>Таблица1[[#This Row],[Годовой доход]]/12</f>
        <v>88147.333333333328</v>
      </c>
      <c r="X886" s="3">
        <f>Таблица1[[#This Row],[Ежемесячный платеж]]/Таблица1[[#This Row],[Ежем доход]]</f>
        <v>0.21599870671073429</v>
      </c>
      <c r="Y886" s="3"/>
      <c r="Z886" s="3"/>
      <c r="AA886" s="3"/>
      <c r="AB886" s="3"/>
    </row>
    <row r="887" spans="1:28" x14ac:dyDescent="0.2">
      <c r="A887">
        <v>1823</v>
      </c>
      <c r="B887" t="s">
        <v>1861</v>
      </c>
      <c r="C887" t="s">
        <v>18</v>
      </c>
      <c r="D887" t="s">
        <v>19</v>
      </c>
      <c r="E887" t="s">
        <v>24</v>
      </c>
      <c r="F887" t="s">
        <v>27</v>
      </c>
      <c r="G887" t="s">
        <v>25</v>
      </c>
      <c r="H887" s="1">
        <v>110946</v>
      </c>
      <c r="I887" s="3">
        <v>718</v>
      </c>
      <c r="J887" s="3">
        <v>1628889</v>
      </c>
      <c r="K887" s="3">
        <v>22532.86</v>
      </c>
      <c r="L887" s="2">
        <v>22.5</v>
      </c>
      <c r="M887" s="11">
        <v>35.265240640000002</v>
      </c>
      <c r="N887" s="3">
        <v>8</v>
      </c>
      <c r="O887" s="3">
        <v>375326</v>
      </c>
      <c r="P887" s="3">
        <v>510092</v>
      </c>
      <c r="Q887" s="10">
        <v>1</v>
      </c>
      <c r="R887" s="3">
        <f>(Таблица1[Размер кредита]-$AA$2)/$AA$3</f>
        <v>-1.1309618504833736</v>
      </c>
      <c r="S887" s="3">
        <f>(Таблица1[Кредитный рейтинг]-$AA$7)/($AA$8-$AA$7)</f>
        <v>0.95605858854860182</v>
      </c>
      <c r="T887" s="3">
        <f>(Таблица1[Срок с последнего нарушения кредитного договора (мес,)]-$AA$12)/($AA$13-$AA$12)</f>
        <v>0.40074137090909095</v>
      </c>
      <c r="U887" s="3">
        <f>(Таблица1[Количество кредитных карт]-$AA$18)/($AA$19-$AA$18)</f>
        <v>0.16666666666666666</v>
      </c>
      <c r="V887" s="3">
        <f>(Таблица1[Число нарушений кредитных договоров]-$AA$23)/($AA$24-$AA$23)</f>
        <v>0.14285714285714285</v>
      </c>
      <c r="W887" s="3">
        <f>Таблица1[[#This Row],[Годовой доход]]/12</f>
        <v>135740.75</v>
      </c>
      <c r="X887" s="3">
        <f>Таблица1[[#This Row],[Ежемесячный платеж]]/Таблица1[[#This Row],[Ежем доход]]</f>
        <v>0.16599923015012072</v>
      </c>
      <c r="Y887" s="3"/>
      <c r="Z887" s="3"/>
      <c r="AA887" s="3"/>
      <c r="AB887" s="3"/>
    </row>
    <row r="888" spans="1:28" x14ac:dyDescent="0.2">
      <c r="A888">
        <v>45</v>
      </c>
      <c r="B888" t="s">
        <v>85</v>
      </c>
      <c r="C888" t="s">
        <v>18</v>
      </c>
      <c r="D888" t="s">
        <v>29</v>
      </c>
      <c r="E888" t="s">
        <v>47</v>
      </c>
      <c r="F888" t="s">
        <v>21</v>
      </c>
      <c r="G888" t="s">
        <v>25</v>
      </c>
      <c r="H888" s="1">
        <v>311762</v>
      </c>
      <c r="I888" s="3">
        <v>680</v>
      </c>
      <c r="J888" s="3">
        <v>2211657</v>
      </c>
      <c r="K888" s="3">
        <v>44601.74</v>
      </c>
      <c r="L888" s="2">
        <v>14.5</v>
      </c>
      <c r="M888" s="11">
        <v>15</v>
      </c>
      <c r="N888" s="3">
        <v>11</v>
      </c>
      <c r="O888" s="3">
        <v>213921</v>
      </c>
      <c r="P888" s="3">
        <v>509652</v>
      </c>
      <c r="Q888" s="10">
        <v>0</v>
      </c>
      <c r="R888" s="3">
        <f>(Таблица1[Размер кредита]-$AA$2)/$AA$3</f>
        <v>1.2340047316908541E-2</v>
      </c>
      <c r="S888" s="3">
        <f>(Таблица1[Кредитный рейтинг]-$AA$7)/($AA$8-$AA$7)</f>
        <v>0.90545938748335553</v>
      </c>
      <c r="T888" s="3">
        <f>(Таблица1[Срок с последнего нарушения кредитного договора (мес,)]-$AA$12)/($AA$13-$AA$12)</f>
        <v>0.17045454545454544</v>
      </c>
      <c r="U888" s="3">
        <f>(Таблица1[Количество кредитных карт]-$AA$18)/($AA$19-$AA$18)</f>
        <v>0.23809523809523808</v>
      </c>
      <c r="V888" s="3">
        <f>(Таблица1[Число нарушений кредитных договоров]-$AA$23)/($AA$24-$AA$23)</f>
        <v>0</v>
      </c>
      <c r="W888" s="3">
        <f>Таблица1[[#This Row],[Годовой доход]]/12</f>
        <v>184304.75</v>
      </c>
      <c r="X888" s="3">
        <f>Таблица1[[#This Row],[Ежемесячный платеж]]/Таблица1[[#This Row],[Ежем доход]]</f>
        <v>0.24199994845493672</v>
      </c>
      <c r="Y888" s="3"/>
      <c r="Z888" s="3"/>
      <c r="AA888" s="3"/>
      <c r="AB888" s="3"/>
    </row>
    <row r="889" spans="1:28" x14ac:dyDescent="0.2">
      <c r="A889">
        <v>1371</v>
      </c>
      <c r="B889" t="s">
        <v>1410</v>
      </c>
      <c r="C889" t="s">
        <v>18</v>
      </c>
      <c r="D889" t="s">
        <v>19</v>
      </c>
      <c r="E889" t="s">
        <v>41</v>
      </c>
      <c r="F889" t="s">
        <v>33</v>
      </c>
      <c r="G889" t="s">
        <v>67</v>
      </c>
      <c r="H889" s="1">
        <v>108856</v>
      </c>
      <c r="I889" s="3">
        <v>672</v>
      </c>
      <c r="J889" s="3">
        <v>1692045</v>
      </c>
      <c r="K889" s="3">
        <v>23688.63</v>
      </c>
      <c r="L889" s="2">
        <v>6</v>
      </c>
      <c r="M889" s="11">
        <v>17</v>
      </c>
      <c r="N889" s="3">
        <v>13</v>
      </c>
      <c r="O889" s="3">
        <v>83600</v>
      </c>
      <c r="P889" s="3">
        <v>509498</v>
      </c>
      <c r="Q889" s="10">
        <v>1</v>
      </c>
      <c r="R889" s="3">
        <f>(Таблица1[Размер кредита]-$AA$2)/$AA$3</f>
        <v>-1.1428608075704711</v>
      </c>
      <c r="S889" s="3">
        <f>(Таблица1[Кредитный рейтинг]-$AA$7)/($AA$8-$AA$7)</f>
        <v>0.89480692410119844</v>
      </c>
      <c r="T889" s="3">
        <f>(Таблица1[Срок с последнего нарушения кредитного договора (мес,)]-$AA$12)/($AA$13-$AA$12)</f>
        <v>0.19318181818181818</v>
      </c>
      <c r="U889" s="3">
        <f>(Таблица1[Количество кредитных карт]-$AA$18)/($AA$19-$AA$18)</f>
        <v>0.2857142857142857</v>
      </c>
      <c r="V889" s="3">
        <f>(Таблица1[Число нарушений кредитных договоров]-$AA$23)/($AA$24-$AA$23)</f>
        <v>0.14285714285714285</v>
      </c>
      <c r="W889" s="3">
        <f>Таблица1[[#This Row],[Годовой доход]]/12</f>
        <v>141003.75</v>
      </c>
      <c r="X889" s="3">
        <f>Таблица1[[#This Row],[Ежемесячный платеж]]/Таблица1[[#This Row],[Ежем доход]]</f>
        <v>0.16800000000000001</v>
      </c>
      <c r="Y889" s="3"/>
      <c r="Z889" s="3"/>
      <c r="AA889" s="3"/>
      <c r="AB889" s="3"/>
    </row>
    <row r="890" spans="1:28" x14ac:dyDescent="0.2">
      <c r="A890">
        <v>954</v>
      </c>
      <c r="B890" t="s">
        <v>995</v>
      </c>
      <c r="C890" t="s">
        <v>35</v>
      </c>
      <c r="D890" t="s">
        <v>29</v>
      </c>
      <c r="E890" t="s">
        <v>24</v>
      </c>
      <c r="F890" t="s">
        <v>21</v>
      </c>
      <c r="G890" t="s">
        <v>25</v>
      </c>
      <c r="H890" s="1">
        <v>264616</v>
      </c>
      <c r="I890" s="3">
        <v>731</v>
      </c>
      <c r="J890" s="3">
        <v>1333059</v>
      </c>
      <c r="K890" s="3">
        <v>23995.1</v>
      </c>
      <c r="L890" s="2">
        <v>24</v>
      </c>
      <c r="M890" s="11">
        <v>35.265240640000002</v>
      </c>
      <c r="N890" s="3">
        <v>8</v>
      </c>
      <c r="O890" s="3">
        <v>289864</v>
      </c>
      <c r="P890" s="3">
        <v>509300</v>
      </c>
      <c r="Q890" s="10">
        <v>0</v>
      </c>
      <c r="R890" s="3">
        <f>(Таблица1[Размер кредита]-$AA$2)/$AA$3</f>
        <v>-0.25607537413204029</v>
      </c>
      <c r="S890" s="3">
        <f>(Таблица1[Кредитный рейтинг]-$AA$7)/($AA$8-$AA$7)</f>
        <v>0.97336884154460723</v>
      </c>
      <c r="T890" s="3">
        <f>(Таблица1[Срок с последнего нарушения кредитного договора (мес,)]-$AA$12)/($AA$13-$AA$12)</f>
        <v>0.40074137090909095</v>
      </c>
      <c r="U890" s="3">
        <f>(Таблица1[Количество кредитных карт]-$AA$18)/($AA$19-$AA$18)</f>
        <v>0.16666666666666666</v>
      </c>
      <c r="V890" s="3">
        <f>(Таблица1[Число нарушений кредитных договоров]-$AA$23)/($AA$24-$AA$23)</f>
        <v>0</v>
      </c>
      <c r="W890" s="3">
        <f>Таблица1[[#This Row],[Годовой доход]]/12</f>
        <v>111088.25</v>
      </c>
      <c r="X890" s="3">
        <f>Таблица1[[#This Row],[Ежемесячный платеж]]/Таблица1[[#This Row],[Ежем доход]]</f>
        <v>0.21600034207038096</v>
      </c>
      <c r="Y890" s="3"/>
      <c r="Z890" s="3"/>
      <c r="AA890" s="3"/>
      <c r="AB890" s="3"/>
    </row>
    <row r="891" spans="1:28" x14ac:dyDescent="0.2">
      <c r="A891">
        <v>1892</v>
      </c>
      <c r="B891" t="s">
        <v>1928</v>
      </c>
      <c r="C891" t="s">
        <v>18</v>
      </c>
      <c r="D891" t="s">
        <v>19</v>
      </c>
      <c r="E891" t="s">
        <v>52</v>
      </c>
      <c r="F891" t="s">
        <v>33</v>
      </c>
      <c r="G891" t="s">
        <v>25</v>
      </c>
      <c r="H891" s="1">
        <v>313874</v>
      </c>
      <c r="I891" s="3">
        <v>742</v>
      </c>
      <c r="J891" s="3">
        <v>2129919</v>
      </c>
      <c r="K891" s="3">
        <v>24316.58</v>
      </c>
      <c r="L891" s="2">
        <v>12.6</v>
      </c>
      <c r="M891" s="11">
        <v>35.265240640000002</v>
      </c>
      <c r="N891" s="3">
        <v>8</v>
      </c>
      <c r="O891" s="3">
        <v>336642</v>
      </c>
      <c r="P891" s="3">
        <v>508882</v>
      </c>
      <c r="Q891" s="10">
        <v>0</v>
      </c>
      <c r="R891" s="3">
        <f>(Таблица1[Размер кредита]-$AA$2)/$AA$3</f>
        <v>2.4364256583870317E-2</v>
      </c>
      <c r="S891" s="3">
        <f>(Таблица1[Кредитный рейтинг]-$AA$7)/($AA$8-$AA$7)</f>
        <v>0.98801597869507318</v>
      </c>
      <c r="T891" s="3">
        <f>(Таблица1[Срок с последнего нарушения кредитного договора (мес,)]-$AA$12)/($AA$13-$AA$12)</f>
        <v>0.40074137090909095</v>
      </c>
      <c r="U891" s="3">
        <f>(Таблица1[Количество кредитных карт]-$AA$18)/($AA$19-$AA$18)</f>
        <v>0.16666666666666666</v>
      </c>
      <c r="V891" s="3">
        <f>(Таблица1[Число нарушений кредитных договоров]-$AA$23)/($AA$24-$AA$23)</f>
        <v>0</v>
      </c>
      <c r="W891" s="3">
        <f>Таблица1[[#This Row],[Годовой доход]]/12</f>
        <v>177493.25</v>
      </c>
      <c r="X891" s="3">
        <f>Таблица1[[#This Row],[Ежемесячный платеж]]/Таблица1[[#This Row],[Ежем доход]]</f>
        <v>0.13700002676158107</v>
      </c>
      <c r="Y891" s="3"/>
      <c r="Z891" s="3"/>
      <c r="AA891" s="3"/>
      <c r="AB891" s="3"/>
    </row>
    <row r="892" spans="1:28" x14ac:dyDescent="0.2">
      <c r="A892">
        <v>378</v>
      </c>
      <c r="B892" t="s">
        <v>420</v>
      </c>
      <c r="C892" t="s">
        <v>18</v>
      </c>
      <c r="D892" t="s">
        <v>19</v>
      </c>
      <c r="E892" t="s">
        <v>30</v>
      </c>
      <c r="F892" t="s">
        <v>21</v>
      </c>
      <c r="G892" t="s">
        <v>25</v>
      </c>
      <c r="H892" s="1">
        <v>309594.52439999999</v>
      </c>
      <c r="I892" s="3">
        <v>739</v>
      </c>
      <c r="J892" s="3">
        <v>3095632</v>
      </c>
      <c r="K892" s="3">
        <v>41017.199999999997</v>
      </c>
      <c r="L892" s="2">
        <v>21</v>
      </c>
      <c r="M892" s="11">
        <v>19</v>
      </c>
      <c r="N892" s="3">
        <v>15</v>
      </c>
      <c r="O892" s="3">
        <v>288002</v>
      </c>
      <c r="P892" s="3">
        <v>508354</v>
      </c>
      <c r="Q892" s="10">
        <v>0</v>
      </c>
      <c r="R892" s="3">
        <f>(Таблица1[Размер кредита]-$AA$2)/$AA$3</f>
        <v>-1.2411115481956205E-10</v>
      </c>
      <c r="S892" s="3">
        <f>(Таблица1[Кредитный рейтинг]-$AA$7)/($AA$8-$AA$7)</f>
        <v>0.98402130492676432</v>
      </c>
      <c r="T892" s="3">
        <f>(Таблица1[Срок с последнего нарушения кредитного договора (мес,)]-$AA$12)/($AA$13-$AA$12)</f>
        <v>0.21590909090909091</v>
      </c>
      <c r="U892" s="3">
        <f>(Таблица1[Количество кредитных карт]-$AA$18)/($AA$19-$AA$18)</f>
        <v>0.33333333333333331</v>
      </c>
      <c r="V892" s="3">
        <f>(Таблица1[Число нарушений кредитных договоров]-$AA$23)/($AA$24-$AA$23)</f>
        <v>0</v>
      </c>
      <c r="W892" s="3">
        <f>Таблица1[[#This Row],[Годовой доход]]/12</f>
        <v>257969.33333333334</v>
      </c>
      <c r="X892" s="3">
        <f>Таблица1[[#This Row],[Ежемесячный платеж]]/Таблица1[[#This Row],[Ежем доход]]</f>
        <v>0.15900029460866147</v>
      </c>
      <c r="Y892" s="3"/>
      <c r="Z892" s="3"/>
      <c r="AA892" s="3"/>
      <c r="AB892" s="3"/>
    </row>
    <row r="893" spans="1:28" x14ac:dyDescent="0.2">
      <c r="A893">
        <v>1656</v>
      </c>
      <c r="B893" t="s">
        <v>1694</v>
      </c>
      <c r="C893" t="s">
        <v>18</v>
      </c>
      <c r="D893" t="s">
        <v>19</v>
      </c>
      <c r="E893" t="s">
        <v>37</v>
      </c>
      <c r="F893" t="s">
        <v>27</v>
      </c>
      <c r="G893" t="s">
        <v>39</v>
      </c>
      <c r="H893" s="1">
        <v>394174</v>
      </c>
      <c r="I893" s="3">
        <v>654</v>
      </c>
      <c r="J893" s="3">
        <v>1915846</v>
      </c>
      <c r="K893" s="3">
        <v>22990.19</v>
      </c>
      <c r="L893" s="2">
        <v>27</v>
      </c>
      <c r="M893" s="11">
        <v>29</v>
      </c>
      <c r="N893" s="3">
        <v>15</v>
      </c>
      <c r="O893" s="3">
        <v>71516</v>
      </c>
      <c r="P893" s="3">
        <v>507958</v>
      </c>
      <c r="Q893" s="10">
        <v>0</v>
      </c>
      <c r="R893" s="3">
        <f>(Таблица1[Размер кредита]-$AA$2)/$AA$3</f>
        <v>0.48153471308814616</v>
      </c>
      <c r="S893" s="3">
        <f>(Таблица1[Кредитный рейтинг]-$AA$7)/($AA$8-$AA$7)</f>
        <v>0.87083888149134492</v>
      </c>
      <c r="T893" s="3">
        <f>(Таблица1[Срок с последнего нарушения кредитного договора (мес,)]-$AA$12)/($AA$13-$AA$12)</f>
        <v>0.32954545454545453</v>
      </c>
      <c r="U893" s="3">
        <f>(Таблица1[Количество кредитных карт]-$AA$18)/($AA$19-$AA$18)</f>
        <v>0.33333333333333331</v>
      </c>
      <c r="V893" s="3">
        <f>(Таблица1[Число нарушений кредитных договоров]-$AA$23)/($AA$24-$AA$23)</f>
        <v>0</v>
      </c>
      <c r="W893" s="3">
        <f>Таблица1[[#This Row],[Годовой доход]]/12</f>
        <v>159653.83333333334</v>
      </c>
      <c r="X893" s="3">
        <f>Таблица1[[#This Row],[Ежемесячный платеж]]/Таблица1[[#This Row],[Ежем доход]]</f>
        <v>0.14400023801495526</v>
      </c>
      <c r="Y893" s="3"/>
      <c r="Z893" s="3"/>
      <c r="AA893" s="3"/>
      <c r="AB893" s="3"/>
    </row>
    <row r="894" spans="1:28" x14ac:dyDescent="0.2">
      <c r="A894">
        <v>1677</v>
      </c>
      <c r="B894" t="s">
        <v>1715</v>
      </c>
      <c r="C894" t="s">
        <v>18</v>
      </c>
      <c r="D894" t="s">
        <v>29</v>
      </c>
      <c r="E894" t="s">
        <v>24</v>
      </c>
      <c r="F894" t="s">
        <v>21</v>
      </c>
      <c r="G894" t="s">
        <v>25</v>
      </c>
      <c r="H894" s="1">
        <v>506264</v>
      </c>
      <c r="I894" s="3">
        <v>633</v>
      </c>
      <c r="J894" s="3">
        <v>1821796</v>
      </c>
      <c r="K894" s="3">
        <v>21405.97</v>
      </c>
      <c r="L894" s="2">
        <v>23.3</v>
      </c>
      <c r="M894" s="11">
        <v>17</v>
      </c>
      <c r="N894" s="3">
        <v>11</v>
      </c>
      <c r="O894" s="3">
        <v>192660</v>
      </c>
      <c r="P894" s="3">
        <v>505868</v>
      </c>
      <c r="Q894" s="10">
        <v>0</v>
      </c>
      <c r="R894" s="3">
        <f>(Таблица1[Размер кредита]-$AA$2)/$AA$3</f>
        <v>1.1196945694961695</v>
      </c>
      <c r="S894" s="3">
        <f>(Таблица1[Кредитный рейтинг]-$AA$7)/($AA$8-$AA$7)</f>
        <v>0.84287616511318242</v>
      </c>
      <c r="T894" s="3">
        <f>(Таблица1[Срок с последнего нарушения кредитного договора (мес,)]-$AA$12)/($AA$13-$AA$12)</f>
        <v>0.19318181818181818</v>
      </c>
      <c r="U894" s="3">
        <f>(Таблица1[Количество кредитных карт]-$AA$18)/($AA$19-$AA$18)</f>
        <v>0.23809523809523808</v>
      </c>
      <c r="V894" s="3">
        <f>(Таблица1[Число нарушений кредитных договоров]-$AA$23)/($AA$24-$AA$23)</f>
        <v>0</v>
      </c>
      <c r="W894" s="3">
        <f>Таблица1[[#This Row],[Годовой доход]]/12</f>
        <v>151816.33333333334</v>
      </c>
      <c r="X894" s="3">
        <f>Таблица1[[#This Row],[Ежемесячный платеж]]/Таблица1[[#This Row],[Ежем доход]]</f>
        <v>0.14099912394142922</v>
      </c>
      <c r="Y894" s="3"/>
      <c r="Z894" s="3"/>
      <c r="AA894" s="3"/>
      <c r="AB894" s="3"/>
    </row>
    <row r="895" spans="1:28" x14ac:dyDescent="0.2">
      <c r="A895">
        <v>589</v>
      </c>
      <c r="B895" t="s">
        <v>630</v>
      </c>
      <c r="C895" t="s">
        <v>18</v>
      </c>
      <c r="D895" t="s">
        <v>19</v>
      </c>
      <c r="E895" t="s">
        <v>63</v>
      </c>
      <c r="F895" t="s">
        <v>33</v>
      </c>
      <c r="G895" t="s">
        <v>25</v>
      </c>
      <c r="H895" s="1">
        <v>121440</v>
      </c>
      <c r="I895" s="3">
        <v>731</v>
      </c>
      <c r="J895" s="3">
        <v>749132</v>
      </c>
      <c r="K895" s="3">
        <v>17479.62</v>
      </c>
      <c r="L895" s="2">
        <v>18.600000000000001</v>
      </c>
      <c r="M895" s="11">
        <v>22</v>
      </c>
      <c r="N895" s="3">
        <v>15</v>
      </c>
      <c r="O895" s="3">
        <v>95456</v>
      </c>
      <c r="P895" s="3">
        <v>504702</v>
      </c>
      <c r="Q895" s="10">
        <v>0</v>
      </c>
      <c r="R895" s="3">
        <f>(Таблица1[Размер кредита]-$AA$2)/$AA$3</f>
        <v>-1.0712165606881574</v>
      </c>
      <c r="S895" s="3">
        <f>(Таблица1[Кредитный рейтинг]-$AA$7)/($AA$8-$AA$7)</f>
        <v>0.97336884154460723</v>
      </c>
      <c r="T895" s="3">
        <f>(Таблица1[Срок с последнего нарушения кредитного договора (мес,)]-$AA$12)/($AA$13-$AA$12)</f>
        <v>0.25</v>
      </c>
      <c r="U895" s="3">
        <f>(Таблица1[Количество кредитных карт]-$AA$18)/($AA$19-$AA$18)</f>
        <v>0.33333333333333331</v>
      </c>
      <c r="V895" s="3">
        <f>(Таблица1[Число нарушений кредитных договоров]-$AA$23)/($AA$24-$AA$23)</f>
        <v>0</v>
      </c>
      <c r="W895" s="3">
        <f>Таблица1[[#This Row],[Годовой доход]]/12</f>
        <v>62427.666666666664</v>
      </c>
      <c r="X895" s="3">
        <f>Таблица1[[#This Row],[Ежемесячный платеж]]/Таблица1[[#This Row],[Ежем доход]]</f>
        <v>0.27999797098508672</v>
      </c>
      <c r="Y895" s="3"/>
      <c r="Z895" s="3"/>
      <c r="AA895" s="3"/>
      <c r="AB895" s="3"/>
    </row>
    <row r="896" spans="1:28" x14ac:dyDescent="0.2">
      <c r="A896">
        <v>1685</v>
      </c>
      <c r="B896" t="s">
        <v>1723</v>
      </c>
      <c r="C896" t="s">
        <v>18</v>
      </c>
      <c r="D896" t="s">
        <v>19</v>
      </c>
      <c r="E896" t="s">
        <v>37</v>
      </c>
      <c r="F896" t="s">
        <v>33</v>
      </c>
      <c r="G896" t="s">
        <v>67</v>
      </c>
      <c r="H896" s="1">
        <v>403172</v>
      </c>
      <c r="I896" s="3">
        <v>738</v>
      </c>
      <c r="J896" s="3">
        <v>1973074</v>
      </c>
      <c r="K896" s="3">
        <v>11443.89</v>
      </c>
      <c r="L896" s="2">
        <v>6</v>
      </c>
      <c r="M896" s="11">
        <v>35.265240640000002</v>
      </c>
      <c r="N896" s="3">
        <v>9</v>
      </c>
      <c r="O896" s="3">
        <v>94468</v>
      </c>
      <c r="P896" s="3">
        <v>504108</v>
      </c>
      <c r="Q896" s="10">
        <v>0</v>
      </c>
      <c r="R896" s="3">
        <f>(Таблица1[Размер кредита]-$AA$2)/$AA$3</f>
        <v>0.53276285465259787</v>
      </c>
      <c r="S896" s="3">
        <f>(Таблица1[Кредитный рейтинг]-$AA$7)/($AA$8-$AA$7)</f>
        <v>0.9826897470039947</v>
      </c>
      <c r="T896" s="3">
        <f>(Таблица1[Срок с последнего нарушения кредитного договора (мес,)]-$AA$12)/($AA$13-$AA$12)</f>
        <v>0.40074137090909095</v>
      </c>
      <c r="U896" s="3">
        <f>(Таблица1[Количество кредитных карт]-$AA$18)/($AA$19-$AA$18)</f>
        <v>0.19047619047619047</v>
      </c>
      <c r="V896" s="3">
        <f>(Таблица1[Число нарушений кредитных договоров]-$AA$23)/($AA$24-$AA$23)</f>
        <v>0</v>
      </c>
      <c r="W896" s="3">
        <f>Таблица1[[#This Row],[Годовой доход]]/12</f>
        <v>164422.83333333334</v>
      </c>
      <c r="X896" s="3">
        <f>Таблица1[[#This Row],[Ежемесячный платеж]]/Таблица1[[#This Row],[Ежем доход]]</f>
        <v>6.9600369778325594E-2</v>
      </c>
      <c r="Y896" s="3"/>
      <c r="Z896" s="3"/>
      <c r="AA896" s="3"/>
      <c r="AB896" s="3"/>
    </row>
    <row r="897" spans="1:28" x14ac:dyDescent="0.2">
      <c r="A897">
        <v>236</v>
      </c>
      <c r="B897" t="s">
        <v>278</v>
      </c>
      <c r="C897" t="s">
        <v>18</v>
      </c>
      <c r="D897" t="s">
        <v>19</v>
      </c>
      <c r="E897" t="s">
        <v>41</v>
      </c>
      <c r="F897" t="s">
        <v>33</v>
      </c>
      <c r="G897" t="s">
        <v>67</v>
      </c>
      <c r="H897" s="1">
        <v>309594.52439999999</v>
      </c>
      <c r="I897" s="3">
        <v>739</v>
      </c>
      <c r="J897" s="3">
        <v>1004321</v>
      </c>
      <c r="K897" s="3">
        <v>30547.82</v>
      </c>
      <c r="L897" s="2">
        <v>13.8</v>
      </c>
      <c r="M897" s="11">
        <v>35.265240640000002</v>
      </c>
      <c r="N897" s="3">
        <v>13</v>
      </c>
      <c r="O897" s="3">
        <v>137997</v>
      </c>
      <c r="P897" s="3">
        <v>504086</v>
      </c>
      <c r="Q897" s="10">
        <v>0</v>
      </c>
      <c r="R897" s="3">
        <f>(Таблица1[Размер кредита]-$AA$2)/$AA$3</f>
        <v>-1.2411115481956205E-10</v>
      </c>
      <c r="S897" s="3">
        <f>(Таблица1[Кредитный рейтинг]-$AA$7)/($AA$8-$AA$7)</f>
        <v>0.98402130492676432</v>
      </c>
      <c r="T897" s="3">
        <f>(Таблица1[Срок с последнего нарушения кредитного договора (мес,)]-$AA$12)/($AA$13-$AA$12)</f>
        <v>0.40074137090909095</v>
      </c>
      <c r="U897" s="3">
        <f>(Таблица1[Количество кредитных карт]-$AA$18)/($AA$19-$AA$18)</f>
        <v>0.2857142857142857</v>
      </c>
      <c r="V897" s="3">
        <f>(Таблица1[Число нарушений кредитных договоров]-$AA$23)/($AA$24-$AA$23)</f>
        <v>0</v>
      </c>
      <c r="W897" s="3">
        <f>Таблица1[[#This Row],[Годовой доход]]/12</f>
        <v>83693.416666666672</v>
      </c>
      <c r="X897" s="3">
        <f>Таблица1[[#This Row],[Ежемесячный платеж]]/Таблица1[[#This Row],[Ежем доход]]</f>
        <v>0.36499668930551088</v>
      </c>
      <c r="Y897" s="3"/>
      <c r="Z897" s="3"/>
      <c r="AA897" s="3"/>
      <c r="AB897" s="3"/>
    </row>
    <row r="898" spans="1:28" x14ac:dyDescent="0.2">
      <c r="A898">
        <v>256</v>
      </c>
      <c r="B898" t="s">
        <v>298</v>
      </c>
      <c r="C898" t="s">
        <v>35</v>
      </c>
      <c r="D898" t="s">
        <v>19</v>
      </c>
      <c r="E898" t="s">
        <v>24</v>
      </c>
      <c r="F898" t="s">
        <v>21</v>
      </c>
      <c r="G898" t="s">
        <v>25</v>
      </c>
      <c r="H898" s="1">
        <v>448404</v>
      </c>
      <c r="I898" s="3">
        <v>746</v>
      </c>
      <c r="J898" s="3">
        <v>1166220</v>
      </c>
      <c r="K898" s="3">
        <v>19339.72</v>
      </c>
      <c r="L898" s="2">
        <v>14.9</v>
      </c>
      <c r="M898" s="11">
        <v>20</v>
      </c>
      <c r="N898" s="3">
        <v>17</v>
      </c>
      <c r="O898" s="3">
        <v>306907</v>
      </c>
      <c r="P898" s="3">
        <v>504064</v>
      </c>
      <c r="Q898" s="10">
        <v>0</v>
      </c>
      <c r="R898" s="3">
        <f>(Таблица1[Размер кредита]-$AA$2)/$AA$3</f>
        <v>0.79028133645336263</v>
      </c>
      <c r="S898" s="3">
        <f>(Таблица1[Кредитный рейтинг]-$AA$7)/($AA$8-$AA$7)</f>
        <v>0.99334221038615178</v>
      </c>
      <c r="T898" s="3">
        <f>(Таблица1[Срок с последнего нарушения кредитного договора (мес,)]-$AA$12)/($AA$13-$AA$12)</f>
        <v>0.22727272727272727</v>
      </c>
      <c r="U898" s="3">
        <f>(Таблица1[Количество кредитных карт]-$AA$18)/($AA$19-$AA$18)</f>
        <v>0.38095238095238093</v>
      </c>
      <c r="V898" s="3">
        <f>(Таблица1[Число нарушений кредитных договоров]-$AA$23)/($AA$24-$AA$23)</f>
        <v>0</v>
      </c>
      <c r="W898" s="3">
        <f>Таблица1[[#This Row],[Годовой доход]]/12</f>
        <v>97185</v>
      </c>
      <c r="X898" s="3">
        <f>Таблица1[[#This Row],[Ежемесячный платеж]]/Таблица1[[#This Row],[Ежем доход]]</f>
        <v>0.19899902248289347</v>
      </c>
      <c r="Y898" s="3"/>
      <c r="Z898" s="3"/>
      <c r="AA898" s="3"/>
      <c r="AB898" s="3"/>
    </row>
    <row r="899" spans="1:28" x14ac:dyDescent="0.2">
      <c r="A899">
        <v>1490</v>
      </c>
      <c r="B899" t="s">
        <v>1529</v>
      </c>
      <c r="C899" t="s">
        <v>18</v>
      </c>
      <c r="D899" t="s">
        <v>19</v>
      </c>
      <c r="E899" t="s">
        <v>41</v>
      </c>
      <c r="F899" t="s">
        <v>33</v>
      </c>
      <c r="G899" t="s">
        <v>22</v>
      </c>
      <c r="H899" s="1">
        <v>309594.52439999999</v>
      </c>
      <c r="I899" s="3">
        <v>720</v>
      </c>
      <c r="J899" s="3">
        <v>1977748</v>
      </c>
      <c r="K899" s="3">
        <v>6295.84</v>
      </c>
      <c r="L899" s="2">
        <v>15.7</v>
      </c>
      <c r="M899" s="11">
        <v>35.265240640000002</v>
      </c>
      <c r="N899" s="3">
        <v>13</v>
      </c>
      <c r="O899" s="3">
        <v>151506</v>
      </c>
      <c r="P899" s="3">
        <v>504064</v>
      </c>
      <c r="Q899" s="10">
        <v>1</v>
      </c>
      <c r="R899" s="3">
        <f>(Таблица1[Размер кредита]-$AA$2)/$AA$3</f>
        <v>-1.2411115481956205E-10</v>
      </c>
      <c r="S899" s="3">
        <f>(Таблица1[Кредитный рейтинг]-$AA$7)/($AA$8-$AA$7)</f>
        <v>0.95872170439414117</v>
      </c>
      <c r="T899" s="3">
        <f>(Таблица1[Срок с последнего нарушения кредитного договора (мес,)]-$AA$12)/($AA$13-$AA$12)</f>
        <v>0.40074137090909095</v>
      </c>
      <c r="U899" s="3">
        <f>(Таблица1[Количество кредитных карт]-$AA$18)/($AA$19-$AA$18)</f>
        <v>0.2857142857142857</v>
      </c>
      <c r="V899" s="3">
        <f>(Таблица1[Число нарушений кредитных договоров]-$AA$23)/($AA$24-$AA$23)</f>
        <v>0.14285714285714285</v>
      </c>
      <c r="W899" s="3">
        <f>Таблица1[[#This Row],[Годовой доход]]/12</f>
        <v>164812.33333333334</v>
      </c>
      <c r="X899" s="3">
        <f>Таблица1[[#This Row],[Ежемесячный платеж]]/Таблица1[[#This Row],[Ежем доход]]</f>
        <v>3.8200053798562811E-2</v>
      </c>
      <c r="Y899" s="3"/>
      <c r="Z899" s="3"/>
      <c r="AA899" s="3"/>
      <c r="AB899" s="3"/>
    </row>
    <row r="900" spans="1:28" x14ac:dyDescent="0.2">
      <c r="A900">
        <v>1219</v>
      </c>
      <c r="B900" t="s">
        <v>1258</v>
      </c>
      <c r="C900" t="s">
        <v>18</v>
      </c>
      <c r="D900" t="s">
        <v>19</v>
      </c>
      <c r="E900" t="s">
        <v>69</v>
      </c>
      <c r="F900" t="s">
        <v>27</v>
      </c>
      <c r="G900" t="s">
        <v>25</v>
      </c>
      <c r="H900" s="1">
        <v>548174</v>
      </c>
      <c r="I900" s="3">
        <v>663</v>
      </c>
      <c r="J900" s="3">
        <v>3467557</v>
      </c>
      <c r="K900" s="3">
        <v>24272.880000000001</v>
      </c>
      <c r="L900" s="2">
        <v>14</v>
      </c>
      <c r="M900" s="11">
        <v>39</v>
      </c>
      <c r="N900" s="3">
        <v>14</v>
      </c>
      <c r="O900" s="3">
        <v>222300</v>
      </c>
      <c r="P900" s="3">
        <v>503734</v>
      </c>
      <c r="Q900" s="10">
        <v>0</v>
      </c>
      <c r="R900" s="3">
        <f>(Таблица1[Размер кредита]-$AA$2)/$AA$3</f>
        <v>1.3582999721374422</v>
      </c>
      <c r="S900" s="3">
        <f>(Таблица1[Кредитный рейтинг]-$AA$7)/($AA$8-$AA$7)</f>
        <v>0.88282290279627162</v>
      </c>
      <c r="T900" s="3">
        <f>(Таблица1[Срок с последнего нарушения кредитного договора (мес,)]-$AA$12)/($AA$13-$AA$12)</f>
        <v>0.44318181818181818</v>
      </c>
      <c r="U900" s="3">
        <f>(Таблица1[Количество кредитных карт]-$AA$18)/($AA$19-$AA$18)</f>
        <v>0.30952380952380953</v>
      </c>
      <c r="V900" s="3">
        <f>(Таблица1[Число нарушений кредитных договоров]-$AA$23)/($AA$24-$AA$23)</f>
        <v>0</v>
      </c>
      <c r="W900" s="3">
        <f>Таблица1[[#This Row],[Годовой доход]]/12</f>
        <v>288963.08333333331</v>
      </c>
      <c r="X900" s="3">
        <f>Таблица1[[#This Row],[Ежемесячный платеж]]/Таблица1[[#This Row],[Ежем доход]]</f>
        <v>8.3999934247656213E-2</v>
      </c>
      <c r="Y900" s="3"/>
      <c r="Z900" s="3"/>
      <c r="AA900" s="3"/>
      <c r="AB900" s="3"/>
    </row>
    <row r="901" spans="1:28" x14ac:dyDescent="0.2">
      <c r="A901">
        <v>345</v>
      </c>
      <c r="B901" t="s">
        <v>387</v>
      </c>
      <c r="C901" t="s">
        <v>35</v>
      </c>
      <c r="D901" t="s">
        <v>19</v>
      </c>
      <c r="E901" t="s">
        <v>24</v>
      </c>
      <c r="F901" t="s">
        <v>21</v>
      </c>
      <c r="G901" t="s">
        <v>25</v>
      </c>
      <c r="H901" s="1">
        <v>447656</v>
      </c>
      <c r="I901" s="3">
        <v>732</v>
      </c>
      <c r="J901" s="3">
        <v>1585113</v>
      </c>
      <c r="K901" s="3">
        <v>20342.16</v>
      </c>
      <c r="L901" s="2">
        <v>17.399999999999999</v>
      </c>
      <c r="M901" s="11">
        <v>35.265240640000002</v>
      </c>
      <c r="N901" s="3">
        <v>8</v>
      </c>
      <c r="O901" s="3">
        <v>309054</v>
      </c>
      <c r="P901" s="3">
        <v>503316</v>
      </c>
      <c r="Q901" s="10">
        <v>0</v>
      </c>
      <c r="R901" s="3">
        <f>(Таблица1[Размер кредита]-$AA$2)/$AA$3</f>
        <v>0.7860227623379803</v>
      </c>
      <c r="S901" s="3">
        <f>(Таблица1[Кредитный рейтинг]-$AA$7)/($AA$8-$AA$7)</f>
        <v>0.97470039946737685</v>
      </c>
      <c r="T901" s="3">
        <f>(Таблица1[Срок с последнего нарушения кредитного договора (мес,)]-$AA$12)/($AA$13-$AA$12)</f>
        <v>0.40074137090909095</v>
      </c>
      <c r="U901" s="3">
        <f>(Таблица1[Количество кредитных карт]-$AA$18)/($AA$19-$AA$18)</f>
        <v>0.16666666666666666</v>
      </c>
      <c r="V901" s="3">
        <f>(Таблица1[Число нарушений кредитных договоров]-$AA$23)/($AA$24-$AA$23)</f>
        <v>0</v>
      </c>
      <c r="W901" s="3">
        <f>Таблица1[[#This Row],[Годовой доход]]/12</f>
        <v>132092.75</v>
      </c>
      <c r="X901" s="3">
        <f>Таблица1[[#This Row],[Ежемесячный платеж]]/Таблица1[[#This Row],[Ежем доход]]</f>
        <v>0.15399906505088282</v>
      </c>
      <c r="Y901" s="3"/>
      <c r="Z901" s="3"/>
      <c r="AA901" s="3"/>
      <c r="AB901" s="3"/>
    </row>
    <row r="902" spans="1:28" x14ac:dyDescent="0.2">
      <c r="A902">
        <v>871</v>
      </c>
      <c r="B902" t="s">
        <v>912</v>
      </c>
      <c r="C902" t="s">
        <v>18</v>
      </c>
      <c r="D902" t="s">
        <v>29</v>
      </c>
      <c r="E902" t="s">
        <v>24</v>
      </c>
      <c r="F902" t="s">
        <v>21</v>
      </c>
      <c r="G902" t="s">
        <v>22</v>
      </c>
      <c r="H902" s="1">
        <v>590414</v>
      </c>
      <c r="I902" s="3">
        <v>692</v>
      </c>
      <c r="J902" s="3">
        <v>1243645</v>
      </c>
      <c r="K902" s="3">
        <v>4186.84</v>
      </c>
      <c r="L902" s="2">
        <v>20.8</v>
      </c>
      <c r="M902" s="11">
        <v>35.265240640000002</v>
      </c>
      <c r="N902" s="3">
        <v>10</v>
      </c>
      <c r="O902" s="3">
        <v>94145</v>
      </c>
      <c r="P902" s="3">
        <v>502392</v>
      </c>
      <c r="Q902" s="10">
        <v>1</v>
      </c>
      <c r="R902" s="3">
        <f>(Таблица1[Размер кредита]-$AA$2)/$AA$3</f>
        <v>1.5987841574766779</v>
      </c>
      <c r="S902" s="3">
        <f>(Таблица1[Кредитный рейтинг]-$AA$7)/($AA$8-$AA$7)</f>
        <v>0.92143808255659121</v>
      </c>
      <c r="T902" s="3">
        <f>(Таблица1[Срок с последнего нарушения кредитного договора (мес,)]-$AA$12)/($AA$13-$AA$12)</f>
        <v>0.40074137090909095</v>
      </c>
      <c r="U902" s="3">
        <f>(Таблица1[Количество кредитных карт]-$AA$18)/($AA$19-$AA$18)</f>
        <v>0.21428571428571427</v>
      </c>
      <c r="V902" s="3">
        <f>(Таблица1[Число нарушений кредитных договоров]-$AA$23)/($AA$24-$AA$23)</f>
        <v>0.14285714285714285</v>
      </c>
      <c r="W902" s="3">
        <f>Таблица1[[#This Row],[Годовой доход]]/12</f>
        <v>103637.08333333333</v>
      </c>
      <c r="X902" s="3">
        <f>Таблица1[[#This Row],[Ежемесячный платеж]]/Таблица1[[#This Row],[Ежем доход]]</f>
        <v>4.0399052784355668E-2</v>
      </c>
      <c r="Y902" s="3"/>
      <c r="Z902" s="3"/>
      <c r="AA902" s="3"/>
      <c r="AB902" s="3"/>
    </row>
    <row r="903" spans="1:28" x14ac:dyDescent="0.2">
      <c r="A903">
        <v>1259</v>
      </c>
      <c r="B903" t="s">
        <v>1298</v>
      </c>
      <c r="C903" t="s">
        <v>18</v>
      </c>
      <c r="D903" t="s">
        <v>19</v>
      </c>
      <c r="E903" t="s">
        <v>63</v>
      </c>
      <c r="F903" t="s">
        <v>33</v>
      </c>
      <c r="G903" t="s">
        <v>67</v>
      </c>
      <c r="H903" s="1">
        <v>35816</v>
      </c>
      <c r="I903" s="3">
        <v>720</v>
      </c>
      <c r="J903" s="3">
        <v>1198501</v>
      </c>
      <c r="K903" s="3">
        <v>20074.830000000002</v>
      </c>
      <c r="L903" s="2">
        <v>13.5</v>
      </c>
      <c r="M903" s="11">
        <v>35.265240640000002</v>
      </c>
      <c r="N903" s="3">
        <v>13</v>
      </c>
      <c r="O903" s="3">
        <v>413098</v>
      </c>
      <c r="P903" s="3">
        <v>501380</v>
      </c>
      <c r="Q903" s="10">
        <v>0</v>
      </c>
      <c r="R903" s="3">
        <f>(Таблица1[Размер кредита]-$AA$2)/$AA$3</f>
        <v>-1.558698044719566</v>
      </c>
      <c r="S903" s="3">
        <f>(Таблица1[Кредитный рейтинг]-$AA$7)/($AA$8-$AA$7)</f>
        <v>0.95872170439414117</v>
      </c>
      <c r="T903" s="3">
        <f>(Таблица1[Срок с последнего нарушения кредитного договора (мес,)]-$AA$12)/($AA$13-$AA$12)</f>
        <v>0.40074137090909095</v>
      </c>
      <c r="U903" s="3">
        <f>(Таблица1[Количество кредитных карт]-$AA$18)/($AA$19-$AA$18)</f>
        <v>0.2857142857142857</v>
      </c>
      <c r="V903" s="3">
        <f>(Таблица1[Число нарушений кредитных договоров]-$AA$23)/($AA$24-$AA$23)</f>
        <v>0</v>
      </c>
      <c r="W903" s="3">
        <f>Таблица1[[#This Row],[Годовой доход]]/12</f>
        <v>99875.083333333328</v>
      </c>
      <c r="X903" s="3">
        <f>Таблица1[[#This Row],[Ежемесячный платеж]]/Таблица1[[#This Row],[Ежем доход]]</f>
        <v>0.20099938172767484</v>
      </c>
      <c r="Y903" s="3"/>
      <c r="Z903" s="3"/>
      <c r="AA903" s="3"/>
      <c r="AB903" s="3"/>
    </row>
    <row r="904" spans="1:28" x14ac:dyDescent="0.2">
      <c r="A904">
        <v>863</v>
      </c>
      <c r="B904" t="s">
        <v>904</v>
      </c>
      <c r="C904" t="s">
        <v>18</v>
      </c>
      <c r="D904" t="s">
        <v>19</v>
      </c>
      <c r="E904" t="s">
        <v>20</v>
      </c>
      <c r="F904" t="s">
        <v>21</v>
      </c>
      <c r="G904" t="s">
        <v>25</v>
      </c>
      <c r="H904" s="1">
        <v>171644</v>
      </c>
      <c r="I904" s="3">
        <v>0</v>
      </c>
      <c r="J904" s="3">
        <v>1168044</v>
      </c>
      <c r="K904" s="3">
        <v>17454.349999999999</v>
      </c>
      <c r="L904" s="2">
        <v>10</v>
      </c>
      <c r="M904" s="11">
        <v>35</v>
      </c>
      <c r="N904" s="3">
        <v>11</v>
      </c>
      <c r="O904" s="3">
        <v>152551</v>
      </c>
      <c r="P904" s="3">
        <v>500368</v>
      </c>
      <c r="Q904" s="10">
        <v>0</v>
      </c>
      <c r="R904" s="3">
        <f>(Таблица1[Размер кредита]-$AA$2)/$AA$3</f>
        <v>-0.78539108623808673</v>
      </c>
      <c r="S904" s="3">
        <f>(Таблица1[Кредитный рейтинг]-$AA$7)/($AA$8-$AA$7)</f>
        <v>0</v>
      </c>
      <c r="T904" s="3">
        <f>(Таблица1[Срок с последнего нарушения кредитного договора (мес,)]-$AA$12)/($AA$13-$AA$12)</f>
        <v>0.39772727272727271</v>
      </c>
      <c r="U904" s="3">
        <f>(Таблица1[Количество кредитных карт]-$AA$18)/($AA$19-$AA$18)</f>
        <v>0.23809523809523808</v>
      </c>
      <c r="V904" s="3">
        <f>(Таблица1[Число нарушений кредитных договоров]-$AA$23)/($AA$24-$AA$23)</f>
        <v>0</v>
      </c>
      <c r="W904" s="3">
        <f>Таблица1[[#This Row],[Годовой доход]]/12</f>
        <v>97337</v>
      </c>
      <c r="X904" s="3">
        <f>Таблица1[[#This Row],[Ежемесячный платеж]]/Таблица1[[#This Row],[Ежем доход]]</f>
        <v>0.17931875853991799</v>
      </c>
      <c r="Y904" s="3"/>
      <c r="Z904" s="3"/>
      <c r="AA904" s="3"/>
      <c r="AB904" s="3"/>
    </row>
    <row r="905" spans="1:28" x14ac:dyDescent="0.2">
      <c r="A905">
        <v>1002</v>
      </c>
      <c r="B905" t="s">
        <v>1042</v>
      </c>
      <c r="C905" t="s">
        <v>18</v>
      </c>
      <c r="D905" t="s">
        <v>19</v>
      </c>
      <c r="E905" t="s">
        <v>30</v>
      </c>
      <c r="F905" t="s">
        <v>33</v>
      </c>
      <c r="G905" t="s">
        <v>25</v>
      </c>
      <c r="H905" s="1">
        <v>274274</v>
      </c>
      <c r="I905" s="3">
        <v>747</v>
      </c>
      <c r="J905" s="3">
        <v>1540672</v>
      </c>
      <c r="K905" s="3">
        <v>8640.6299999999992</v>
      </c>
      <c r="L905" s="2">
        <v>7.8</v>
      </c>
      <c r="M905" s="11">
        <v>35.265240640000002</v>
      </c>
      <c r="N905" s="3">
        <v>10</v>
      </c>
      <c r="O905" s="3">
        <v>104538</v>
      </c>
      <c r="P905" s="3">
        <v>500170</v>
      </c>
      <c r="Q905" s="10">
        <v>0</v>
      </c>
      <c r="R905" s="3">
        <f>(Таблица1[Размер кредита]-$AA$2)/$AA$3</f>
        <v>-0.20108966717166299</v>
      </c>
      <c r="S905" s="3">
        <f>(Таблица1[Кредитный рейтинг]-$AA$7)/($AA$8-$AA$7)</f>
        <v>0.9946737683089214</v>
      </c>
      <c r="T905" s="3">
        <f>(Таблица1[Срок с последнего нарушения кредитного договора (мес,)]-$AA$12)/($AA$13-$AA$12)</f>
        <v>0.40074137090909095</v>
      </c>
      <c r="U905" s="3">
        <f>(Таблица1[Количество кредитных карт]-$AA$18)/($AA$19-$AA$18)</f>
        <v>0.21428571428571427</v>
      </c>
      <c r="V905" s="3">
        <f>(Таблица1[Число нарушений кредитных договоров]-$AA$23)/($AA$24-$AA$23)</f>
        <v>0</v>
      </c>
      <c r="W905" s="3">
        <f>Таблица1[[#This Row],[Годовой доход]]/12</f>
        <v>128389.33333333333</v>
      </c>
      <c r="X905" s="3">
        <f>Таблица1[[#This Row],[Ежемесячный платеж]]/Таблица1[[#This Row],[Ежем доход]]</f>
        <v>6.7300217048145219E-2</v>
      </c>
      <c r="Y905" s="3"/>
      <c r="Z905" s="3"/>
      <c r="AA905" s="3"/>
      <c r="AB905" s="3"/>
    </row>
    <row r="906" spans="1:28" x14ac:dyDescent="0.2">
      <c r="A906">
        <v>587</v>
      </c>
      <c r="B906" t="s">
        <v>628</v>
      </c>
      <c r="C906" t="s">
        <v>18</v>
      </c>
      <c r="D906" t="s">
        <v>29</v>
      </c>
      <c r="E906" t="s">
        <v>24</v>
      </c>
      <c r="F906" t="s">
        <v>33</v>
      </c>
      <c r="G906" t="s">
        <v>25</v>
      </c>
      <c r="H906" s="1">
        <v>316998</v>
      </c>
      <c r="I906" s="3">
        <v>702</v>
      </c>
      <c r="J906" s="3">
        <v>836494</v>
      </c>
      <c r="K906" s="3">
        <v>19936.7</v>
      </c>
      <c r="L906" s="2">
        <v>25.6</v>
      </c>
      <c r="M906" s="11">
        <v>35.265240640000002</v>
      </c>
      <c r="N906" s="3">
        <v>17</v>
      </c>
      <c r="O906" s="3">
        <v>293778</v>
      </c>
      <c r="P906" s="3">
        <v>499532</v>
      </c>
      <c r="Q906" s="10">
        <v>0</v>
      </c>
      <c r="R906" s="3">
        <f>(Таблица1[Размер кредита]-$AA$2)/$AA$3</f>
        <v>4.2150066124584613E-2</v>
      </c>
      <c r="S906" s="3">
        <f>(Таблица1[Кредитный рейтинг]-$AA$7)/($AA$8-$AA$7)</f>
        <v>0.93475366178428765</v>
      </c>
      <c r="T906" s="3">
        <f>(Таблица1[Срок с последнего нарушения кредитного договора (мес,)]-$AA$12)/($AA$13-$AA$12)</f>
        <v>0.40074137090909095</v>
      </c>
      <c r="U906" s="3">
        <f>(Таблица1[Количество кредитных карт]-$AA$18)/($AA$19-$AA$18)</f>
        <v>0.38095238095238093</v>
      </c>
      <c r="V906" s="3">
        <f>(Таблица1[Число нарушений кредитных договоров]-$AA$23)/($AA$24-$AA$23)</f>
        <v>0</v>
      </c>
      <c r="W906" s="3">
        <f>Таблица1[[#This Row],[Годовой доход]]/12</f>
        <v>69707.833333333328</v>
      </c>
      <c r="X906" s="3">
        <f>Таблица1[[#This Row],[Ежемесячный платеж]]/Таблица1[[#This Row],[Ежем доход]]</f>
        <v>0.28600372507154864</v>
      </c>
      <c r="Y906" s="3"/>
      <c r="Z906" s="3"/>
      <c r="AA906" s="3"/>
      <c r="AB906" s="3"/>
    </row>
    <row r="907" spans="1:28" x14ac:dyDescent="0.2">
      <c r="A907">
        <v>1595</v>
      </c>
      <c r="B907" t="s">
        <v>1634</v>
      </c>
      <c r="C907" t="s">
        <v>18</v>
      </c>
      <c r="D907" t="s">
        <v>29</v>
      </c>
      <c r="E907" t="s">
        <v>69</v>
      </c>
      <c r="F907" t="s">
        <v>33</v>
      </c>
      <c r="G907" t="s">
        <v>25</v>
      </c>
      <c r="H907" s="1">
        <v>309594.52439999999</v>
      </c>
      <c r="I907" s="3">
        <v>738</v>
      </c>
      <c r="J907" s="3">
        <v>1576620</v>
      </c>
      <c r="K907" s="3">
        <v>24384.98</v>
      </c>
      <c r="L907" s="2">
        <v>12.6</v>
      </c>
      <c r="M907" s="11">
        <v>35.265240640000002</v>
      </c>
      <c r="N907" s="3">
        <v>11</v>
      </c>
      <c r="O907" s="3">
        <v>87970</v>
      </c>
      <c r="P907" s="3">
        <v>499290</v>
      </c>
      <c r="Q907" s="10">
        <v>0</v>
      </c>
      <c r="R907" s="3">
        <f>(Таблица1[Размер кредита]-$AA$2)/$AA$3</f>
        <v>-1.2411115481956205E-10</v>
      </c>
      <c r="S907" s="3">
        <f>(Таблица1[Кредитный рейтинг]-$AA$7)/($AA$8-$AA$7)</f>
        <v>0.9826897470039947</v>
      </c>
      <c r="T907" s="3">
        <f>(Таблица1[Срок с последнего нарушения кредитного договора (мес,)]-$AA$12)/($AA$13-$AA$12)</f>
        <v>0.40074137090909095</v>
      </c>
      <c r="U907" s="3">
        <f>(Таблица1[Количество кредитных карт]-$AA$18)/($AA$19-$AA$18)</f>
        <v>0.23809523809523808</v>
      </c>
      <c r="V907" s="3">
        <f>(Таблица1[Число нарушений кредитных договоров]-$AA$23)/($AA$24-$AA$23)</f>
        <v>0</v>
      </c>
      <c r="W907" s="3">
        <f>Таблица1[[#This Row],[Годовой доход]]/12</f>
        <v>131385</v>
      </c>
      <c r="X907" s="3">
        <f>Таблица1[[#This Row],[Ежемесячный платеж]]/Таблица1[[#This Row],[Ежем доход]]</f>
        <v>0.18559942154736081</v>
      </c>
      <c r="Y907" s="3"/>
      <c r="Z907" s="3"/>
      <c r="AA907" s="3"/>
      <c r="AB907" s="3"/>
    </row>
    <row r="908" spans="1:28" x14ac:dyDescent="0.2">
      <c r="A908">
        <v>1750</v>
      </c>
      <c r="B908" t="s">
        <v>1788</v>
      </c>
      <c r="C908" t="s">
        <v>35</v>
      </c>
      <c r="D908" t="s">
        <v>19</v>
      </c>
      <c r="E908" t="s">
        <v>47</v>
      </c>
      <c r="F908" t="s">
        <v>33</v>
      </c>
      <c r="G908" t="s">
        <v>25</v>
      </c>
      <c r="H908" s="1">
        <v>554510</v>
      </c>
      <c r="I908" s="3">
        <v>732</v>
      </c>
      <c r="J908" s="3">
        <v>1877181</v>
      </c>
      <c r="K908" s="3">
        <v>27688.32</v>
      </c>
      <c r="L908" s="2">
        <v>13.6</v>
      </c>
      <c r="M908" s="11">
        <v>35.265240640000002</v>
      </c>
      <c r="N908" s="3">
        <v>10</v>
      </c>
      <c r="O908" s="3">
        <v>331854</v>
      </c>
      <c r="P908" s="3">
        <v>499026</v>
      </c>
      <c r="Q908" s="10">
        <v>0</v>
      </c>
      <c r="R908" s="3">
        <f>(Таблица1[Размер кредита]-$AA$2)/$AA$3</f>
        <v>1.3943725999383276</v>
      </c>
      <c r="S908" s="3">
        <f>(Таблица1[Кредитный рейтинг]-$AA$7)/($AA$8-$AA$7)</f>
        <v>0.97470039946737685</v>
      </c>
      <c r="T908" s="3">
        <f>(Таблица1[Срок с последнего нарушения кредитного договора (мес,)]-$AA$12)/($AA$13-$AA$12)</f>
        <v>0.40074137090909095</v>
      </c>
      <c r="U908" s="3">
        <f>(Таблица1[Количество кредитных карт]-$AA$18)/($AA$19-$AA$18)</f>
        <v>0.21428571428571427</v>
      </c>
      <c r="V908" s="3">
        <f>(Таблица1[Число нарушений кредитных договоров]-$AA$23)/($AA$24-$AA$23)</f>
        <v>0</v>
      </c>
      <c r="W908" s="3">
        <f>Таблица1[[#This Row],[Годовой доход]]/12</f>
        <v>156431.75</v>
      </c>
      <c r="X908" s="3">
        <f>Таблица1[[#This Row],[Ежемесячный платеж]]/Таблица1[[#This Row],[Ежем доход]]</f>
        <v>0.17699936234172411</v>
      </c>
      <c r="Y908" s="3"/>
      <c r="Z908" s="3"/>
      <c r="AA908" s="3"/>
      <c r="AB908" s="3"/>
    </row>
    <row r="909" spans="1:28" x14ac:dyDescent="0.2">
      <c r="A909">
        <v>183</v>
      </c>
      <c r="B909" t="s">
        <v>225</v>
      </c>
      <c r="C909" t="s">
        <v>18</v>
      </c>
      <c r="D909" t="s">
        <v>19</v>
      </c>
      <c r="E909" t="s">
        <v>24</v>
      </c>
      <c r="F909" t="s">
        <v>21</v>
      </c>
      <c r="G909" t="s">
        <v>25</v>
      </c>
      <c r="H909" s="1">
        <v>332706</v>
      </c>
      <c r="I909" s="3">
        <v>735</v>
      </c>
      <c r="J909" s="3">
        <v>957790</v>
      </c>
      <c r="K909" s="3">
        <v>10855.08</v>
      </c>
      <c r="L909" s="2">
        <v>6.6</v>
      </c>
      <c r="M909" s="11">
        <v>35.265240640000002</v>
      </c>
      <c r="N909" s="3">
        <v>9</v>
      </c>
      <c r="O909" s="3">
        <v>220571</v>
      </c>
      <c r="P909" s="3">
        <v>498828</v>
      </c>
      <c r="Q909" s="10">
        <v>0</v>
      </c>
      <c r="R909" s="3">
        <f>(Таблица1[Размер кредита]-$AA$2)/$AA$3</f>
        <v>0.13158012254761281</v>
      </c>
      <c r="S909" s="3">
        <f>(Таблица1[Кредитный рейтинг]-$AA$7)/($AA$8-$AA$7)</f>
        <v>0.97869507323568572</v>
      </c>
      <c r="T909" s="3">
        <f>(Таблица1[Срок с последнего нарушения кредитного договора (мес,)]-$AA$12)/($AA$13-$AA$12)</f>
        <v>0.40074137090909095</v>
      </c>
      <c r="U909" s="3">
        <f>(Таблица1[Количество кредитных карт]-$AA$18)/($AA$19-$AA$18)</f>
        <v>0.19047619047619047</v>
      </c>
      <c r="V909" s="3">
        <f>(Таблица1[Число нарушений кредитных договоров]-$AA$23)/($AA$24-$AA$23)</f>
        <v>0</v>
      </c>
      <c r="W909" s="3">
        <f>Таблица1[[#This Row],[Годовой доход]]/12</f>
        <v>79815.833333333328</v>
      </c>
      <c r="X909" s="3">
        <f>Таблица1[[#This Row],[Ежемесячный платеж]]/Таблица1[[#This Row],[Ежем доход]]</f>
        <v>0.136001586986709</v>
      </c>
      <c r="Y909" s="3"/>
      <c r="Z909" s="3"/>
      <c r="AA909" s="3"/>
      <c r="AB909" s="3"/>
    </row>
    <row r="910" spans="1:28" x14ac:dyDescent="0.2">
      <c r="A910">
        <v>401</v>
      </c>
      <c r="B910" t="s">
        <v>443</v>
      </c>
      <c r="C910" t="s">
        <v>18</v>
      </c>
      <c r="D910" t="s">
        <v>19</v>
      </c>
      <c r="E910" t="s">
        <v>52</v>
      </c>
      <c r="F910" t="s">
        <v>33</v>
      </c>
      <c r="G910" t="s">
        <v>25</v>
      </c>
      <c r="H910" s="1">
        <v>178882</v>
      </c>
      <c r="I910" s="3">
        <v>0</v>
      </c>
      <c r="J910" s="3">
        <v>1168044</v>
      </c>
      <c r="K910" s="3">
        <v>8535.75</v>
      </c>
      <c r="L910" s="2">
        <v>8</v>
      </c>
      <c r="M910" s="11">
        <v>35.265240640000002</v>
      </c>
      <c r="N910" s="3">
        <v>20</v>
      </c>
      <c r="O910" s="3">
        <v>129637</v>
      </c>
      <c r="P910" s="3">
        <v>498696</v>
      </c>
      <c r="Q910" s="10">
        <v>0</v>
      </c>
      <c r="R910" s="3">
        <f>(Таблица1[Размер кредита]-$AA$2)/$AA$3</f>
        <v>-0.7441831190627699</v>
      </c>
      <c r="S910" s="3">
        <f>(Таблица1[Кредитный рейтинг]-$AA$7)/($AA$8-$AA$7)</f>
        <v>0</v>
      </c>
      <c r="T910" s="3">
        <f>(Таблица1[Срок с последнего нарушения кредитного договора (мес,)]-$AA$12)/($AA$13-$AA$12)</f>
        <v>0.40074137090909095</v>
      </c>
      <c r="U910" s="3">
        <f>(Таблица1[Количество кредитных карт]-$AA$18)/($AA$19-$AA$18)</f>
        <v>0.45238095238095238</v>
      </c>
      <c r="V910" s="3">
        <f>(Таблица1[Число нарушений кредитных договоров]-$AA$23)/($AA$24-$AA$23)</f>
        <v>0</v>
      </c>
      <c r="W910" s="3">
        <f>Таблица1[[#This Row],[Годовой доход]]/12</f>
        <v>97337</v>
      </c>
      <c r="X910" s="3">
        <f>Таблица1[[#This Row],[Ежемесячный платеж]]/Таблица1[[#This Row],[Ежем доход]]</f>
        <v>8.7692758149521766E-2</v>
      </c>
      <c r="Y910" s="3"/>
      <c r="Z910" s="3"/>
      <c r="AA910" s="3"/>
      <c r="AB910" s="3"/>
    </row>
    <row r="911" spans="1:28" x14ac:dyDescent="0.2">
      <c r="A911">
        <v>1795</v>
      </c>
      <c r="B911" t="s">
        <v>1833</v>
      </c>
      <c r="C911" t="s">
        <v>18</v>
      </c>
      <c r="D911" t="s">
        <v>29</v>
      </c>
      <c r="E911" t="s">
        <v>24</v>
      </c>
      <c r="F911" t="s">
        <v>33</v>
      </c>
      <c r="G911" t="s">
        <v>25</v>
      </c>
      <c r="H911" s="1">
        <v>436876</v>
      </c>
      <c r="I911" s="3">
        <v>721</v>
      </c>
      <c r="J911" s="3">
        <v>886654</v>
      </c>
      <c r="K911" s="3">
        <v>11305</v>
      </c>
      <c r="L911" s="2">
        <v>25.5</v>
      </c>
      <c r="M911" s="11">
        <v>54</v>
      </c>
      <c r="N911" s="3">
        <v>10</v>
      </c>
      <c r="O911" s="3">
        <v>364667</v>
      </c>
      <c r="P911" s="3">
        <v>497926</v>
      </c>
      <c r="Q911" s="10">
        <v>1</v>
      </c>
      <c r="R911" s="3">
        <f>(Таблица1[Размер кредита]-$AA$2)/$AA$3</f>
        <v>0.72464919420452956</v>
      </c>
      <c r="S911" s="3">
        <f>(Таблица1[Кредитный рейтинг]-$AA$7)/($AA$8-$AA$7)</f>
        <v>0.96005326231691079</v>
      </c>
      <c r="T911" s="3">
        <f>(Таблица1[Срок с последнего нарушения кредитного договора (мес,)]-$AA$12)/($AA$13-$AA$12)</f>
        <v>0.61363636363636365</v>
      </c>
      <c r="U911" s="3">
        <f>(Таблица1[Количество кредитных карт]-$AA$18)/($AA$19-$AA$18)</f>
        <v>0.21428571428571427</v>
      </c>
      <c r="V911" s="3">
        <f>(Таблица1[Число нарушений кредитных договоров]-$AA$23)/($AA$24-$AA$23)</f>
        <v>0.14285714285714285</v>
      </c>
      <c r="W911" s="3">
        <f>Таблица1[[#This Row],[Годовой доход]]/12</f>
        <v>73887.833333333328</v>
      </c>
      <c r="X911" s="3">
        <f>Таблица1[[#This Row],[Ежемесячный платеж]]/Таблица1[[#This Row],[Ежем доход]]</f>
        <v>0.15300218574551067</v>
      </c>
      <c r="Y911" s="3"/>
      <c r="Z911" s="3"/>
      <c r="AA911" s="3"/>
      <c r="AB911" s="3"/>
    </row>
    <row r="912" spans="1:28" x14ac:dyDescent="0.2">
      <c r="A912">
        <v>180</v>
      </c>
      <c r="B912" t="s">
        <v>222</v>
      </c>
      <c r="C912" t="s">
        <v>18</v>
      </c>
      <c r="D912" t="s">
        <v>19</v>
      </c>
      <c r="E912" t="s">
        <v>24</v>
      </c>
      <c r="F912" t="s">
        <v>21</v>
      </c>
      <c r="G912" t="s">
        <v>22</v>
      </c>
      <c r="H912" s="1">
        <v>309594.52439999999</v>
      </c>
      <c r="I912" s="3">
        <v>743</v>
      </c>
      <c r="J912" s="3">
        <v>756352</v>
      </c>
      <c r="K912" s="3">
        <v>11849.54</v>
      </c>
      <c r="L912" s="2">
        <v>18.399999999999999</v>
      </c>
      <c r="M912" s="11">
        <v>35.265240640000002</v>
      </c>
      <c r="N912" s="3">
        <v>9</v>
      </c>
      <c r="O912" s="3">
        <v>46341</v>
      </c>
      <c r="P912" s="3">
        <v>496870</v>
      </c>
      <c r="Q912" s="10">
        <v>1</v>
      </c>
      <c r="R912" s="3">
        <f>(Таблица1[Размер кредита]-$AA$2)/$AA$3</f>
        <v>-1.2411115481956205E-10</v>
      </c>
      <c r="S912" s="3">
        <f>(Таблица1[Кредитный рейтинг]-$AA$7)/($AA$8-$AA$7)</f>
        <v>0.98934753661784292</v>
      </c>
      <c r="T912" s="3">
        <f>(Таблица1[Срок с последнего нарушения кредитного договора (мес,)]-$AA$12)/($AA$13-$AA$12)</f>
        <v>0.40074137090909095</v>
      </c>
      <c r="U912" s="3">
        <f>(Таблица1[Количество кредитных карт]-$AA$18)/($AA$19-$AA$18)</f>
        <v>0.19047619047619047</v>
      </c>
      <c r="V912" s="3">
        <f>(Таблица1[Число нарушений кредитных договоров]-$AA$23)/($AA$24-$AA$23)</f>
        <v>0.14285714285714285</v>
      </c>
      <c r="W912" s="3">
        <f>Таблица1[[#This Row],[Годовой доход]]/12</f>
        <v>63029.333333333336</v>
      </c>
      <c r="X912" s="3">
        <f>Таблица1[[#This Row],[Ежемесячный платеж]]/Таблица1[[#This Row],[Ежем доход]]</f>
        <v>0.18800040192926046</v>
      </c>
      <c r="Y912" s="3"/>
      <c r="Z912" s="3"/>
      <c r="AA912" s="3"/>
      <c r="AB912" s="3"/>
    </row>
    <row r="913" spans="1:28" x14ac:dyDescent="0.2">
      <c r="A913">
        <v>687</v>
      </c>
      <c r="B913" t="s">
        <v>728</v>
      </c>
      <c r="C913" t="s">
        <v>18</v>
      </c>
      <c r="D913" t="s">
        <v>19</v>
      </c>
      <c r="E913" t="s">
        <v>41</v>
      </c>
      <c r="F913" t="s">
        <v>21</v>
      </c>
      <c r="G913" t="s">
        <v>25</v>
      </c>
      <c r="H913" s="1">
        <v>116072</v>
      </c>
      <c r="I913" s="3">
        <v>0</v>
      </c>
      <c r="J913" s="3">
        <v>1168044</v>
      </c>
      <c r="K913" s="3">
        <v>10777.37</v>
      </c>
      <c r="L913" s="2">
        <v>19.399999999999999</v>
      </c>
      <c r="M913" s="11">
        <v>14</v>
      </c>
      <c r="N913" s="3">
        <v>19</v>
      </c>
      <c r="O913" s="3">
        <v>134729</v>
      </c>
      <c r="P913" s="3">
        <v>496826</v>
      </c>
      <c r="Q913" s="10">
        <v>0</v>
      </c>
      <c r="R913" s="3">
        <f>(Таблица1[Размер кредита]-$AA$2)/$AA$3</f>
        <v>-1.1017780925750185</v>
      </c>
      <c r="S913" s="3">
        <f>(Таблица1[Кредитный рейтинг]-$AA$7)/($AA$8-$AA$7)</f>
        <v>0</v>
      </c>
      <c r="T913" s="3">
        <f>(Таблица1[Срок с последнего нарушения кредитного договора (мес,)]-$AA$12)/($AA$13-$AA$12)</f>
        <v>0.15909090909090909</v>
      </c>
      <c r="U913" s="3">
        <f>(Таблица1[Количество кредитных карт]-$AA$18)/($AA$19-$AA$18)</f>
        <v>0.42857142857142855</v>
      </c>
      <c r="V913" s="3">
        <f>(Таблица1[Число нарушений кредитных договоров]-$AA$23)/($AA$24-$AA$23)</f>
        <v>0</v>
      </c>
      <c r="W913" s="3">
        <f>Таблица1[[#This Row],[Годовой доход]]/12</f>
        <v>97337</v>
      </c>
      <c r="X913" s="3">
        <f>Таблица1[[#This Row],[Ежемесячный платеж]]/Таблица1[[#This Row],[Ежем доход]]</f>
        <v>0.11072223306656256</v>
      </c>
      <c r="Y913" s="3"/>
      <c r="Z913" s="3"/>
      <c r="AA913" s="3"/>
      <c r="AB913" s="3"/>
    </row>
    <row r="914" spans="1:28" x14ac:dyDescent="0.2">
      <c r="A914">
        <v>14</v>
      </c>
      <c r="B914" t="s">
        <v>46</v>
      </c>
      <c r="C914" t="s">
        <v>18</v>
      </c>
      <c r="D914" t="s">
        <v>19</v>
      </c>
      <c r="E914" t="s">
        <v>47</v>
      </c>
      <c r="F914" t="s">
        <v>33</v>
      </c>
      <c r="G914" t="s">
        <v>25</v>
      </c>
      <c r="H914" s="1">
        <v>309594.52439999999</v>
      </c>
      <c r="I914" s="3">
        <v>743</v>
      </c>
      <c r="J914" s="3">
        <v>1560907</v>
      </c>
      <c r="K914" s="3">
        <v>17560.37</v>
      </c>
      <c r="L914" s="2">
        <v>13.3</v>
      </c>
      <c r="M914" s="11">
        <v>35.265240640000002</v>
      </c>
      <c r="N914" s="3">
        <v>10</v>
      </c>
      <c r="O914" s="3">
        <v>225549</v>
      </c>
      <c r="P914" s="3">
        <v>496474</v>
      </c>
      <c r="Q914" s="10">
        <v>1</v>
      </c>
      <c r="R914" s="3">
        <f>(Таблица1[Размер кредита]-$AA$2)/$AA$3</f>
        <v>-1.2411115481956205E-10</v>
      </c>
      <c r="S914" s="3">
        <f>(Таблица1[Кредитный рейтинг]-$AA$7)/($AA$8-$AA$7)</f>
        <v>0.98934753661784292</v>
      </c>
      <c r="T914" s="3">
        <f>(Таблица1[Срок с последнего нарушения кредитного договора (мес,)]-$AA$12)/($AA$13-$AA$12)</f>
        <v>0.40074137090909095</v>
      </c>
      <c r="U914" s="3">
        <f>(Таблица1[Количество кредитных карт]-$AA$18)/($AA$19-$AA$18)</f>
        <v>0.21428571428571427</v>
      </c>
      <c r="V914" s="3">
        <f>(Таблица1[Число нарушений кредитных договоров]-$AA$23)/($AA$24-$AA$23)</f>
        <v>0.14285714285714285</v>
      </c>
      <c r="W914" s="3">
        <f>Таблица1[[#This Row],[Годовой доход]]/12</f>
        <v>130075.58333333333</v>
      </c>
      <c r="X914" s="3">
        <f>Таблица1[[#This Row],[Ежемесячный платеж]]/Таблица1[[#This Row],[Ежем доход]]</f>
        <v>0.13500127810305163</v>
      </c>
      <c r="Y914" s="3"/>
      <c r="Z914" s="3"/>
      <c r="AA914" s="3"/>
      <c r="AB914" s="3"/>
    </row>
    <row r="915" spans="1:28" x14ac:dyDescent="0.2">
      <c r="A915">
        <v>766</v>
      </c>
      <c r="B915" t="s">
        <v>807</v>
      </c>
      <c r="C915" t="s">
        <v>18</v>
      </c>
      <c r="D915" t="s">
        <v>19</v>
      </c>
      <c r="E915" t="s">
        <v>24</v>
      </c>
      <c r="F915" t="s">
        <v>33</v>
      </c>
      <c r="G915" t="s">
        <v>25</v>
      </c>
      <c r="H915" s="1">
        <v>334070</v>
      </c>
      <c r="I915" s="3">
        <v>704</v>
      </c>
      <c r="J915" s="3">
        <v>927523</v>
      </c>
      <c r="K915" s="3">
        <v>5132.28</v>
      </c>
      <c r="L915" s="2">
        <v>20.5</v>
      </c>
      <c r="M915" s="11">
        <v>24</v>
      </c>
      <c r="N915" s="3">
        <v>11</v>
      </c>
      <c r="O915" s="3">
        <v>226537</v>
      </c>
      <c r="P915" s="3">
        <v>495858</v>
      </c>
      <c r="Q915" s="10">
        <v>0</v>
      </c>
      <c r="R915" s="3">
        <f>(Таблица1[Размер кредита]-$AA$2)/$AA$3</f>
        <v>0.1393457576991923</v>
      </c>
      <c r="S915" s="3">
        <f>(Таблица1[Кредитный рейтинг]-$AA$7)/($AA$8-$AA$7)</f>
        <v>0.93741677762982689</v>
      </c>
      <c r="T915" s="3">
        <f>(Таблица1[Срок с последнего нарушения кредитного договора (мес,)]-$AA$12)/($AA$13-$AA$12)</f>
        <v>0.27272727272727271</v>
      </c>
      <c r="U915" s="3">
        <f>(Таблица1[Количество кредитных карт]-$AA$18)/($AA$19-$AA$18)</f>
        <v>0.23809523809523808</v>
      </c>
      <c r="V915" s="3">
        <f>(Таблица1[Число нарушений кредитных договоров]-$AA$23)/($AA$24-$AA$23)</f>
        <v>0</v>
      </c>
      <c r="W915" s="3">
        <f>Таблица1[[#This Row],[Годовой доход]]/12</f>
        <v>77293.583333333328</v>
      </c>
      <c r="X915" s="3">
        <f>Таблица1[[#This Row],[Ежемесячный платеж]]/Таблица1[[#This Row],[Ежем доход]]</f>
        <v>6.6399819734928409E-2</v>
      </c>
      <c r="Y915" s="3"/>
      <c r="Z915" s="3"/>
      <c r="AA915" s="3"/>
      <c r="AB915" s="3"/>
    </row>
    <row r="916" spans="1:28" x14ac:dyDescent="0.2">
      <c r="A916">
        <v>1193</v>
      </c>
      <c r="B916" s="4" t="s">
        <v>1232</v>
      </c>
      <c r="C916" t="s">
        <v>18</v>
      </c>
      <c r="D916" t="s">
        <v>19</v>
      </c>
      <c r="E916" t="s">
        <v>30</v>
      </c>
      <c r="F916" t="s">
        <v>33</v>
      </c>
      <c r="G916" t="s">
        <v>25</v>
      </c>
      <c r="H916" s="1">
        <v>264286</v>
      </c>
      <c r="I916" s="3">
        <v>0</v>
      </c>
      <c r="J916" s="3">
        <v>1168044</v>
      </c>
      <c r="K916" s="3">
        <v>14784.85</v>
      </c>
      <c r="L916" s="2">
        <v>10.9</v>
      </c>
      <c r="M916" s="11">
        <v>35.265240640000002</v>
      </c>
      <c r="N916" s="3">
        <v>15</v>
      </c>
      <c r="O916" s="3">
        <v>322221</v>
      </c>
      <c r="P916" s="3">
        <v>495484</v>
      </c>
      <c r="Q916" s="10">
        <v>0</v>
      </c>
      <c r="R916" s="3">
        <f>(Таблица1[Размер кредита]-$AA$2)/$AA$3</f>
        <v>-0.25795415683000306</v>
      </c>
      <c r="S916" s="3">
        <f>(Таблица1[Кредитный рейтинг]-$AA$7)/($AA$8-$AA$7)</f>
        <v>0</v>
      </c>
      <c r="T916" s="3">
        <f>(Таблица1[Срок с последнего нарушения кредитного договора (мес,)]-$AA$12)/($AA$13-$AA$12)</f>
        <v>0.40074137090909095</v>
      </c>
      <c r="U916" s="3">
        <f>(Таблица1[Количество кредитных карт]-$AA$18)/($AA$19-$AA$18)</f>
        <v>0.33333333333333331</v>
      </c>
      <c r="V916" s="3">
        <f>(Таблица1[Число нарушений кредитных договоров]-$AA$23)/($AA$24-$AA$23)</f>
        <v>0</v>
      </c>
      <c r="W916" s="3">
        <f>Таблица1[[#This Row],[Годовой доход]]/12</f>
        <v>97337</v>
      </c>
      <c r="X916" s="3">
        <f>Таблица1[[#This Row],[Ежемесячный платеж]]/Таблица1[[#This Row],[Ежем доход]]</f>
        <v>0.15189342182315049</v>
      </c>
      <c r="Y916" s="3"/>
      <c r="Z916" s="3"/>
      <c r="AA916" s="3"/>
      <c r="AB916" s="3"/>
    </row>
    <row r="917" spans="1:28" x14ac:dyDescent="0.2">
      <c r="A917">
        <v>1466</v>
      </c>
      <c r="B917" t="s">
        <v>1505</v>
      </c>
      <c r="C917" t="s">
        <v>18</v>
      </c>
      <c r="D917" t="s">
        <v>19</v>
      </c>
      <c r="E917" t="s">
        <v>69</v>
      </c>
      <c r="F917" t="s">
        <v>33</v>
      </c>
      <c r="G917" t="s">
        <v>75</v>
      </c>
      <c r="H917" s="1">
        <v>309594.52439999999</v>
      </c>
      <c r="I917" s="3">
        <v>716</v>
      </c>
      <c r="J917" s="3">
        <v>1458345</v>
      </c>
      <c r="K917" s="3">
        <v>33055.82</v>
      </c>
      <c r="L917" s="2">
        <v>13.5</v>
      </c>
      <c r="M917" s="11">
        <v>44</v>
      </c>
      <c r="N917" s="3">
        <v>18</v>
      </c>
      <c r="O917" s="3">
        <v>261801</v>
      </c>
      <c r="P917" s="3">
        <v>495330</v>
      </c>
      <c r="Q917" s="10">
        <v>1</v>
      </c>
      <c r="R917" s="3">
        <f>(Таблица1[Размер кредита]-$AA$2)/$AA$3</f>
        <v>-1.2411115481956205E-10</v>
      </c>
      <c r="S917" s="3">
        <f>(Таблица1[Кредитный рейтинг]-$AA$7)/($AA$8-$AA$7)</f>
        <v>0.95339547270306257</v>
      </c>
      <c r="T917" s="3">
        <f>(Таблица1[Срок с последнего нарушения кредитного договора (мес,)]-$AA$12)/($AA$13-$AA$12)</f>
        <v>0.5</v>
      </c>
      <c r="U917" s="3">
        <f>(Таблица1[Количество кредитных карт]-$AA$18)/($AA$19-$AA$18)</f>
        <v>0.40476190476190477</v>
      </c>
      <c r="V917" s="3">
        <f>(Таблица1[Число нарушений кредитных договоров]-$AA$23)/($AA$24-$AA$23)</f>
        <v>0.14285714285714285</v>
      </c>
      <c r="W917" s="3">
        <f>Таблица1[[#This Row],[Годовой доход]]/12</f>
        <v>121528.75</v>
      </c>
      <c r="X917" s="3">
        <f>Таблица1[[#This Row],[Ежемесячный платеж]]/Таблица1[[#This Row],[Ежем доход]]</f>
        <v>0.27200000000000002</v>
      </c>
      <c r="Y917" s="3"/>
      <c r="Z917" s="3"/>
      <c r="AA917" s="3"/>
      <c r="AB917" s="3"/>
    </row>
    <row r="918" spans="1:28" x14ac:dyDescent="0.2">
      <c r="A918">
        <v>1137</v>
      </c>
      <c r="B918" t="s">
        <v>1176</v>
      </c>
      <c r="C918" t="s">
        <v>35</v>
      </c>
      <c r="D918" t="s">
        <v>19</v>
      </c>
      <c r="E918" t="s">
        <v>24</v>
      </c>
      <c r="F918" t="s">
        <v>33</v>
      </c>
      <c r="G918" t="s">
        <v>2038</v>
      </c>
      <c r="H918" s="1">
        <v>110902</v>
      </c>
      <c r="I918" s="3">
        <v>0</v>
      </c>
      <c r="J918" s="3">
        <v>1168044</v>
      </c>
      <c r="K918" s="3">
        <v>15150.79</v>
      </c>
      <c r="L918" s="2">
        <v>16.5</v>
      </c>
      <c r="M918" s="11">
        <v>35.265240640000002</v>
      </c>
      <c r="N918" s="3">
        <v>8</v>
      </c>
      <c r="O918" s="3">
        <v>139878</v>
      </c>
      <c r="P918" s="3">
        <v>495286</v>
      </c>
      <c r="Q918" s="10">
        <v>0</v>
      </c>
      <c r="R918" s="3">
        <f>(Таблица1[Размер кредита]-$AA$2)/$AA$3</f>
        <v>-1.1312123548431021</v>
      </c>
      <c r="S918" s="3">
        <f>(Таблица1[Кредитный рейтинг]-$AA$7)/($AA$8-$AA$7)</f>
        <v>0</v>
      </c>
      <c r="T918" s="3">
        <f>(Таблица1[Срок с последнего нарушения кредитного договора (мес,)]-$AA$12)/($AA$13-$AA$12)</f>
        <v>0.40074137090909095</v>
      </c>
      <c r="U918" s="3">
        <f>(Таблица1[Количество кредитных карт]-$AA$18)/($AA$19-$AA$18)</f>
        <v>0.16666666666666666</v>
      </c>
      <c r="V918" s="3">
        <f>(Таблица1[Число нарушений кредитных договоров]-$AA$23)/($AA$24-$AA$23)</f>
        <v>0</v>
      </c>
      <c r="W918" s="3">
        <f>Таблица1[[#This Row],[Годовой доход]]/12</f>
        <v>97337</v>
      </c>
      <c r="X918" s="3">
        <f>Таблица1[[#This Row],[Ежемесячный платеж]]/Таблица1[[#This Row],[Ежем доход]]</f>
        <v>0.15565293773179778</v>
      </c>
      <c r="Y918" s="3"/>
      <c r="Z918" s="3"/>
      <c r="AA918" s="3"/>
      <c r="AB918" s="3"/>
    </row>
    <row r="919" spans="1:28" x14ac:dyDescent="0.2">
      <c r="A919">
        <v>1709</v>
      </c>
      <c r="B919" t="s">
        <v>1747</v>
      </c>
      <c r="C919" t="s">
        <v>35</v>
      </c>
      <c r="D919" t="s">
        <v>19</v>
      </c>
      <c r="E919" t="s">
        <v>50</v>
      </c>
      <c r="F919" t="s">
        <v>21</v>
      </c>
      <c r="G919" t="s">
        <v>25</v>
      </c>
      <c r="H919" s="1">
        <v>156266</v>
      </c>
      <c r="I919" s="3">
        <v>737</v>
      </c>
      <c r="J919" s="3">
        <v>965998</v>
      </c>
      <c r="K919" s="3">
        <v>21734.86</v>
      </c>
      <c r="L919" s="2">
        <v>15</v>
      </c>
      <c r="M919" s="11">
        <v>35.265240640000002</v>
      </c>
      <c r="N919" s="3">
        <v>9</v>
      </c>
      <c r="O919" s="3">
        <v>156503</v>
      </c>
      <c r="P919" s="3">
        <v>495154</v>
      </c>
      <c r="Q919" s="10">
        <v>0</v>
      </c>
      <c r="R919" s="3">
        <f>(Таблица1[Размер кредита]-$AA$2)/$AA$3</f>
        <v>-0.87294235996315217</v>
      </c>
      <c r="S919" s="3">
        <f>(Таблица1[Кредитный рейтинг]-$AA$7)/($AA$8-$AA$7)</f>
        <v>0.98135818908122507</v>
      </c>
      <c r="T919" s="3">
        <f>(Таблица1[Срок с последнего нарушения кредитного договора (мес,)]-$AA$12)/($AA$13-$AA$12)</f>
        <v>0.40074137090909095</v>
      </c>
      <c r="U919" s="3">
        <f>(Таблица1[Количество кредитных карт]-$AA$18)/($AA$19-$AA$18)</f>
        <v>0.19047619047619047</v>
      </c>
      <c r="V919" s="3">
        <f>(Таблица1[Число нарушений кредитных договоров]-$AA$23)/($AA$24-$AA$23)</f>
        <v>0</v>
      </c>
      <c r="W919" s="3">
        <f>Таблица1[[#This Row],[Годовой доход]]/12</f>
        <v>80499.833333333328</v>
      </c>
      <c r="X919" s="3">
        <f>Таблица1[[#This Row],[Ежемесячный платеж]]/Таблица1[[#This Row],[Ежем доход]]</f>
        <v>0.26999881987333307</v>
      </c>
      <c r="Y919" s="3"/>
      <c r="Z919" s="3"/>
      <c r="AA919" s="3"/>
      <c r="AB919" s="3"/>
    </row>
    <row r="920" spans="1:28" x14ac:dyDescent="0.2">
      <c r="A920">
        <v>1329</v>
      </c>
      <c r="B920" t="s">
        <v>1368</v>
      </c>
      <c r="C920" t="s">
        <v>18</v>
      </c>
      <c r="D920" t="s">
        <v>29</v>
      </c>
      <c r="E920" t="s">
        <v>24</v>
      </c>
      <c r="F920" t="s">
        <v>33</v>
      </c>
      <c r="G920" t="s">
        <v>25</v>
      </c>
      <c r="H920" s="1">
        <v>310948</v>
      </c>
      <c r="I920" s="3">
        <v>0</v>
      </c>
      <c r="J920" s="3">
        <v>1168044</v>
      </c>
      <c r="K920" s="3">
        <v>12634.81</v>
      </c>
      <c r="L920" s="2">
        <v>10.3</v>
      </c>
      <c r="M920" s="11">
        <v>35.265240640000002</v>
      </c>
      <c r="N920" s="3">
        <v>12</v>
      </c>
      <c r="O920" s="3">
        <v>183445</v>
      </c>
      <c r="P920" s="3">
        <v>495110</v>
      </c>
      <c r="Q920" s="10">
        <v>0</v>
      </c>
      <c r="R920" s="3">
        <f>(Таблица1[Размер кредита]-$AA$2)/$AA$3</f>
        <v>7.7057166619336898E-3</v>
      </c>
      <c r="S920" s="3">
        <f>(Таблица1[Кредитный рейтинг]-$AA$7)/($AA$8-$AA$7)</f>
        <v>0</v>
      </c>
      <c r="T920" s="3">
        <f>(Таблица1[Срок с последнего нарушения кредитного договора (мес,)]-$AA$12)/($AA$13-$AA$12)</f>
        <v>0.40074137090909095</v>
      </c>
      <c r="U920" s="3">
        <f>(Таблица1[Количество кредитных карт]-$AA$18)/($AA$19-$AA$18)</f>
        <v>0.26190476190476192</v>
      </c>
      <c r="V920" s="3">
        <f>(Таблица1[Число нарушений кредитных договоров]-$AA$23)/($AA$24-$AA$23)</f>
        <v>0</v>
      </c>
      <c r="W920" s="3">
        <f>Таблица1[[#This Row],[Годовой доход]]/12</f>
        <v>97337</v>
      </c>
      <c r="X920" s="3">
        <f>Таблица1[[#This Row],[Ежемесячный платеж]]/Таблица1[[#This Row],[Ежем доход]]</f>
        <v>0.129804801873902</v>
      </c>
      <c r="Y920" s="3"/>
      <c r="Z920" s="3"/>
      <c r="AA920" s="3"/>
      <c r="AB920" s="3"/>
    </row>
    <row r="921" spans="1:28" x14ac:dyDescent="0.2">
      <c r="A921">
        <v>196</v>
      </c>
      <c r="B921" t="s">
        <v>238</v>
      </c>
      <c r="C921" t="s">
        <v>18</v>
      </c>
      <c r="D921" t="s">
        <v>19</v>
      </c>
      <c r="E921" t="s">
        <v>37</v>
      </c>
      <c r="F921" t="s">
        <v>33</v>
      </c>
      <c r="G921" t="s">
        <v>25</v>
      </c>
      <c r="H921" s="1">
        <v>377322</v>
      </c>
      <c r="I921" s="3">
        <v>740</v>
      </c>
      <c r="J921" s="3">
        <v>1288162</v>
      </c>
      <c r="K921" s="3">
        <v>17068.080000000002</v>
      </c>
      <c r="L921" s="2">
        <v>36.299999999999997</v>
      </c>
      <c r="M921" s="11">
        <v>16</v>
      </c>
      <c r="N921" s="3">
        <v>8</v>
      </c>
      <c r="O921" s="3">
        <v>358549</v>
      </c>
      <c r="P921" s="3">
        <v>494824</v>
      </c>
      <c r="Q921" s="10">
        <v>0</v>
      </c>
      <c r="R921" s="3">
        <f>(Таблица1[Размер кредита]-$AA$2)/$AA$3</f>
        <v>0.38559154331218032</v>
      </c>
      <c r="S921" s="3">
        <f>(Таблица1[Кредитный рейтинг]-$AA$7)/($AA$8-$AA$7)</f>
        <v>0.98535286284953394</v>
      </c>
      <c r="T921" s="3">
        <f>(Таблица1[Срок с последнего нарушения кредитного договора (мес,)]-$AA$12)/($AA$13-$AA$12)</f>
        <v>0.18181818181818182</v>
      </c>
      <c r="U921" s="3">
        <f>(Таблица1[Количество кредитных карт]-$AA$18)/($AA$19-$AA$18)</f>
        <v>0.16666666666666666</v>
      </c>
      <c r="V921" s="3">
        <f>(Таблица1[Число нарушений кредитных договоров]-$AA$23)/($AA$24-$AA$23)</f>
        <v>0</v>
      </c>
      <c r="W921" s="3">
        <f>Таблица1[[#This Row],[Годовой доход]]/12</f>
        <v>107346.83333333333</v>
      </c>
      <c r="X921" s="3">
        <f>Таблица1[[#This Row],[Ежемесячный платеж]]/Таблица1[[#This Row],[Ежем доход]]</f>
        <v>0.15899938051269952</v>
      </c>
      <c r="Y921" s="3"/>
      <c r="Z921" s="3"/>
      <c r="AA921" s="3"/>
      <c r="AB921" s="3"/>
    </row>
    <row r="922" spans="1:28" x14ac:dyDescent="0.2">
      <c r="A922">
        <v>1073</v>
      </c>
      <c r="B922" t="s">
        <v>1112</v>
      </c>
      <c r="C922" t="s">
        <v>35</v>
      </c>
      <c r="D922" t="s">
        <v>19</v>
      </c>
      <c r="E922" t="s">
        <v>52</v>
      </c>
      <c r="F922" t="s">
        <v>21</v>
      </c>
      <c r="G922" t="s">
        <v>25</v>
      </c>
      <c r="H922" s="1">
        <v>216876</v>
      </c>
      <c r="I922" s="3">
        <v>0</v>
      </c>
      <c r="J922" s="3">
        <v>1168044</v>
      </c>
      <c r="K922" s="3">
        <v>20322.21</v>
      </c>
      <c r="L922" s="2">
        <v>19.2</v>
      </c>
      <c r="M922" s="11">
        <v>66</v>
      </c>
      <c r="N922" s="3">
        <v>20</v>
      </c>
      <c r="O922" s="3">
        <v>309225</v>
      </c>
      <c r="P922" s="3">
        <v>494516</v>
      </c>
      <c r="Q922" s="10">
        <v>0</v>
      </c>
      <c r="R922" s="3">
        <f>(Таблица1[Размер кредита]-$AA$2)/$AA$3</f>
        <v>-0.52787260443732209</v>
      </c>
      <c r="S922" s="3">
        <f>(Таблица1[Кредитный рейтинг]-$AA$7)/($AA$8-$AA$7)</f>
        <v>0</v>
      </c>
      <c r="T922" s="3">
        <f>(Таблица1[Срок с последнего нарушения кредитного договора (мес,)]-$AA$12)/($AA$13-$AA$12)</f>
        <v>0.75</v>
      </c>
      <c r="U922" s="3">
        <f>(Таблица1[Количество кредитных карт]-$AA$18)/($AA$19-$AA$18)</f>
        <v>0.45238095238095238</v>
      </c>
      <c r="V922" s="3">
        <f>(Таблица1[Число нарушений кредитных договоров]-$AA$23)/($AA$24-$AA$23)</f>
        <v>0</v>
      </c>
      <c r="W922" s="3">
        <f>Таблица1[[#This Row],[Годовой доход]]/12</f>
        <v>97337</v>
      </c>
      <c r="X922" s="3">
        <f>Таблица1[[#This Row],[Ежемесячный платеж]]/Таблица1[[#This Row],[Ежем доход]]</f>
        <v>0.20878196369314853</v>
      </c>
      <c r="Y922" s="3"/>
      <c r="Z922" s="3"/>
      <c r="AA922" s="3"/>
      <c r="AB922" s="3"/>
    </row>
    <row r="923" spans="1:28" x14ac:dyDescent="0.2">
      <c r="A923">
        <v>1066</v>
      </c>
      <c r="B923" s="4" t="s">
        <v>1105</v>
      </c>
      <c r="C923" t="s">
        <v>18</v>
      </c>
      <c r="D923" t="s">
        <v>29</v>
      </c>
      <c r="E923" t="s">
        <v>24</v>
      </c>
      <c r="F923" t="s">
        <v>21</v>
      </c>
      <c r="G923" t="s">
        <v>25</v>
      </c>
      <c r="H923" s="1">
        <v>451462</v>
      </c>
      <c r="I923" s="3">
        <v>698</v>
      </c>
      <c r="J923" s="3">
        <v>2228016</v>
      </c>
      <c r="K923" s="3">
        <v>14890.49</v>
      </c>
      <c r="L923" s="2">
        <v>13</v>
      </c>
      <c r="M923" s="11">
        <v>35.265240640000002</v>
      </c>
      <c r="N923" s="3">
        <v>8</v>
      </c>
      <c r="O923" s="3">
        <v>333051</v>
      </c>
      <c r="P923" s="3">
        <v>494406</v>
      </c>
      <c r="Q923" s="10">
        <v>0</v>
      </c>
      <c r="R923" s="3">
        <f>(Таблица1[Размер кредита]-$AA$2)/$AA$3</f>
        <v>0.80769138945448438</v>
      </c>
      <c r="S923" s="3">
        <f>(Таблица1[Кредитный рейтинг]-$AA$7)/($AA$8-$AA$7)</f>
        <v>0.92942743009320905</v>
      </c>
      <c r="T923" s="3">
        <f>(Таблица1[Срок с последнего нарушения кредитного договора (мес,)]-$AA$12)/($AA$13-$AA$12)</f>
        <v>0.40074137090909095</v>
      </c>
      <c r="U923" s="3">
        <f>(Таблица1[Количество кредитных карт]-$AA$18)/($AA$19-$AA$18)</f>
        <v>0.16666666666666666</v>
      </c>
      <c r="V923" s="3">
        <f>(Таблица1[Число нарушений кредитных договоров]-$AA$23)/($AA$24-$AA$23)</f>
        <v>0</v>
      </c>
      <c r="W923" s="3">
        <f>Таблица1[[#This Row],[Годовой доход]]/12</f>
        <v>185668</v>
      </c>
      <c r="X923" s="3">
        <f>Таблица1[[#This Row],[Ежемесячный платеж]]/Таблица1[[#This Row],[Ежем доход]]</f>
        <v>8.0199549733933687E-2</v>
      </c>
      <c r="Y923" s="3"/>
      <c r="Z923" s="3"/>
      <c r="AA923" s="3"/>
      <c r="AB923" s="3"/>
    </row>
    <row r="924" spans="1:28" x14ac:dyDescent="0.2">
      <c r="A924">
        <v>240</v>
      </c>
      <c r="B924" t="s">
        <v>282</v>
      </c>
      <c r="C924" t="s">
        <v>18</v>
      </c>
      <c r="D924" t="s">
        <v>19</v>
      </c>
      <c r="E924" t="s">
        <v>20</v>
      </c>
      <c r="F924" t="s">
        <v>33</v>
      </c>
      <c r="G924" t="s">
        <v>25</v>
      </c>
      <c r="H924" s="1">
        <v>25894</v>
      </c>
      <c r="I924" s="3">
        <v>748</v>
      </c>
      <c r="J924" s="3">
        <v>1024727</v>
      </c>
      <c r="K924" s="3">
        <v>12723.73</v>
      </c>
      <c r="L924" s="2">
        <v>10.199999999999999</v>
      </c>
      <c r="M924" s="11">
        <v>35.265240640000002</v>
      </c>
      <c r="N924" s="3">
        <v>12</v>
      </c>
      <c r="O924" s="3">
        <v>30590</v>
      </c>
      <c r="P924" s="3">
        <v>492008</v>
      </c>
      <c r="Q924" s="10">
        <v>0</v>
      </c>
      <c r="R924" s="3">
        <f>(Таблица1[Размер кредита]-$AA$2)/$AA$3</f>
        <v>-1.6151867778383135</v>
      </c>
      <c r="S924" s="3">
        <f>(Таблица1[Кредитный рейтинг]-$AA$7)/($AA$8-$AA$7)</f>
        <v>0.99600532623169102</v>
      </c>
      <c r="T924" s="3">
        <f>(Таблица1[Срок с последнего нарушения кредитного договора (мес,)]-$AA$12)/($AA$13-$AA$12)</f>
        <v>0.40074137090909095</v>
      </c>
      <c r="U924" s="3">
        <f>(Таблица1[Количество кредитных карт]-$AA$18)/($AA$19-$AA$18)</f>
        <v>0.26190476190476192</v>
      </c>
      <c r="V924" s="3">
        <f>(Таблица1[Число нарушений кредитных договоров]-$AA$23)/($AA$24-$AA$23)</f>
        <v>0</v>
      </c>
      <c r="W924" s="3">
        <f>Таблица1[[#This Row],[Годовой доход]]/12</f>
        <v>85393.916666666672</v>
      </c>
      <c r="X924" s="3">
        <f>Таблица1[[#This Row],[Ежемесячный платеж]]/Таблица1[[#This Row],[Ежем доход]]</f>
        <v>0.14900042645504608</v>
      </c>
      <c r="Y924" s="3"/>
      <c r="Z924" s="3"/>
      <c r="AA924" s="3"/>
      <c r="AB924" s="3"/>
    </row>
    <row r="925" spans="1:28" x14ac:dyDescent="0.2">
      <c r="A925">
        <v>1780</v>
      </c>
      <c r="B925" t="s">
        <v>1818</v>
      </c>
      <c r="C925" t="s">
        <v>18</v>
      </c>
      <c r="D925" t="s">
        <v>19</v>
      </c>
      <c r="E925" t="s">
        <v>32</v>
      </c>
      <c r="F925" t="s">
        <v>21</v>
      </c>
      <c r="G925" t="s">
        <v>25</v>
      </c>
      <c r="H925" s="1">
        <v>353628</v>
      </c>
      <c r="I925" s="3">
        <v>0</v>
      </c>
      <c r="J925" s="3">
        <v>1168044</v>
      </c>
      <c r="K925" s="3">
        <v>24350.78</v>
      </c>
      <c r="L925" s="2">
        <v>26.9</v>
      </c>
      <c r="M925" s="11">
        <v>23</v>
      </c>
      <c r="N925" s="3">
        <v>10</v>
      </c>
      <c r="O925" s="3">
        <v>299060</v>
      </c>
      <c r="P925" s="3">
        <v>490490</v>
      </c>
      <c r="Q925" s="10">
        <v>0</v>
      </c>
      <c r="R925" s="3">
        <f>(Таблица1[Размер кредита]-$AA$2)/$AA$3</f>
        <v>0.2506949455984529</v>
      </c>
      <c r="S925" s="3">
        <f>(Таблица1[Кредитный рейтинг]-$AA$7)/($AA$8-$AA$7)</f>
        <v>0</v>
      </c>
      <c r="T925" s="3">
        <f>(Таблица1[Срок с последнего нарушения кредитного договора (мес,)]-$AA$12)/($AA$13-$AA$12)</f>
        <v>0.26136363636363635</v>
      </c>
      <c r="U925" s="3">
        <f>(Таблица1[Количество кредитных карт]-$AA$18)/($AA$19-$AA$18)</f>
        <v>0.21428571428571427</v>
      </c>
      <c r="V925" s="3">
        <f>(Таблица1[Число нарушений кредитных договоров]-$AA$23)/($AA$24-$AA$23)</f>
        <v>0</v>
      </c>
      <c r="W925" s="3">
        <f>Таблица1[[#This Row],[Годовой доход]]/12</f>
        <v>97337</v>
      </c>
      <c r="X925" s="3">
        <f>Таблица1[[#This Row],[Ежемесячный платеж]]/Таблица1[[#This Row],[Ежем доход]]</f>
        <v>0.25016982236970525</v>
      </c>
      <c r="Y925" s="3"/>
      <c r="Z925" s="3"/>
      <c r="AA925" s="3"/>
      <c r="AB925" s="3"/>
    </row>
    <row r="926" spans="1:28" x14ac:dyDescent="0.2">
      <c r="A926">
        <v>62</v>
      </c>
      <c r="B926" t="s">
        <v>104</v>
      </c>
      <c r="C926" t="s">
        <v>18</v>
      </c>
      <c r="D926" t="s">
        <v>29</v>
      </c>
      <c r="E926" t="s">
        <v>24</v>
      </c>
      <c r="F926" t="s">
        <v>21</v>
      </c>
      <c r="G926" t="s">
        <v>25</v>
      </c>
      <c r="H926" s="1">
        <v>718784</v>
      </c>
      <c r="I926" s="3">
        <v>672</v>
      </c>
      <c r="J926" s="3">
        <v>1648915</v>
      </c>
      <c r="K926" s="3">
        <v>15664.74</v>
      </c>
      <c r="L926" s="2">
        <v>12</v>
      </c>
      <c r="M926" s="11">
        <v>5</v>
      </c>
      <c r="N926" s="3">
        <v>10</v>
      </c>
      <c r="O926" s="3">
        <v>252016</v>
      </c>
      <c r="P926" s="3">
        <v>489610</v>
      </c>
      <c r="Q926" s="10">
        <v>0</v>
      </c>
      <c r="R926" s="3">
        <f>(Таблица1[Размер кредита]-$AA$2)/$AA$3</f>
        <v>2.3296306269841982</v>
      </c>
      <c r="S926" s="3">
        <f>(Таблица1[Кредитный рейтинг]-$AA$7)/($AA$8-$AA$7)</f>
        <v>0.89480692410119844</v>
      </c>
      <c r="T926" s="3">
        <f>(Таблица1[Срок с последнего нарушения кредитного договора (мес,)]-$AA$12)/($AA$13-$AA$12)</f>
        <v>5.6818181818181816E-2</v>
      </c>
      <c r="U926" s="3">
        <f>(Таблица1[Количество кредитных карт]-$AA$18)/($AA$19-$AA$18)</f>
        <v>0.21428571428571427</v>
      </c>
      <c r="V926" s="3">
        <f>(Таблица1[Число нарушений кредитных договоров]-$AA$23)/($AA$24-$AA$23)</f>
        <v>0</v>
      </c>
      <c r="W926" s="3">
        <f>Таблица1[[#This Row],[Годовой доход]]/12</f>
        <v>137409.58333333334</v>
      </c>
      <c r="X926" s="3">
        <f>Таблица1[[#This Row],[Ежемесячный платеж]]/Таблица1[[#This Row],[Ежем доход]]</f>
        <v>0.11400034568185745</v>
      </c>
      <c r="Y926" s="3"/>
      <c r="Z926" s="3"/>
      <c r="AA926" s="3"/>
      <c r="AB926" s="3"/>
    </row>
    <row r="927" spans="1:28" x14ac:dyDescent="0.2">
      <c r="A927">
        <v>48</v>
      </c>
      <c r="B927" t="s">
        <v>88</v>
      </c>
      <c r="C927" t="s">
        <v>18</v>
      </c>
      <c r="D927" t="s">
        <v>19</v>
      </c>
      <c r="E927" t="s">
        <v>37</v>
      </c>
      <c r="F927" t="s">
        <v>21</v>
      </c>
      <c r="G927" t="s">
        <v>25</v>
      </c>
      <c r="H927" s="1">
        <v>287980</v>
      </c>
      <c r="I927" s="3">
        <v>737</v>
      </c>
      <c r="J927" s="3">
        <v>1013954</v>
      </c>
      <c r="K927" s="3">
        <v>16138.6</v>
      </c>
      <c r="L927" s="2">
        <v>18.600000000000001</v>
      </c>
      <c r="M927" s="11">
        <v>13</v>
      </c>
      <c r="N927" s="3">
        <v>11</v>
      </c>
      <c r="O927" s="3">
        <v>223117</v>
      </c>
      <c r="P927" s="3">
        <v>489302</v>
      </c>
      <c r="Q927" s="10">
        <v>0</v>
      </c>
      <c r="R927" s="3">
        <f>(Таблица1[Размер кредита]-$AA$2)/$AA$3</f>
        <v>-0.12305755911627562</v>
      </c>
      <c r="S927" s="3">
        <f>(Таблица1[Кредитный рейтинг]-$AA$7)/($AA$8-$AA$7)</f>
        <v>0.98135818908122507</v>
      </c>
      <c r="T927" s="3">
        <f>(Таблица1[Срок с последнего нарушения кредитного договора (мес,)]-$AA$12)/($AA$13-$AA$12)</f>
        <v>0.14772727272727273</v>
      </c>
      <c r="U927" s="3">
        <f>(Таблица1[Количество кредитных карт]-$AA$18)/($AA$19-$AA$18)</f>
        <v>0.23809523809523808</v>
      </c>
      <c r="V927" s="3">
        <f>(Таблица1[Число нарушений кредитных договоров]-$AA$23)/($AA$24-$AA$23)</f>
        <v>0</v>
      </c>
      <c r="W927" s="3">
        <f>Таблица1[[#This Row],[Годовой доход]]/12</f>
        <v>84496.166666666672</v>
      </c>
      <c r="X927" s="3">
        <f>Таблица1[[#This Row],[Ежемесячный платеж]]/Таблица1[[#This Row],[Ежем доход]]</f>
        <v>0.19099801371659858</v>
      </c>
      <c r="Y927" s="3"/>
      <c r="Z927" s="3"/>
      <c r="AA927" s="3"/>
      <c r="AB927" s="3"/>
    </row>
    <row r="928" spans="1:28" x14ac:dyDescent="0.2">
      <c r="A928">
        <v>111</v>
      </c>
      <c r="B928" t="s">
        <v>153</v>
      </c>
      <c r="C928" t="s">
        <v>35</v>
      </c>
      <c r="D928" t="s">
        <v>29</v>
      </c>
      <c r="E928" t="s">
        <v>52</v>
      </c>
      <c r="F928" t="s">
        <v>21</v>
      </c>
      <c r="G928" t="s">
        <v>25</v>
      </c>
      <c r="H928" s="1">
        <v>765160</v>
      </c>
      <c r="I928" s="3">
        <v>719</v>
      </c>
      <c r="J928" s="3">
        <v>2643242</v>
      </c>
      <c r="K928" s="3">
        <v>34582.47</v>
      </c>
      <c r="L928" s="2">
        <v>20.5</v>
      </c>
      <c r="M928" s="11">
        <v>47</v>
      </c>
      <c r="N928" s="3">
        <v>19</v>
      </c>
      <c r="O928" s="3">
        <v>249755</v>
      </c>
      <c r="P928" s="3">
        <v>489302</v>
      </c>
      <c r="Q928" s="10">
        <v>0</v>
      </c>
      <c r="R928" s="3">
        <f>(Таблица1[Размер кредита]-$AA$2)/$AA$3</f>
        <v>2.5936622221379007</v>
      </c>
      <c r="S928" s="3">
        <f>(Таблица1[Кредитный рейтинг]-$AA$7)/($AA$8-$AA$7)</f>
        <v>0.95739014647137155</v>
      </c>
      <c r="T928" s="3">
        <f>(Таблица1[Срок с последнего нарушения кредитного договора (мес,)]-$AA$12)/($AA$13-$AA$12)</f>
        <v>0.53409090909090906</v>
      </c>
      <c r="U928" s="3">
        <f>(Таблица1[Количество кредитных карт]-$AA$18)/($AA$19-$AA$18)</f>
        <v>0.42857142857142855</v>
      </c>
      <c r="V928" s="3">
        <f>(Таблица1[Число нарушений кредитных договоров]-$AA$23)/($AA$24-$AA$23)</f>
        <v>0</v>
      </c>
      <c r="W928" s="3">
        <f>Таблица1[[#This Row],[Годовой доход]]/12</f>
        <v>220270.16666666666</v>
      </c>
      <c r="X928" s="3">
        <f>Таблица1[[#This Row],[Ежемесячный платеж]]/Таблица1[[#This Row],[Ежем доход]]</f>
        <v>0.15700024439684299</v>
      </c>
      <c r="Y928" s="3"/>
      <c r="Z928" s="3"/>
      <c r="AA928" s="3"/>
      <c r="AB928" s="3"/>
    </row>
    <row r="929" spans="1:28" x14ac:dyDescent="0.2">
      <c r="A929">
        <v>1265</v>
      </c>
      <c r="B929" t="s">
        <v>1304</v>
      </c>
      <c r="C929" t="s">
        <v>35</v>
      </c>
      <c r="D929" t="s">
        <v>19</v>
      </c>
      <c r="E929" t="s">
        <v>24</v>
      </c>
      <c r="F929" t="s">
        <v>27</v>
      </c>
      <c r="G929" t="s">
        <v>22</v>
      </c>
      <c r="H929" s="1">
        <v>107360</v>
      </c>
      <c r="I929" s="3">
        <v>0</v>
      </c>
      <c r="J929" s="3">
        <v>1168044</v>
      </c>
      <c r="K929" s="3">
        <v>8793.58</v>
      </c>
      <c r="L929" s="2">
        <v>16.7</v>
      </c>
      <c r="M929" s="11">
        <v>35.265240640000002</v>
      </c>
      <c r="N929" s="3">
        <v>12</v>
      </c>
      <c r="O929" s="3">
        <v>94943</v>
      </c>
      <c r="P929" s="3">
        <v>488576</v>
      </c>
      <c r="Q929" s="10">
        <v>0</v>
      </c>
      <c r="R929" s="3">
        <f>(Таблица1[Размер кредита]-$AA$2)/$AA$3</f>
        <v>-1.1513779558012358</v>
      </c>
      <c r="S929" s="3">
        <f>(Таблица1[Кредитный рейтинг]-$AA$7)/($AA$8-$AA$7)</f>
        <v>0</v>
      </c>
      <c r="T929" s="3">
        <f>(Таблица1[Срок с последнего нарушения кредитного договора (мес,)]-$AA$12)/($AA$13-$AA$12)</f>
        <v>0.40074137090909095</v>
      </c>
      <c r="U929" s="3">
        <f>(Таблица1[Количество кредитных карт]-$AA$18)/($AA$19-$AA$18)</f>
        <v>0.26190476190476192</v>
      </c>
      <c r="V929" s="3">
        <f>(Таблица1[Число нарушений кредитных договоров]-$AA$23)/($AA$24-$AA$23)</f>
        <v>0</v>
      </c>
      <c r="W929" s="3">
        <f>Таблица1[[#This Row],[Годовой доход]]/12</f>
        <v>97337</v>
      </c>
      <c r="X929" s="3">
        <f>Таблица1[[#This Row],[Ежемесячный платеж]]/Таблица1[[#This Row],[Ежем доход]]</f>
        <v>9.0341596720671477E-2</v>
      </c>
      <c r="Y929" s="3"/>
      <c r="Z929" s="3"/>
      <c r="AA929" s="3"/>
      <c r="AB929" s="3"/>
    </row>
    <row r="930" spans="1:28" x14ac:dyDescent="0.2">
      <c r="A930">
        <v>26</v>
      </c>
      <c r="B930" t="s">
        <v>61</v>
      </c>
      <c r="C930" t="s">
        <v>18</v>
      </c>
      <c r="D930" t="s">
        <v>29</v>
      </c>
      <c r="E930" t="s">
        <v>30</v>
      </c>
      <c r="F930" t="s">
        <v>33</v>
      </c>
      <c r="G930" t="s">
        <v>39</v>
      </c>
      <c r="H930" s="1">
        <v>465410</v>
      </c>
      <c r="I930" s="3">
        <v>688</v>
      </c>
      <c r="J930" s="3">
        <v>1722654</v>
      </c>
      <c r="K930" s="3">
        <v>15647.45</v>
      </c>
      <c r="L930" s="2">
        <v>22.3</v>
      </c>
      <c r="M930" s="11">
        <v>30</v>
      </c>
      <c r="N930" s="3">
        <v>7</v>
      </c>
      <c r="O930" s="3">
        <v>107559</v>
      </c>
      <c r="P930" s="3">
        <v>488356</v>
      </c>
      <c r="Q930" s="10">
        <v>0</v>
      </c>
      <c r="R930" s="3">
        <f>(Таблица1[Размер кредита]-$AA$2)/$AA$3</f>
        <v>0.8871012714883777</v>
      </c>
      <c r="S930" s="3">
        <f>(Таблица1[Кредитный рейтинг]-$AA$7)/($AA$8-$AA$7)</f>
        <v>0.91611185086551261</v>
      </c>
      <c r="T930" s="3">
        <f>(Таблица1[Срок с последнего нарушения кредитного договора (мес,)]-$AA$12)/($AA$13-$AA$12)</f>
        <v>0.34090909090909088</v>
      </c>
      <c r="U930" s="3">
        <f>(Таблица1[Количество кредитных карт]-$AA$18)/($AA$19-$AA$18)</f>
        <v>0.14285714285714285</v>
      </c>
      <c r="V930" s="3">
        <f>(Таблица1[Число нарушений кредитных договоров]-$AA$23)/($AA$24-$AA$23)</f>
        <v>0</v>
      </c>
      <c r="W930" s="3">
        <f>Таблица1[[#This Row],[Годовой доход]]/12</f>
        <v>143554.5</v>
      </c>
      <c r="X930" s="3">
        <f>Таблица1[[#This Row],[Ежемесячный платеж]]/Таблица1[[#This Row],[Ежем доход]]</f>
        <v>0.10900006617695719</v>
      </c>
      <c r="Y930" s="3"/>
      <c r="Z930" s="3"/>
      <c r="AA930" s="3"/>
      <c r="AB930" s="3"/>
    </row>
    <row r="931" spans="1:28" x14ac:dyDescent="0.2">
      <c r="A931">
        <v>543</v>
      </c>
      <c r="B931" t="s">
        <v>584</v>
      </c>
      <c r="C931" t="s">
        <v>18</v>
      </c>
      <c r="D931" t="s">
        <v>19</v>
      </c>
      <c r="E931" t="s">
        <v>41</v>
      </c>
      <c r="F931" t="s">
        <v>33</v>
      </c>
      <c r="G931" t="s">
        <v>25</v>
      </c>
      <c r="H931" s="1">
        <v>309594.52439999999</v>
      </c>
      <c r="I931" s="3">
        <v>747</v>
      </c>
      <c r="J931" s="3">
        <v>805030</v>
      </c>
      <c r="K931" s="3">
        <v>7781.83</v>
      </c>
      <c r="L931" s="2">
        <v>18.2</v>
      </c>
      <c r="M931" s="11">
        <v>53</v>
      </c>
      <c r="N931" s="3">
        <v>19</v>
      </c>
      <c r="O931" s="3">
        <v>152969</v>
      </c>
      <c r="P931" s="3">
        <v>487938</v>
      </c>
      <c r="Q931" s="10">
        <v>0</v>
      </c>
      <c r="R931" s="3">
        <f>(Таблица1[Размер кредита]-$AA$2)/$AA$3</f>
        <v>-1.2411115481956205E-10</v>
      </c>
      <c r="S931" s="3">
        <f>(Таблица1[Кредитный рейтинг]-$AA$7)/($AA$8-$AA$7)</f>
        <v>0.9946737683089214</v>
      </c>
      <c r="T931" s="3">
        <f>(Таблица1[Срок с последнего нарушения кредитного договора (мес,)]-$AA$12)/($AA$13-$AA$12)</f>
        <v>0.60227272727272729</v>
      </c>
      <c r="U931" s="3">
        <f>(Таблица1[Количество кредитных карт]-$AA$18)/($AA$19-$AA$18)</f>
        <v>0.42857142857142855</v>
      </c>
      <c r="V931" s="3">
        <f>(Таблица1[Число нарушений кредитных договоров]-$AA$23)/($AA$24-$AA$23)</f>
        <v>0</v>
      </c>
      <c r="W931" s="3">
        <f>Таблица1[[#This Row],[Годовой доход]]/12</f>
        <v>67085.833333333328</v>
      </c>
      <c r="X931" s="3">
        <f>Таблица1[[#This Row],[Ежемесячный платеж]]/Таблица1[[#This Row],[Ежем доход]]</f>
        <v>0.11599811187160727</v>
      </c>
      <c r="Y931" s="3"/>
      <c r="Z931" s="3"/>
      <c r="AA931" s="3"/>
      <c r="AB931" s="3"/>
    </row>
    <row r="932" spans="1:28" x14ac:dyDescent="0.2">
      <c r="A932">
        <v>654</v>
      </c>
      <c r="B932" t="s">
        <v>695</v>
      </c>
      <c r="C932" t="s">
        <v>18</v>
      </c>
      <c r="D932" t="s">
        <v>29</v>
      </c>
      <c r="E932" t="s">
        <v>24</v>
      </c>
      <c r="F932" t="s">
        <v>21</v>
      </c>
      <c r="G932" t="s">
        <v>67</v>
      </c>
      <c r="H932" s="1">
        <v>782320</v>
      </c>
      <c r="I932" s="3">
        <v>614</v>
      </c>
      <c r="J932" s="3">
        <v>2374392</v>
      </c>
      <c r="K932" s="3">
        <v>61932.02</v>
      </c>
      <c r="L932" s="2">
        <v>21.7</v>
      </c>
      <c r="M932" s="11">
        <v>23</v>
      </c>
      <c r="N932" s="3">
        <v>14</v>
      </c>
      <c r="O932" s="3">
        <v>363641</v>
      </c>
      <c r="P932" s="3">
        <v>487344</v>
      </c>
      <c r="Q932" s="10">
        <v>0</v>
      </c>
      <c r="R932" s="3">
        <f>(Таблица1[Размер кредита]-$AA$2)/$AA$3</f>
        <v>2.6913589224319652</v>
      </c>
      <c r="S932" s="3">
        <f>(Таблица1[Кредитный рейтинг]-$AA$7)/($AA$8-$AA$7)</f>
        <v>0.81757656458055927</v>
      </c>
      <c r="T932" s="3">
        <f>(Таблица1[Срок с последнего нарушения кредитного договора (мес,)]-$AA$12)/($AA$13-$AA$12)</f>
        <v>0.26136363636363635</v>
      </c>
      <c r="U932" s="3">
        <f>(Таблица1[Количество кредитных карт]-$AA$18)/($AA$19-$AA$18)</f>
        <v>0.30952380952380953</v>
      </c>
      <c r="V932" s="3">
        <f>(Таблица1[Число нарушений кредитных договоров]-$AA$23)/($AA$24-$AA$23)</f>
        <v>0</v>
      </c>
      <c r="W932" s="3">
        <f>Таблица1[[#This Row],[Годовой доход]]/12</f>
        <v>197866</v>
      </c>
      <c r="X932" s="3">
        <f>Таблица1[[#This Row],[Ежемесячный платеж]]/Таблица1[[#This Row],[Ежем доход]]</f>
        <v>0.31299980795083537</v>
      </c>
      <c r="Y932" s="3"/>
      <c r="Z932" s="3"/>
      <c r="AA932" s="3"/>
      <c r="AB932" s="3"/>
    </row>
    <row r="933" spans="1:28" x14ac:dyDescent="0.2">
      <c r="A933">
        <v>987</v>
      </c>
      <c r="B933" s="4" t="s">
        <v>1027</v>
      </c>
      <c r="C933" t="s">
        <v>18</v>
      </c>
      <c r="D933" t="s">
        <v>29</v>
      </c>
      <c r="E933" t="s">
        <v>52</v>
      </c>
      <c r="F933" t="s">
        <v>21</v>
      </c>
      <c r="G933" t="s">
        <v>25</v>
      </c>
      <c r="H933" s="1">
        <v>458700</v>
      </c>
      <c r="I933" s="3">
        <v>0</v>
      </c>
      <c r="J933" s="3">
        <v>1168044</v>
      </c>
      <c r="K933" s="3">
        <v>13455.99</v>
      </c>
      <c r="L933" s="2">
        <v>35.4</v>
      </c>
      <c r="M933" s="11">
        <v>28</v>
      </c>
      <c r="N933" s="3">
        <v>10</v>
      </c>
      <c r="O933" s="3">
        <v>212173</v>
      </c>
      <c r="P933" s="3">
        <v>486508</v>
      </c>
      <c r="Q933" s="10">
        <v>1</v>
      </c>
      <c r="R933" s="3">
        <f>(Таблица1[Размер кредита]-$AA$2)/$AA$3</f>
        <v>0.84889935662980121</v>
      </c>
      <c r="S933" s="3">
        <f>(Таблица1[Кредитный рейтинг]-$AA$7)/($AA$8-$AA$7)</f>
        <v>0</v>
      </c>
      <c r="T933" s="3">
        <f>(Таблица1[Срок с последнего нарушения кредитного договора (мес,)]-$AA$12)/($AA$13-$AA$12)</f>
        <v>0.31818181818181818</v>
      </c>
      <c r="U933" s="3">
        <f>(Таблица1[Количество кредитных карт]-$AA$18)/($AA$19-$AA$18)</f>
        <v>0.21428571428571427</v>
      </c>
      <c r="V933" s="3">
        <f>(Таблица1[Число нарушений кредитных договоров]-$AA$23)/($AA$24-$AA$23)</f>
        <v>0.14285714285714285</v>
      </c>
      <c r="W933" s="3">
        <f>Таблица1[[#This Row],[Годовой доход]]/12</f>
        <v>97337</v>
      </c>
      <c r="X933" s="3">
        <f>Таблица1[[#This Row],[Ежемесячный платеж]]/Таблица1[[#This Row],[Ежем доход]]</f>
        <v>0.1382412648838571</v>
      </c>
      <c r="Y933" s="3"/>
      <c r="Z933" s="3"/>
      <c r="AA933" s="3"/>
      <c r="AB933" s="3"/>
    </row>
    <row r="934" spans="1:28" x14ac:dyDescent="0.2">
      <c r="A934">
        <v>1898</v>
      </c>
      <c r="B934" t="s">
        <v>1934</v>
      </c>
      <c r="C934" t="s">
        <v>18</v>
      </c>
      <c r="D934" t="s">
        <v>19</v>
      </c>
      <c r="E934" t="s">
        <v>37</v>
      </c>
      <c r="F934" t="s">
        <v>21</v>
      </c>
      <c r="G934" t="s">
        <v>2038</v>
      </c>
      <c r="H934" s="1">
        <v>309594.52439999999</v>
      </c>
      <c r="I934" s="3">
        <v>704</v>
      </c>
      <c r="J934" s="3">
        <v>1236444</v>
      </c>
      <c r="K934" s="3">
        <v>31323.21</v>
      </c>
      <c r="L934" s="2">
        <v>14.6</v>
      </c>
      <c r="M934" s="11">
        <v>35.265240640000002</v>
      </c>
      <c r="N934" s="3">
        <v>17</v>
      </c>
      <c r="O934" s="3">
        <v>272460</v>
      </c>
      <c r="P934" s="3">
        <v>486112</v>
      </c>
      <c r="Q934" s="10">
        <v>0</v>
      </c>
      <c r="R934" s="3">
        <f>(Таблица1[Размер кредита]-$AA$2)/$AA$3</f>
        <v>-1.2411115481956205E-10</v>
      </c>
      <c r="S934" s="3">
        <f>(Таблица1[Кредитный рейтинг]-$AA$7)/($AA$8-$AA$7)</f>
        <v>0.93741677762982689</v>
      </c>
      <c r="T934" s="3">
        <f>(Таблица1[Срок с последнего нарушения кредитного договора (мес,)]-$AA$12)/($AA$13-$AA$12)</f>
        <v>0.40074137090909095</v>
      </c>
      <c r="U934" s="3">
        <f>(Таблица1[Количество кредитных карт]-$AA$18)/($AA$19-$AA$18)</f>
        <v>0.38095238095238093</v>
      </c>
      <c r="V934" s="3">
        <f>(Таблица1[Число нарушений кредитных договоров]-$AA$23)/($AA$24-$AA$23)</f>
        <v>0</v>
      </c>
      <c r="W934" s="3">
        <f>Таблица1[[#This Row],[Годовой доход]]/12</f>
        <v>103037</v>
      </c>
      <c r="X934" s="3">
        <f>Таблица1[[#This Row],[Ежемесячный платеж]]/Таблица1[[#This Row],[Ежем доход]]</f>
        <v>0.30399963120044254</v>
      </c>
      <c r="Y934" s="3"/>
      <c r="Z934" s="3"/>
      <c r="AA934" s="3"/>
      <c r="AB934" s="3"/>
    </row>
    <row r="935" spans="1:28" x14ac:dyDescent="0.2">
      <c r="A935">
        <v>649</v>
      </c>
      <c r="B935" t="s">
        <v>690</v>
      </c>
      <c r="C935" t="s">
        <v>18</v>
      </c>
      <c r="D935" t="s">
        <v>29</v>
      </c>
      <c r="E935" t="s">
        <v>24</v>
      </c>
      <c r="F935" t="s">
        <v>21</v>
      </c>
      <c r="G935" t="s">
        <v>22</v>
      </c>
      <c r="H935" s="1">
        <v>309594.52439999999</v>
      </c>
      <c r="I935" s="3">
        <v>727</v>
      </c>
      <c r="J935" s="3">
        <v>1914364</v>
      </c>
      <c r="K935" s="3">
        <v>19941.45</v>
      </c>
      <c r="L935" s="2">
        <v>19.600000000000001</v>
      </c>
      <c r="M935" s="11">
        <v>35.265240640000002</v>
      </c>
      <c r="N935" s="3">
        <v>7</v>
      </c>
      <c r="O935" s="3">
        <v>168587</v>
      </c>
      <c r="P935" s="3">
        <v>485562</v>
      </c>
      <c r="Q935" s="10">
        <v>0</v>
      </c>
      <c r="R935" s="3">
        <f>(Таблица1[Размер кредита]-$AA$2)/$AA$3</f>
        <v>-1.2411115481956205E-10</v>
      </c>
      <c r="S935" s="3">
        <f>(Таблица1[Кредитный рейтинг]-$AA$7)/($AA$8-$AA$7)</f>
        <v>0.96804260985352863</v>
      </c>
      <c r="T935" s="3">
        <f>(Таблица1[Срок с последнего нарушения кредитного договора (мес,)]-$AA$12)/($AA$13-$AA$12)</f>
        <v>0.40074137090909095</v>
      </c>
      <c r="U935" s="3">
        <f>(Таблица1[Количество кредитных карт]-$AA$18)/($AA$19-$AA$18)</f>
        <v>0.14285714285714285</v>
      </c>
      <c r="V935" s="3">
        <f>(Таблица1[Число нарушений кредитных договоров]-$AA$23)/($AA$24-$AA$23)</f>
        <v>0</v>
      </c>
      <c r="W935" s="3">
        <f>Таблица1[[#This Row],[Годовой доход]]/12</f>
        <v>159530.33333333334</v>
      </c>
      <c r="X935" s="3">
        <f>Таблица1[[#This Row],[Ежемесячный платеж]]/Таблица1[[#This Row],[Ежем доход]]</f>
        <v>0.12500099249672475</v>
      </c>
      <c r="Y935" s="3"/>
      <c r="Z935" s="3"/>
      <c r="AA935" s="3"/>
      <c r="AB935" s="3"/>
    </row>
    <row r="936" spans="1:28" x14ac:dyDescent="0.2">
      <c r="A936">
        <v>46</v>
      </c>
      <c r="B936" t="s">
        <v>86</v>
      </c>
      <c r="C936" t="s">
        <v>18</v>
      </c>
      <c r="D936" t="s">
        <v>19</v>
      </c>
      <c r="E936" t="s">
        <v>63</v>
      </c>
      <c r="F936" t="s">
        <v>33</v>
      </c>
      <c r="G936" t="s">
        <v>25</v>
      </c>
      <c r="H936" s="1">
        <v>266112</v>
      </c>
      <c r="I936" s="3">
        <v>750</v>
      </c>
      <c r="J936" s="3">
        <v>919296</v>
      </c>
      <c r="K936" s="3">
        <v>12946.79</v>
      </c>
      <c r="L936" s="2">
        <v>21.6</v>
      </c>
      <c r="M936" s="11">
        <v>35.265240640000002</v>
      </c>
      <c r="N936" s="3">
        <v>9</v>
      </c>
      <c r="O936" s="3">
        <v>266266</v>
      </c>
      <c r="P936" s="3">
        <v>485518</v>
      </c>
      <c r="Q936" s="10">
        <v>0</v>
      </c>
      <c r="R936" s="3">
        <f>(Таблица1[Размер кредита]-$AA$2)/$AA$3</f>
        <v>-0.24755822590127569</v>
      </c>
      <c r="S936" s="3">
        <f>(Таблица1[Кредитный рейтинг]-$AA$7)/($AA$8-$AA$7)</f>
        <v>0.99866844207723038</v>
      </c>
      <c r="T936" s="3">
        <f>(Таблица1[Срок с последнего нарушения кредитного договора (мес,)]-$AA$12)/($AA$13-$AA$12)</f>
        <v>0.40074137090909095</v>
      </c>
      <c r="U936" s="3">
        <f>(Таблица1[Количество кредитных карт]-$AA$18)/($AA$19-$AA$18)</f>
        <v>0.19047619047619047</v>
      </c>
      <c r="V936" s="3">
        <f>(Таблица1[Число нарушений кредитных договоров]-$AA$23)/($AA$24-$AA$23)</f>
        <v>0</v>
      </c>
      <c r="W936" s="3">
        <f>Таблица1[[#This Row],[Годовой доход]]/12</f>
        <v>76608</v>
      </c>
      <c r="X936" s="3">
        <f>Таблица1[[#This Row],[Ежемесячный платеж]]/Таблица1[[#This Row],[Ежем доход]]</f>
        <v>0.16900049603174605</v>
      </c>
      <c r="Y936" s="3"/>
      <c r="Z936" s="3"/>
      <c r="AA936" s="3"/>
      <c r="AB936" s="3"/>
    </row>
    <row r="937" spans="1:28" x14ac:dyDescent="0.2">
      <c r="A937">
        <v>566</v>
      </c>
      <c r="B937" t="s">
        <v>607</v>
      </c>
      <c r="C937" t="s">
        <v>18</v>
      </c>
      <c r="D937" t="s">
        <v>29</v>
      </c>
      <c r="E937" t="s">
        <v>69</v>
      </c>
      <c r="F937" t="s">
        <v>33</v>
      </c>
      <c r="G937" t="s">
        <v>25</v>
      </c>
      <c r="H937" s="1">
        <v>337150</v>
      </c>
      <c r="I937" s="3">
        <v>721</v>
      </c>
      <c r="J937" s="3">
        <v>1119936</v>
      </c>
      <c r="K937" s="3">
        <v>15959.05</v>
      </c>
      <c r="L937" s="2">
        <v>12.5</v>
      </c>
      <c r="M937" s="11">
        <v>15</v>
      </c>
      <c r="N937" s="3">
        <v>9</v>
      </c>
      <c r="O937" s="3">
        <v>166573</v>
      </c>
      <c r="P937" s="3">
        <v>484594</v>
      </c>
      <c r="Q937" s="10">
        <v>0</v>
      </c>
      <c r="R937" s="3">
        <f>(Таблица1[Размер кредита]-$AA$2)/$AA$3</f>
        <v>0.15688106288017822</v>
      </c>
      <c r="S937" s="3">
        <f>(Таблица1[Кредитный рейтинг]-$AA$7)/($AA$8-$AA$7)</f>
        <v>0.96005326231691079</v>
      </c>
      <c r="T937" s="3">
        <f>(Таблица1[Срок с последнего нарушения кредитного договора (мес,)]-$AA$12)/($AA$13-$AA$12)</f>
        <v>0.17045454545454544</v>
      </c>
      <c r="U937" s="3">
        <f>(Таблица1[Количество кредитных карт]-$AA$18)/($AA$19-$AA$18)</f>
        <v>0.19047619047619047</v>
      </c>
      <c r="V937" s="3">
        <f>(Таблица1[Число нарушений кредитных договоров]-$AA$23)/($AA$24-$AA$23)</f>
        <v>0</v>
      </c>
      <c r="W937" s="3">
        <f>Таблица1[[#This Row],[Годовой доход]]/12</f>
        <v>93328</v>
      </c>
      <c r="X937" s="3">
        <f>Таблица1[[#This Row],[Ежемесячный платеж]]/Таблица1[[#This Row],[Ежем доход]]</f>
        <v>0.17099959283387622</v>
      </c>
      <c r="Y937" s="3"/>
      <c r="Z937" s="3"/>
      <c r="AA937" s="3"/>
      <c r="AB937" s="3"/>
    </row>
    <row r="938" spans="1:28" x14ac:dyDescent="0.2">
      <c r="A938">
        <v>1047</v>
      </c>
      <c r="B938" t="s">
        <v>1086</v>
      </c>
      <c r="C938" t="s">
        <v>18</v>
      </c>
      <c r="D938" t="s">
        <v>29</v>
      </c>
      <c r="E938" t="s">
        <v>32</v>
      </c>
      <c r="F938" t="s">
        <v>21</v>
      </c>
      <c r="G938" t="s">
        <v>25</v>
      </c>
      <c r="H938" s="1">
        <v>333168</v>
      </c>
      <c r="I938" s="3">
        <v>682</v>
      </c>
      <c r="J938" s="3">
        <v>1163750</v>
      </c>
      <c r="K938" s="3">
        <v>24632.55</v>
      </c>
      <c r="L938" s="2">
        <v>8.5</v>
      </c>
      <c r="M938" s="11">
        <v>35.265240640000002</v>
      </c>
      <c r="N938" s="3">
        <v>21</v>
      </c>
      <c r="O938" s="3">
        <v>325109</v>
      </c>
      <c r="P938" s="3">
        <v>484484</v>
      </c>
      <c r="Q938" s="10">
        <v>0</v>
      </c>
      <c r="R938" s="3">
        <f>(Таблица1[Размер кредита]-$AA$2)/$AA$3</f>
        <v>0.13421041832476072</v>
      </c>
      <c r="S938" s="3">
        <f>(Таблица1[Кредитный рейтинг]-$AA$7)/($AA$8-$AA$7)</f>
        <v>0.90812250332889477</v>
      </c>
      <c r="T938" s="3">
        <f>(Таблица1[Срок с последнего нарушения кредитного договора (мес,)]-$AA$12)/($AA$13-$AA$12)</f>
        <v>0.40074137090909095</v>
      </c>
      <c r="U938" s="3">
        <f>(Таблица1[Количество кредитных карт]-$AA$18)/($AA$19-$AA$18)</f>
        <v>0.47619047619047616</v>
      </c>
      <c r="V938" s="3">
        <f>(Таблица1[Число нарушений кредитных договоров]-$AA$23)/($AA$24-$AA$23)</f>
        <v>0</v>
      </c>
      <c r="W938" s="3">
        <f>Таблица1[[#This Row],[Годовой доход]]/12</f>
        <v>96979.166666666672</v>
      </c>
      <c r="X938" s="3">
        <f>Таблица1[[#This Row],[Ежемесячный платеж]]/Таблица1[[#This Row],[Ежем доход]]</f>
        <v>0.25399836734693876</v>
      </c>
      <c r="Y938" s="3"/>
      <c r="Z938" s="3"/>
      <c r="AA938" s="3"/>
      <c r="AB938" s="3"/>
    </row>
    <row r="939" spans="1:28" x14ac:dyDescent="0.2">
      <c r="A939">
        <v>1079</v>
      </c>
      <c r="B939" t="s">
        <v>1118</v>
      </c>
      <c r="C939" t="s">
        <v>18</v>
      </c>
      <c r="D939" t="s">
        <v>19</v>
      </c>
      <c r="E939" t="s">
        <v>47</v>
      </c>
      <c r="F939" t="s">
        <v>21</v>
      </c>
      <c r="G939" t="s">
        <v>25</v>
      </c>
      <c r="H939" s="1">
        <v>330792</v>
      </c>
      <c r="I939" s="3">
        <v>0</v>
      </c>
      <c r="J939" s="3">
        <v>1168044</v>
      </c>
      <c r="K939" s="3">
        <v>8173.04</v>
      </c>
      <c r="L939" s="2">
        <v>22.6</v>
      </c>
      <c r="M939" s="11">
        <v>53</v>
      </c>
      <c r="N939" s="3">
        <v>7</v>
      </c>
      <c r="O939" s="3">
        <v>293816</v>
      </c>
      <c r="P939" s="3">
        <v>483956</v>
      </c>
      <c r="Q939" s="10">
        <v>0</v>
      </c>
      <c r="R939" s="3">
        <f>(Таблица1[Размер кредита]-$AA$2)/$AA$3</f>
        <v>0.12068318289942871</v>
      </c>
      <c r="S939" s="3">
        <f>(Таблица1[Кредитный рейтинг]-$AA$7)/($AA$8-$AA$7)</f>
        <v>0</v>
      </c>
      <c r="T939" s="3">
        <f>(Таблица1[Срок с последнего нарушения кредитного договора (мес,)]-$AA$12)/($AA$13-$AA$12)</f>
        <v>0.60227272727272729</v>
      </c>
      <c r="U939" s="3">
        <f>(Таблица1[Количество кредитных карт]-$AA$18)/($AA$19-$AA$18)</f>
        <v>0.14285714285714285</v>
      </c>
      <c r="V939" s="3">
        <f>(Таблица1[Число нарушений кредитных договоров]-$AA$23)/($AA$24-$AA$23)</f>
        <v>0</v>
      </c>
      <c r="W939" s="3">
        <f>Таблица1[[#This Row],[Годовой доход]]/12</f>
        <v>97337</v>
      </c>
      <c r="X939" s="3">
        <f>Таблица1[[#This Row],[Ежемесячный платеж]]/Таблица1[[#This Row],[Ежем доход]]</f>
        <v>8.3966425922311141E-2</v>
      </c>
      <c r="Y939" s="3"/>
      <c r="Z939" s="3"/>
      <c r="AA939" s="3"/>
      <c r="AB939" s="3"/>
    </row>
    <row r="940" spans="1:28" x14ac:dyDescent="0.2">
      <c r="A940">
        <v>1808</v>
      </c>
      <c r="B940" t="s">
        <v>1846</v>
      </c>
      <c r="C940" t="s">
        <v>35</v>
      </c>
      <c r="D940" t="s">
        <v>29</v>
      </c>
      <c r="E940" t="s">
        <v>50</v>
      </c>
      <c r="F940" t="s">
        <v>21</v>
      </c>
      <c r="G940" t="s">
        <v>25</v>
      </c>
      <c r="H940" s="1">
        <v>377190</v>
      </c>
      <c r="I940" s="3">
        <v>700</v>
      </c>
      <c r="J940" s="3">
        <v>4690454</v>
      </c>
      <c r="K940" s="3">
        <v>26969.93</v>
      </c>
      <c r="L940" s="2">
        <v>21.9</v>
      </c>
      <c r="M940" s="11">
        <v>9</v>
      </c>
      <c r="N940" s="3">
        <v>11</v>
      </c>
      <c r="O940" s="3">
        <v>280174</v>
      </c>
      <c r="P940" s="3">
        <v>483472</v>
      </c>
      <c r="Q940" s="10">
        <v>0</v>
      </c>
      <c r="R940" s="3">
        <f>(Таблица1[Размер кредита]-$AA$2)/$AA$3</f>
        <v>0.38484003023299523</v>
      </c>
      <c r="S940" s="3">
        <f>(Таблица1[Кредитный рейтинг]-$AA$7)/($AA$8-$AA$7)</f>
        <v>0.93209054593874829</v>
      </c>
      <c r="T940" s="3">
        <f>(Таблица1[Срок с последнего нарушения кредитного договора (мес,)]-$AA$12)/($AA$13-$AA$12)</f>
        <v>0.10227272727272728</v>
      </c>
      <c r="U940" s="3">
        <f>(Таблица1[Количество кредитных карт]-$AA$18)/($AA$19-$AA$18)</f>
        <v>0.23809523809523808</v>
      </c>
      <c r="V940" s="3">
        <f>(Таблица1[Число нарушений кредитных договоров]-$AA$23)/($AA$24-$AA$23)</f>
        <v>0</v>
      </c>
      <c r="W940" s="3">
        <f>Таблица1[[#This Row],[Годовой доход]]/12</f>
        <v>390871.16666666669</v>
      </c>
      <c r="X940" s="3">
        <f>Таблица1[[#This Row],[Ежемесячный платеж]]/Таблица1[[#This Row],[Ежем доход]]</f>
        <v>6.8999538211013262E-2</v>
      </c>
      <c r="Y940" s="3"/>
      <c r="Z940" s="3"/>
      <c r="AA940" s="3"/>
      <c r="AB940" s="3"/>
    </row>
    <row r="941" spans="1:28" x14ac:dyDescent="0.2">
      <c r="A941">
        <v>42</v>
      </c>
      <c r="B941" t="s">
        <v>82</v>
      </c>
      <c r="C941" t="s">
        <v>18</v>
      </c>
      <c r="D941" t="s">
        <v>19</v>
      </c>
      <c r="E941" t="s">
        <v>41</v>
      </c>
      <c r="F941" t="s">
        <v>33</v>
      </c>
      <c r="G941" t="s">
        <v>25</v>
      </c>
      <c r="H941" s="1">
        <v>210166</v>
      </c>
      <c r="I941" s="3">
        <v>0</v>
      </c>
      <c r="J941" s="3">
        <v>1168044</v>
      </c>
      <c r="K941" s="3">
        <v>13084.54</v>
      </c>
      <c r="L941" s="2">
        <v>14</v>
      </c>
      <c r="M941" s="11">
        <v>20</v>
      </c>
      <c r="N941" s="3">
        <v>10</v>
      </c>
      <c r="O941" s="3">
        <v>314336</v>
      </c>
      <c r="P941" s="3">
        <v>483362</v>
      </c>
      <c r="Q941" s="10">
        <v>0</v>
      </c>
      <c r="R941" s="3">
        <f>(Таблица1[Размер кредита]-$AA$2)/$AA$3</f>
        <v>-0.56607451929589858</v>
      </c>
      <c r="S941" s="3">
        <f>(Таблица1[Кредитный рейтинг]-$AA$7)/($AA$8-$AA$7)</f>
        <v>0</v>
      </c>
      <c r="T941" s="3">
        <f>(Таблица1[Срок с последнего нарушения кредитного договора (мес,)]-$AA$12)/($AA$13-$AA$12)</f>
        <v>0.22727272727272727</v>
      </c>
      <c r="U941" s="3">
        <f>(Таблица1[Количество кредитных карт]-$AA$18)/($AA$19-$AA$18)</f>
        <v>0.21428571428571427</v>
      </c>
      <c r="V941" s="3">
        <f>(Таблица1[Число нарушений кредитных договоров]-$AA$23)/($AA$24-$AA$23)</f>
        <v>0</v>
      </c>
      <c r="W941" s="3">
        <f>Таблица1[[#This Row],[Годовой доход]]/12</f>
        <v>97337</v>
      </c>
      <c r="X941" s="3">
        <f>Таблица1[[#This Row],[Ежемесячный платеж]]/Таблица1[[#This Row],[Ежем доход]]</f>
        <v>0.13442514151864143</v>
      </c>
      <c r="Y941" s="3"/>
      <c r="Z941" s="3"/>
      <c r="AA941" s="3"/>
      <c r="AB941" s="3"/>
    </row>
    <row r="942" spans="1:28" x14ac:dyDescent="0.2">
      <c r="A942">
        <v>1701</v>
      </c>
      <c r="B942" t="s">
        <v>1739</v>
      </c>
      <c r="C942" t="s">
        <v>18</v>
      </c>
      <c r="D942" t="s">
        <v>29</v>
      </c>
      <c r="E942" t="s">
        <v>52</v>
      </c>
      <c r="F942" t="s">
        <v>21</v>
      </c>
      <c r="G942" t="s">
        <v>25</v>
      </c>
      <c r="H942" s="1">
        <v>752686</v>
      </c>
      <c r="I942" s="3">
        <v>715</v>
      </c>
      <c r="J942" s="3">
        <v>1671525</v>
      </c>
      <c r="K942" s="3">
        <v>16018.71</v>
      </c>
      <c r="L942" s="2">
        <v>13.1</v>
      </c>
      <c r="M942" s="11">
        <v>35.265240640000002</v>
      </c>
      <c r="N942" s="3">
        <v>9</v>
      </c>
      <c r="O942" s="3">
        <v>336053</v>
      </c>
      <c r="P942" s="3">
        <v>481580</v>
      </c>
      <c r="Q942" s="10">
        <v>0</v>
      </c>
      <c r="R942" s="3">
        <f>(Таблица1[Размер кредита]-$AA$2)/$AA$3</f>
        <v>2.5226442361549077</v>
      </c>
      <c r="S942" s="3">
        <f>(Таблица1[Кредитный рейтинг]-$AA$7)/($AA$8-$AA$7)</f>
        <v>0.95206391478029295</v>
      </c>
      <c r="T942" s="3">
        <f>(Таблица1[Срок с последнего нарушения кредитного договора (мес,)]-$AA$12)/($AA$13-$AA$12)</f>
        <v>0.40074137090909095</v>
      </c>
      <c r="U942" s="3">
        <f>(Таблица1[Количество кредитных карт]-$AA$18)/($AA$19-$AA$18)</f>
        <v>0.19047619047619047</v>
      </c>
      <c r="V942" s="3">
        <f>(Таблица1[Число нарушений кредитных договоров]-$AA$23)/($AA$24-$AA$23)</f>
        <v>0</v>
      </c>
      <c r="W942" s="3">
        <f>Таблица1[[#This Row],[Годовой доход]]/12</f>
        <v>139293.75</v>
      </c>
      <c r="X942" s="3">
        <f>Таблица1[[#This Row],[Ежемесячный платеж]]/Таблица1[[#This Row],[Ежем доход]]</f>
        <v>0.11499948849104859</v>
      </c>
      <c r="Y942" s="3"/>
      <c r="Z942" s="3"/>
      <c r="AA942" s="3"/>
      <c r="AB942" s="3"/>
    </row>
    <row r="943" spans="1:28" x14ac:dyDescent="0.2">
      <c r="A943">
        <v>1765</v>
      </c>
      <c r="B943" t="s">
        <v>1803</v>
      </c>
      <c r="C943" t="s">
        <v>18</v>
      </c>
      <c r="D943" t="s">
        <v>19</v>
      </c>
      <c r="E943" t="s">
        <v>24</v>
      </c>
      <c r="F943" t="s">
        <v>21</v>
      </c>
      <c r="G943" t="s">
        <v>25</v>
      </c>
      <c r="H943" s="1">
        <v>309594.52439999999</v>
      </c>
      <c r="I943" s="3">
        <v>740</v>
      </c>
      <c r="J943" s="3">
        <v>1113438</v>
      </c>
      <c r="K943" s="3">
        <v>28485.37</v>
      </c>
      <c r="L943" s="2">
        <v>12.5</v>
      </c>
      <c r="M943" s="11">
        <v>35.265240640000002</v>
      </c>
      <c r="N943" s="3">
        <v>13</v>
      </c>
      <c r="O943" s="3">
        <v>301625</v>
      </c>
      <c r="P943" s="3">
        <v>481052</v>
      </c>
      <c r="Q943" s="10">
        <v>0</v>
      </c>
      <c r="R943" s="3">
        <f>(Таблица1[Размер кредита]-$AA$2)/$AA$3</f>
        <v>-1.2411115481956205E-10</v>
      </c>
      <c r="S943" s="3">
        <f>(Таблица1[Кредитный рейтинг]-$AA$7)/($AA$8-$AA$7)</f>
        <v>0.98535286284953394</v>
      </c>
      <c r="T943" s="3">
        <f>(Таблица1[Срок с последнего нарушения кредитного договора (мес,)]-$AA$12)/($AA$13-$AA$12)</f>
        <v>0.40074137090909095</v>
      </c>
      <c r="U943" s="3">
        <f>(Таблица1[Количество кредитных карт]-$AA$18)/($AA$19-$AA$18)</f>
        <v>0.2857142857142857</v>
      </c>
      <c r="V943" s="3">
        <f>(Таблица1[Число нарушений кредитных договоров]-$AA$23)/($AA$24-$AA$23)</f>
        <v>0</v>
      </c>
      <c r="W943" s="3">
        <f>Таблица1[[#This Row],[Годовой доход]]/12</f>
        <v>92786.5</v>
      </c>
      <c r="X943" s="3">
        <f>Таблица1[[#This Row],[Ежемесячный платеж]]/Таблица1[[#This Row],[Ежем доход]]</f>
        <v>0.30699907852974301</v>
      </c>
      <c r="Y943" s="3"/>
      <c r="Z943" s="3"/>
      <c r="AA943" s="3"/>
      <c r="AB943" s="3"/>
    </row>
    <row r="944" spans="1:28" x14ac:dyDescent="0.2">
      <c r="A944">
        <v>617</v>
      </c>
      <c r="B944" t="s">
        <v>658</v>
      </c>
      <c r="C944" t="s">
        <v>18</v>
      </c>
      <c r="D944" t="s">
        <v>19</v>
      </c>
      <c r="E944" t="s">
        <v>47</v>
      </c>
      <c r="F944" t="s">
        <v>21</v>
      </c>
      <c r="G944" t="s">
        <v>25</v>
      </c>
      <c r="H944" s="1">
        <v>309594.52439999999</v>
      </c>
      <c r="I944" s="3">
        <v>726</v>
      </c>
      <c r="J944" s="3">
        <v>622744</v>
      </c>
      <c r="K944" s="3">
        <v>16762.37</v>
      </c>
      <c r="L944" s="2">
        <v>15.8</v>
      </c>
      <c r="M944" s="11">
        <v>79</v>
      </c>
      <c r="N944" s="3">
        <v>15</v>
      </c>
      <c r="O944" s="3">
        <v>203946</v>
      </c>
      <c r="P944" s="3">
        <v>480964</v>
      </c>
      <c r="Q944" s="10">
        <v>0</v>
      </c>
      <c r="R944" s="3">
        <f>(Таблица1[Размер кредита]-$AA$2)/$AA$3</f>
        <v>-1.2411115481956205E-10</v>
      </c>
      <c r="S944" s="3">
        <f>(Таблица1[Кредитный рейтинг]-$AA$7)/($AA$8-$AA$7)</f>
        <v>0.96671105193075901</v>
      </c>
      <c r="T944" s="3">
        <f>(Таблица1[Срок с последнего нарушения кредитного договора (мес,)]-$AA$12)/($AA$13-$AA$12)</f>
        <v>0.89772727272727271</v>
      </c>
      <c r="U944" s="3">
        <f>(Таблица1[Количество кредитных карт]-$AA$18)/($AA$19-$AA$18)</f>
        <v>0.33333333333333331</v>
      </c>
      <c r="V944" s="3">
        <f>(Таблица1[Число нарушений кредитных договоров]-$AA$23)/($AA$24-$AA$23)</f>
        <v>0</v>
      </c>
      <c r="W944" s="3">
        <f>Таблица1[[#This Row],[Годовой доход]]/12</f>
        <v>51895.333333333336</v>
      </c>
      <c r="X944" s="3">
        <f>Таблица1[[#This Row],[Ежемесячный платеж]]/Таблица1[[#This Row],[Ежем доход]]</f>
        <v>0.3230034171344886</v>
      </c>
      <c r="Y944" s="3"/>
      <c r="Z944" s="3"/>
      <c r="AA944" s="3"/>
      <c r="AB944" s="3"/>
    </row>
    <row r="945" spans="1:28" x14ac:dyDescent="0.2">
      <c r="A945">
        <v>1659</v>
      </c>
      <c r="B945" t="s">
        <v>1697</v>
      </c>
      <c r="C945" t="s">
        <v>35</v>
      </c>
      <c r="D945" t="s">
        <v>19</v>
      </c>
      <c r="E945" t="s">
        <v>37</v>
      </c>
      <c r="F945" t="s">
        <v>33</v>
      </c>
      <c r="G945" t="s">
        <v>75</v>
      </c>
      <c r="H945" s="1">
        <v>90090</v>
      </c>
      <c r="I945" s="3">
        <v>711</v>
      </c>
      <c r="J945" s="3">
        <v>1653437</v>
      </c>
      <c r="K945" s="3">
        <v>27695.16</v>
      </c>
      <c r="L945" s="2">
        <v>18.5</v>
      </c>
      <c r="M945" s="11">
        <v>35.265240640000002</v>
      </c>
      <c r="N945" s="3">
        <v>16</v>
      </c>
      <c r="O945" s="3">
        <v>265696</v>
      </c>
      <c r="P945" s="3">
        <v>479952</v>
      </c>
      <c r="Q945" s="10">
        <v>0</v>
      </c>
      <c r="R945" s="3">
        <f>(Таблица1[Размер кредита]-$AA$2)/$AA$3</f>
        <v>-1.2497009169946212</v>
      </c>
      <c r="S945" s="3">
        <f>(Таблица1[Кредитный рейтинг]-$AA$7)/($AA$8-$AA$7)</f>
        <v>0.94673768308921435</v>
      </c>
      <c r="T945" s="3">
        <f>(Таблица1[Срок с последнего нарушения кредитного договора (мес,)]-$AA$12)/($AA$13-$AA$12)</f>
        <v>0.40074137090909095</v>
      </c>
      <c r="U945" s="3">
        <f>(Таблица1[Количество кредитных карт]-$AA$18)/($AA$19-$AA$18)</f>
        <v>0.35714285714285715</v>
      </c>
      <c r="V945" s="3">
        <f>(Таблица1[Число нарушений кредитных договоров]-$AA$23)/($AA$24-$AA$23)</f>
        <v>0</v>
      </c>
      <c r="W945" s="3">
        <f>Таблица1[[#This Row],[Годовой доход]]/12</f>
        <v>137786.41666666666</v>
      </c>
      <c r="X945" s="3">
        <f>Таблица1[[#This Row],[Ежемесячный платеж]]/Таблица1[[#This Row],[Ежем доход]]</f>
        <v>0.2010006549992531</v>
      </c>
      <c r="Y945" s="3"/>
      <c r="Z945" s="3"/>
      <c r="AA945" s="3"/>
      <c r="AB945" s="3"/>
    </row>
    <row r="946" spans="1:28" x14ac:dyDescent="0.2">
      <c r="A946">
        <v>624</v>
      </c>
      <c r="B946" t="s">
        <v>665</v>
      </c>
      <c r="C946" t="s">
        <v>18</v>
      </c>
      <c r="D946" t="s">
        <v>29</v>
      </c>
      <c r="E946" t="s">
        <v>20</v>
      </c>
      <c r="F946" t="s">
        <v>21</v>
      </c>
      <c r="G946" t="s">
        <v>25</v>
      </c>
      <c r="H946" s="1">
        <v>328548</v>
      </c>
      <c r="I946" s="3">
        <v>704</v>
      </c>
      <c r="J946" s="3">
        <v>1172813</v>
      </c>
      <c r="K946" s="3">
        <v>16028.4</v>
      </c>
      <c r="L946" s="2">
        <v>13.5</v>
      </c>
      <c r="M946" s="11">
        <v>38</v>
      </c>
      <c r="N946" s="3">
        <v>7</v>
      </c>
      <c r="O946" s="3">
        <v>350246</v>
      </c>
      <c r="P946" s="3">
        <v>479930</v>
      </c>
      <c r="Q946" s="10">
        <v>0</v>
      </c>
      <c r="R946" s="3">
        <f>(Таблица1[Размер кредита]-$AA$2)/$AA$3</f>
        <v>0.10790746055328182</v>
      </c>
      <c r="S946" s="3">
        <f>(Таблица1[Кредитный рейтинг]-$AA$7)/($AA$8-$AA$7)</f>
        <v>0.93741677762982689</v>
      </c>
      <c r="T946" s="3">
        <f>(Таблица1[Срок с последнего нарушения кредитного договора (мес,)]-$AA$12)/($AA$13-$AA$12)</f>
        <v>0.43181818181818182</v>
      </c>
      <c r="U946" s="3">
        <f>(Таблица1[Количество кредитных карт]-$AA$18)/($AA$19-$AA$18)</f>
        <v>0.14285714285714285</v>
      </c>
      <c r="V946" s="3">
        <f>(Таблица1[Число нарушений кредитных договоров]-$AA$23)/($AA$24-$AA$23)</f>
        <v>0</v>
      </c>
      <c r="W946" s="3">
        <f>Таблица1[[#This Row],[Годовой доход]]/12</f>
        <v>97734.416666666672</v>
      </c>
      <c r="X946" s="3">
        <f>Таблица1[[#This Row],[Ежемесячный платеж]]/Таблица1[[#This Row],[Ежем доход]]</f>
        <v>0.1639995463897484</v>
      </c>
      <c r="Y946" s="3"/>
      <c r="Z946" s="3"/>
      <c r="AA946" s="3"/>
      <c r="AB946" s="3"/>
    </row>
    <row r="947" spans="1:28" x14ac:dyDescent="0.2">
      <c r="A947">
        <v>1994</v>
      </c>
      <c r="B947" t="s">
        <v>2030</v>
      </c>
      <c r="C947" t="s">
        <v>18</v>
      </c>
      <c r="D947" t="s">
        <v>19</v>
      </c>
      <c r="E947" t="s">
        <v>37</v>
      </c>
      <c r="F947" t="s">
        <v>33</v>
      </c>
      <c r="G947" t="s">
        <v>25</v>
      </c>
      <c r="H947" s="1">
        <v>54098</v>
      </c>
      <c r="I947" s="3">
        <v>739</v>
      </c>
      <c r="J947" s="3">
        <v>411027</v>
      </c>
      <c r="K947" s="3">
        <v>5857.13</v>
      </c>
      <c r="L947" s="2">
        <v>16</v>
      </c>
      <c r="M947" s="11">
        <v>19</v>
      </c>
      <c r="N947" s="3">
        <v>12</v>
      </c>
      <c r="O947" s="3">
        <v>184015</v>
      </c>
      <c r="P947" s="3">
        <v>479864</v>
      </c>
      <c r="Q947" s="10">
        <v>0</v>
      </c>
      <c r="R947" s="3">
        <f>(Таблица1[Размер кредита]-$AA$2)/$AA$3</f>
        <v>-1.454613483252428</v>
      </c>
      <c r="S947" s="3">
        <f>(Таблица1[Кредитный рейтинг]-$AA$7)/($AA$8-$AA$7)</f>
        <v>0.98402130492676432</v>
      </c>
      <c r="T947" s="3">
        <f>(Таблица1[Срок с последнего нарушения кредитного договора (мес,)]-$AA$12)/($AA$13-$AA$12)</f>
        <v>0.21590909090909091</v>
      </c>
      <c r="U947" s="3">
        <f>(Таблица1[Количество кредитных карт]-$AA$18)/($AA$19-$AA$18)</f>
        <v>0.26190476190476192</v>
      </c>
      <c r="V947" s="3">
        <f>(Таблица1[Число нарушений кредитных договоров]-$AA$23)/($AA$24-$AA$23)</f>
        <v>0</v>
      </c>
      <c r="W947" s="3">
        <f>Таблица1[[#This Row],[Годовой доход]]/12</f>
        <v>34252.25</v>
      </c>
      <c r="X947" s="3">
        <f>Таблица1[[#This Row],[Ежемесячный платеж]]/Таблица1[[#This Row],[Ежем доход]]</f>
        <v>0.17099986132297879</v>
      </c>
      <c r="Y947" s="3"/>
      <c r="Z947" s="3"/>
      <c r="AA947" s="3"/>
      <c r="AB947" s="3"/>
    </row>
    <row r="948" spans="1:28" x14ac:dyDescent="0.2">
      <c r="A948">
        <v>1486</v>
      </c>
      <c r="B948" t="s">
        <v>1525</v>
      </c>
      <c r="C948" t="s">
        <v>18</v>
      </c>
      <c r="D948" t="s">
        <v>19</v>
      </c>
      <c r="E948" t="s">
        <v>24</v>
      </c>
      <c r="F948" t="s">
        <v>33</v>
      </c>
      <c r="G948" t="s">
        <v>25</v>
      </c>
      <c r="H948" s="1">
        <v>309594.52439999999</v>
      </c>
      <c r="I948" s="3">
        <v>742</v>
      </c>
      <c r="J948" s="3">
        <v>1139088</v>
      </c>
      <c r="K948" s="3">
        <v>19934.04</v>
      </c>
      <c r="L948" s="2">
        <v>14.9</v>
      </c>
      <c r="M948" s="11">
        <v>9</v>
      </c>
      <c r="N948" s="3">
        <v>32</v>
      </c>
      <c r="O948" s="3">
        <v>106818</v>
      </c>
      <c r="P948" s="3">
        <v>479446</v>
      </c>
      <c r="Q948" s="10">
        <v>0</v>
      </c>
      <c r="R948" s="3">
        <f>(Таблица1[Размер кредита]-$AA$2)/$AA$3</f>
        <v>-1.2411115481956205E-10</v>
      </c>
      <c r="S948" s="3">
        <f>(Таблица1[Кредитный рейтинг]-$AA$7)/($AA$8-$AA$7)</f>
        <v>0.98801597869507318</v>
      </c>
      <c r="T948" s="3">
        <f>(Таблица1[Срок с последнего нарушения кредитного договора (мес,)]-$AA$12)/($AA$13-$AA$12)</f>
        <v>0.10227272727272728</v>
      </c>
      <c r="U948" s="3">
        <f>(Таблица1[Количество кредитных карт]-$AA$18)/($AA$19-$AA$18)</f>
        <v>0.73809523809523814</v>
      </c>
      <c r="V948" s="3">
        <f>(Таблица1[Число нарушений кредитных договоров]-$AA$23)/($AA$24-$AA$23)</f>
        <v>0</v>
      </c>
      <c r="W948" s="3">
        <f>Таблица1[[#This Row],[Годовой доход]]/12</f>
        <v>94924</v>
      </c>
      <c r="X948" s="3">
        <f>Таблица1[[#This Row],[Ежемесячный платеж]]/Таблица1[[#This Row],[Ежем доход]]</f>
        <v>0.21000000000000002</v>
      </c>
      <c r="Y948" s="3"/>
      <c r="Z948" s="3"/>
      <c r="AA948" s="3"/>
      <c r="AB948" s="3"/>
    </row>
    <row r="949" spans="1:28" x14ac:dyDescent="0.2">
      <c r="A949">
        <v>1566</v>
      </c>
      <c r="B949" t="s">
        <v>1605</v>
      </c>
      <c r="C949" t="s">
        <v>18</v>
      </c>
      <c r="D949" t="s">
        <v>19</v>
      </c>
      <c r="E949" t="s">
        <v>24</v>
      </c>
      <c r="F949" t="s">
        <v>21</v>
      </c>
      <c r="G949" t="s">
        <v>25</v>
      </c>
      <c r="H949" s="1">
        <v>309594.52439999999</v>
      </c>
      <c r="I949" s="3">
        <v>703</v>
      </c>
      <c r="J949" s="3">
        <v>844056</v>
      </c>
      <c r="K949" s="3">
        <v>13927</v>
      </c>
      <c r="L949" s="2">
        <v>28.6</v>
      </c>
      <c r="M949" s="11">
        <v>35.265240640000002</v>
      </c>
      <c r="N949" s="3">
        <v>13</v>
      </c>
      <c r="O949" s="3">
        <v>368353</v>
      </c>
      <c r="P949" s="3">
        <v>478676</v>
      </c>
      <c r="Q949" s="10">
        <v>0</v>
      </c>
      <c r="R949" s="3">
        <f>(Таблица1[Размер кредита]-$AA$2)/$AA$3</f>
        <v>-1.2411115481956205E-10</v>
      </c>
      <c r="S949" s="3">
        <f>(Таблица1[Кредитный рейтинг]-$AA$7)/($AA$8-$AA$7)</f>
        <v>0.93608521970705727</v>
      </c>
      <c r="T949" s="3">
        <f>(Таблица1[Срок с последнего нарушения кредитного договора (мес,)]-$AA$12)/($AA$13-$AA$12)</f>
        <v>0.40074137090909095</v>
      </c>
      <c r="U949" s="3">
        <f>(Таблица1[Количество кредитных карт]-$AA$18)/($AA$19-$AA$18)</f>
        <v>0.2857142857142857</v>
      </c>
      <c r="V949" s="3">
        <f>(Таблица1[Число нарушений кредитных договоров]-$AA$23)/($AA$24-$AA$23)</f>
        <v>0</v>
      </c>
      <c r="W949" s="3">
        <f>Таблица1[[#This Row],[Годовой доход]]/12</f>
        <v>70338</v>
      </c>
      <c r="X949" s="3">
        <f>Таблица1[[#This Row],[Ежемесячный платеж]]/Таблица1[[#This Row],[Ежем доход]]</f>
        <v>0.19800108049702864</v>
      </c>
      <c r="Y949" s="3"/>
      <c r="Z949" s="3"/>
      <c r="AA949" s="3"/>
      <c r="AB949" s="3"/>
    </row>
    <row r="950" spans="1:28" x14ac:dyDescent="0.2">
      <c r="A950">
        <v>37</v>
      </c>
      <c r="B950" t="s">
        <v>77</v>
      </c>
      <c r="C950" t="s">
        <v>18</v>
      </c>
      <c r="D950" t="s">
        <v>19</v>
      </c>
      <c r="E950" t="s">
        <v>47</v>
      </c>
      <c r="F950" t="s">
        <v>21</v>
      </c>
      <c r="G950" t="s">
        <v>25</v>
      </c>
      <c r="H950" s="1">
        <v>309594.52439999999</v>
      </c>
      <c r="I950" s="3">
        <v>743</v>
      </c>
      <c r="J950" s="3">
        <v>752039</v>
      </c>
      <c r="K950" s="3">
        <v>17046.23</v>
      </c>
      <c r="L950" s="2">
        <v>14.1</v>
      </c>
      <c r="M950" s="11">
        <v>35.265240640000002</v>
      </c>
      <c r="N950" s="3">
        <v>10</v>
      </c>
      <c r="O950" s="3">
        <v>213484</v>
      </c>
      <c r="P950" s="3">
        <v>478126</v>
      </c>
      <c r="Q950" s="10">
        <v>0</v>
      </c>
      <c r="R950" s="3">
        <f>(Таблица1[Размер кредита]-$AA$2)/$AA$3</f>
        <v>-1.2411115481956205E-10</v>
      </c>
      <c r="S950" s="3">
        <f>(Таблица1[Кредитный рейтинг]-$AA$7)/($AA$8-$AA$7)</f>
        <v>0.98934753661784292</v>
      </c>
      <c r="T950" s="3">
        <f>(Таблица1[Срок с последнего нарушения кредитного договора (мес,)]-$AA$12)/($AA$13-$AA$12)</f>
        <v>0.40074137090909095</v>
      </c>
      <c r="U950" s="3">
        <f>(Таблица1[Количество кредитных карт]-$AA$18)/($AA$19-$AA$18)</f>
        <v>0.21428571428571427</v>
      </c>
      <c r="V950" s="3">
        <f>(Таблица1[Число нарушений кредитных договоров]-$AA$23)/($AA$24-$AA$23)</f>
        <v>0</v>
      </c>
      <c r="W950" s="3">
        <f>Таблица1[[#This Row],[Годовой доход]]/12</f>
        <v>62669.916666666664</v>
      </c>
      <c r="X950" s="3">
        <f>Таблица1[[#This Row],[Ежемесячный платеж]]/Таблица1[[#This Row],[Ежем доход]]</f>
        <v>0.27200020211717746</v>
      </c>
      <c r="Y950" s="3"/>
      <c r="Z950" s="3"/>
      <c r="AA950" s="3"/>
      <c r="AB950" s="3"/>
    </row>
    <row r="951" spans="1:28" x14ac:dyDescent="0.2">
      <c r="A951">
        <v>1360</v>
      </c>
      <c r="B951" t="s">
        <v>1399</v>
      </c>
      <c r="C951" t="s">
        <v>35</v>
      </c>
      <c r="D951" t="s">
        <v>29</v>
      </c>
      <c r="E951" t="s">
        <v>37</v>
      </c>
      <c r="F951" t="s">
        <v>27</v>
      </c>
      <c r="G951" t="s">
        <v>25</v>
      </c>
      <c r="H951" s="1">
        <v>718916</v>
      </c>
      <c r="I951" s="3">
        <v>697</v>
      </c>
      <c r="J951" s="3">
        <v>2522364</v>
      </c>
      <c r="K951" s="3">
        <v>8092.48</v>
      </c>
      <c r="L951" s="2">
        <v>10.6</v>
      </c>
      <c r="M951" s="11">
        <v>35.265240640000002</v>
      </c>
      <c r="N951" s="3">
        <v>8</v>
      </c>
      <c r="O951" s="3">
        <v>87115</v>
      </c>
      <c r="P951" s="3">
        <v>478082</v>
      </c>
      <c r="Q951" s="10">
        <v>0</v>
      </c>
      <c r="R951" s="3">
        <f>(Таблица1[Размер кредита]-$AA$2)/$AA$3</f>
        <v>2.3303821400633833</v>
      </c>
      <c r="S951" s="3">
        <f>(Таблица1[Кредитный рейтинг]-$AA$7)/($AA$8-$AA$7)</f>
        <v>0.92809587217043943</v>
      </c>
      <c r="T951" s="3">
        <f>(Таблица1[Срок с последнего нарушения кредитного договора (мес,)]-$AA$12)/($AA$13-$AA$12)</f>
        <v>0.40074137090909095</v>
      </c>
      <c r="U951" s="3">
        <f>(Таблица1[Количество кредитных карт]-$AA$18)/($AA$19-$AA$18)</f>
        <v>0.16666666666666666</v>
      </c>
      <c r="V951" s="3">
        <f>(Таблица1[Число нарушений кредитных договоров]-$AA$23)/($AA$24-$AA$23)</f>
        <v>0</v>
      </c>
      <c r="W951" s="3">
        <f>Таблица1[[#This Row],[Годовой доход]]/12</f>
        <v>210197</v>
      </c>
      <c r="X951" s="3">
        <f>Таблица1[[#This Row],[Ежемесячный платеж]]/Таблица1[[#This Row],[Ежем доход]]</f>
        <v>3.8499502847328934E-2</v>
      </c>
      <c r="Y951" s="3"/>
      <c r="Z951" s="3"/>
      <c r="AA951" s="3"/>
      <c r="AB951" s="3"/>
    </row>
    <row r="952" spans="1:28" x14ac:dyDescent="0.2">
      <c r="A952">
        <v>80</v>
      </c>
      <c r="B952" t="s">
        <v>122</v>
      </c>
      <c r="C952" t="s">
        <v>18</v>
      </c>
      <c r="D952" t="s">
        <v>19</v>
      </c>
      <c r="E952" t="s">
        <v>69</v>
      </c>
      <c r="F952" t="s">
        <v>21</v>
      </c>
      <c r="G952" t="s">
        <v>25</v>
      </c>
      <c r="H952" s="1">
        <v>309594.52439999999</v>
      </c>
      <c r="I952" s="3">
        <v>737</v>
      </c>
      <c r="J952" s="3">
        <v>2015159</v>
      </c>
      <c r="K952" s="3">
        <v>21494.89</v>
      </c>
      <c r="L952" s="2">
        <v>10.5</v>
      </c>
      <c r="M952" s="11">
        <v>54</v>
      </c>
      <c r="N952" s="3">
        <v>16</v>
      </c>
      <c r="O952" s="3">
        <v>321214</v>
      </c>
      <c r="P952" s="3">
        <v>478060</v>
      </c>
      <c r="Q952" s="10">
        <v>0</v>
      </c>
      <c r="R952" s="3">
        <f>(Таблица1[Размер кредита]-$AA$2)/$AA$3</f>
        <v>-1.2411115481956205E-10</v>
      </c>
      <c r="S952" s="3">
        <f>(Таблица1[Кредитный рейтинг]-$AA$7)/($AA$8-$AA$7)</f>
        <v>0.98135818908122507</v>
      </c>
      <c r="T952" s="3">
        <f>(Таблица1[Срок с последнего нарушения кредитного договора (мес,)]-$AA$12)/($AA$13-$AA$12)</f>
        <v>0.61363636363636365</v>
      </c>
      <c r="U952" s="3">
        <f>(Таблица1[Количество кредитных карт]-$AA$18)/($AA$19-$AA$18)</f>
        <v>0.35714285714285715</v>
      </c>
      <c r="V952" s="3">
        <f>(Таблица1[Число нарушений кредитных договоров]-$AA$23)/($AA$24-$AA$23)</f>
        <v>0</v>
      </c>
      <c r="W952" s="3">
        <f>Таблица1[[#This Row],[Годовой доход]]/12</f>
        <v>167929.91666666666</v>
      </c>
      <c r="X952" s="3">
        <f>Таблица1[[#This Row],[Ежемесячный платеж]]/Таблица1[[#This Row],[Ежем доход]]</f>
        <v>0.12799917028879607</v>
      </c>
      <c r="Y952" s="3"/>
      <c r="Z952" s="3"/>
      <c r="AA952" s="3"/>
      <c r="AB952" s="3"/>
    </row>
    <row r="953" spans="1:28" x14ac:dyDescent="0.2">
      <c r="A953">
        <v>762</v>
      </c>
      <c r="B953" t="s">
        <v>803</v>
      </c>
      <c r="C953" t="s">
        <v>18</v>
      </c>
      <c r="D953" t="s">
        <v>19</v>
      </c>
      <c r="E953" t="s">
        <v>63</v>
      </c>
      <c r="F953" t="s">
        <v>27</v>
      </c>
      <c r="G953" t="s">
        <v>70</v>
      </c>
      <c r="H953" s="1">
        <v>322476</v>
      </c>
      <c r="I953" s="3">
        <v>711</v>
      </c>
      <c r="J953" s="3">
        <v>1262550</v>
      </c>
      <c r="K953" s="3">
        <v>24198.59</v>
      </c>
      <c r="L953" s="2">
        <v>17.5</v>
      </c>
      <c r="M953" s="11">
        <v>11</v>
      </c>
      <c r="N953" s="3">
        <v>9</v>
      </c>
      <c r="O953" s="3">
        <v>321024</v>
      </c>
      <c r="P953" s="3">
        <v>477158</v>
      </c>
      <c r="Q953" s="10">
        <v>0</v>
      </c>
      <c r="R953" s="3">
        <f>(Таблица1[Размер кредита]-$AA$2)/$AA$3</f>
        <v>7.3337858910766718E-2</v>
      </c>
      <c r="S953" s="3">
        <f>(Таблица1[Кредитный рейтинг]-$AA$7)/($AA$8-$AA$7)</f>
        <v>0.94673768308921435</v>
      </c>
      <c r="T953" s="3">
        <f>(Таблица1[Срок с последнего нарушения кредитного договора (мес,)]-$AA$12)/($AA$13-$AA$12)</f>
        <v>0.125</v>
      </c>
      <c r="U953" s="3">
        <f>(Таблица1[Количество кредитных карт]-$AA$18)/($AA$19-$AA$18)</f>
        <v>0.19047619047619047</v>
      </c>
      <c r="V953" s="3">
        <f>(Таблица1[Число нарушений кредитных договоров]-$AA$23)/($AA$24-$AA$23)</f>
        <v>0</v>
      </c>
      <c r="W953" s="3">
        <f>Таблица1[[#This Row],[Годовой доход]]/12</f>
        <v>105212.5</v>
      </c>
      <c r="X953" s="3">
        <f>Таблица1[[#This Row],[Ежемесячный платеж]]/Таблица1[[#This Row],[Ежем доход]]</f>
        <v>0.22999729119638826</v>
      </c>
      <c r="Y953" s="3"/>
      <c r="Z953" s="3"/>
      <c r="AA953" s="3"/>
      <c r="AB953" s="3"/>
    </row>
    <row r="954" spans="1:28" x14ac:dyDescent="0.2">
      <c r="A954">
        <v>1199</v>
      </c>
      <c r="B954" t="s">
        <v>1238</v>
      </c>
      <c r="C954" t="s">
        <v>18</v>
      </c>
      <c r="D954" t="s">
        <v>19</v>
      </c>
      <c r="E954" t="s">
        <v>24</v>
      </c>
      <c r="F954" t="s">
        <v>33</v>
      </c>
      <c r="G954" t="s">
        <v>25</v>
      </c>
      <c r="H954" s="1">
        <v>309594.52439999999</v>
      </c>
      <c r="I954" s="3">
        <v>744</v>
      </c>
      <c r="J954" s="3">
        <v>2009573</v>
      </c>
      <c r="K954" s="3">
        <v>4471.46</v>
      </c>
      <c r="L954" s="2">
        <v>19</v>
      </c>
      <c r="M954" s="11">
        <v>57</v>
      </c>
      <c r="N954" s="3">
        <v>3</v>
      </c>
      <c r="O954" s="3">
        <v>136800</v>
      </c>
      <c r="P954" s="3">
        <v>477114</v>
      </c>
      <c r="Q954" s="10">
        <v>0</v>
      </c>
      <c r="R954" s="3">
        <f>(Таблица1[Размер кредита]-$AA$2)/$AA$3</f>
        <v>-1.2411115481956205E-10</v>
      </c>
      <c r="S954" s="3">
        <f>(Таблица1[Кредитный рейтинг]-$AA$7)/($AA$8-$AA$7)</f>
        <v>0.99067909454061254</v>
      </c>
      <c r="T954" s="3">
        <f>(Таблица1[Срок с последнего нарушения кредитного договора (мес,)]-$AA$12)/($AA$13-$AA$12)</f>
        <v>0.64772727272727271</v>
      </c>
      <c r="U954" s="3">
        <f>(Таблица1[Количество кредитных карт]-$AA$18)/($AA$19-$AA$18)</f>
        <v>4.7619047619047616E-2</v>
      </c>
      <c r="V954" s="3">
        <f>(Таблица1[Число нарушений кредитных договоров]-$AA$23)/($AA$24-$AA$23)</f>
        <v>0</v>
      </c>
      <c r="W954" s="3">
        <f>Таблица1[[#This Row],[Годовой доход]]/12</f>
        <v>167464.41666666666</v>
      </c>
      <c r="X954" s="3">
        <f>Таблица1[[#This Row],[Ежемесячный платеж]]/Таблица1[[#This Row],[Ежем доход]]</f>
        <v>2.6700955874705723E-2</v>
      </c>
      <c r="Y954" s="3"/>
      <c r="Z954" s="3"/>
      <c r="AA954" s="3"/>
      <c r="AB954" s="3"/>
    </row>
    <row r="955" spans="1:28" x14ac:dyDescent="0.2">
      <c r="A955">
        <v>1174</v>
      </c>
      <c r="B955" t="s">
        <v>1213</v>
      </c>
      <c r="C955" t="s">
        <v>35</v>
      </c>
      <c r="D955" t="s">
        <v>19</v>
      </c>
      <c r="E955" t="s">
        <v>69</v>
      </c>
      <c r="F955" t="s">
        <v>21</v>
      </c>
      <c r="G955" t="s">
        <v>25</v>
      </c>
      <c r="H955" s="1">
        <v>525096</v>
      </c>
      <c r="I955" s="3">
        <v>748</v>
      </c>
      <c r="J955" s="3">
        <v>1011028</v>
      </c>
      <c r="K955" s="3">
        <v>13985.71</v>
      </c>
      <c r="L955" s="2">
        <v>22.4</v>
      </c>
      <c r="M955" s="11">
        <v>42</v>
      </c>
      <c r="N955" s="3">
        <v>7</v>
      </c>
      <c r="O955" s="3">
        <v>172140</v>
      </c>
      <c r="P955" s="3">
        <v>476872</v>
      </c>
      <c r="Q955" s="10">
        <v>0</v>
      </c>
      <c r="R955" s="3">
        <f>(Таблица1[Размер кредита]-$AA$2)/$AA$3</f>
        <v>1.2269104354599121</v>
      </c>
      <c r="S955" s="3">
        <f>(Таблица1[Кредитный рейтинг]-$AA$7)/($AA$8-$AA$7)</f>
        <v>0.99600532623169102</v>
      </c>
      <c r="T955" s="3">
        <f>(Таблица1[Срок с последнего нарушения кредитного договора (мес,)]-$AA$12)/($AA$13-$AA$12)</f>
        <v>0.47727272727272729</v>
      </c>
      <c r="U955" s="3">
        <f>(Таблица1[Количество кредитных карт]-$AA$18)/($AA$19-$AA$18)</f>
        <v>0.14285714285714285</v>
      </c>
      <c r="V955" s="3">
        <f>(Таблица1[Число нарушений кредитных договоров]-$AA$23)/($AA$24-$AA$23)</f>
        <v>0</v>
      </c>
      <c r="W955" s="3">
        <f>Таблица1[[#This Row],[Годовой доход]]/12</f>
        <v>84252.333333333328</v>
      </c>
      <c r="X955" s="3">
        <f>Таблица1[[#This Row],[Ежемесячный платеж]]/Таблица1[[#This Row],[Ежем доход]]</f>
        <v>0.16599789521160641</v>
      </c>
      <c r="Y955" s="3"/>
      <c r="Z955" s="3"/>
      <c r="AA955" s="3"/>
      <c r="AB955" s="3"/>
    </row>
    <row r="956" spans="1:28" x14ac:dyDescent="0.2">
      <c r="A956">
        <v>1256</v>
      </c>
      <c r="B956" t="s">
        <v>1295</v>
      </c>
      <c r="C956" t="s">
        <v>18</v>
      </c>
      <c r="D956" t="s">
        <v>19</v>
      </c>
      <c r="E956" t="s">
        <v>52</v>
      </c>
      <c r="F956" t="s">
        <v>21</v>
      </c>
      <c r="G956" t="s">
        <v>25</v>
      </c>
      <c r="H956" s="1">
        <v>197032</v>
      </c>
      <c r="I956" s="3">
        <v>0</v>
      </c>
      <c r="J956" s="3">
        <v>1168044</v>
      </c>
      <c r="K956" s="3">
        <v>22156.09</v>
      </c>
      <c r="L956" s="2">
        <v>16.5</v>
      </c>
      <c r="M956" s="11">
        <v>20</v>
      </c>
      <c r="N956" s="3">
        <v>19</v>
      </c>
      <c r="O956" s="3">
        <v>210463</v>
      </c>
      <c r="P956" s="3">
        <v>476872</v>
      </c>
      <c r="Q956" s="10">
        <v>0</v>
      </c>
      <c r="R956" s="3">
        <f>(Таблица1[Размер кредита]-$AA$2)/$AA$3</f>
        <v>-0.64085007067481714</v>
      </c>
      <c r="S956" s="3">
        <f>(Таблица1[Кредитный рейтинг]-$AA$7)/($AA$8-$AA$7)</f>
        <v>0</v>
      </c>
      <c r="T956" s="3">
        <f>(Таблица1[Срок с последнего нарушения кредитного договора (мес,)]-$AA$12)/($AA$13-$AA$12)</f>
        <v>0.22727272727272727</v>
      </c>
      <c r="U956" s="3">
        <f>(Таблица1[Количество кредитных карт]-$AA$18)/($AA$19-$AA$18)</f>
        <v>0.42857142857142855</v>
      </c>
      <c r="V956" s="3">
        <f>(Таблица1[Число нарушений кредитных договоров]-$AA$23)/($AA$24-$AA$23)</f>
        <v>0</v>
      </c>
      <c r="W956" s="3">
        <f>Таблица1[[#This Row],[Годовой доход]]/12</f>
        <v>97337</v>
      </c>
      <c r="X956" s="3">
        <f>Таблица1[[#This Row],[Ежемесячный платеж]]/Таблица1[[#This Row],[Ежем доход]]</f>
        <v>0.2276224868241265</v>
      </c>
      <c r="Y956" s="3"/>
      <c r="Z956" s="3"/>
      <c r="AA956" s="3"/>
      <c r="AB956" s="3"/>
    </row>
    <row r="957" spans="1:28" x14ac:dyDescent="0.2">
      <c r="A957">
        <v>1849</v>
      </c>
      <c r="B957" t="s">
        <v>1886</v>
      </c>
      <c r="C957" t="s">
        <v>18</v>
      </c>
      <c r="D957" t="s">
        <v>19</v>
      </c>
      <c r="E957" t="s">
        <v>30</v>
      </c>
      <c r="F957" t="s">
        <v>33</v>
      </c>
      <c r="G957" t="s">
        <v>25</v>
      </c>
      <c r="H957" s="1">
        <v>281138</v>
      </c>
      <c r="I957" s="3">
        <v>0</v>
      </c>
      <c r="J957" s="3">
        <v>1168044</v>
      </c>
      <c r="K957" s="3">
        <v>21366.45</v>
      </c>
      <c r="L957" s="2">
        <v>12.9</v>
      </c>
      <c r="M957" s="11">
        <v>64</v>
      </c>
      <c r="N957" s="3">
        <v>10</v>
      </c>
      <c r="O957" s="3">
        <v>121809</v>
      </c>
      <c r="P957" s="3">
        <v>476498</v>
      </c>
      <c r="Q957" s="10">
        <v>0</v>
      </c>
      <c r="R957" s="3">
        <f>(Таблица1[Размер кредита]-$AA$2)/$AA$3</f>
        <v>-0.16201098705403721</v>
      </c>
      <c r="S957" s="3">
        <f>(Таблица1[Кредитный рейтинг]-$AA$7)/($AA$8-$AA$7)</f>
        <v>0</v>
      </c>
      <c r="T957" s="3">
        <f>(Таблица1[Срок с последнего нарушения кредитного договора (мес,)]-$AA$12)/($AA$13-$AA$12)</f>
        <v>0.72727272727272729</v>
      </c>
      <c r="U957" s="3">
        <f>(Таблица1[Количество кредитных карт]-$AA$18)/($AA$19-$AA$18)</f>
        <v>0.21428571428571427</v>
      </c>
      <c r="V957" s="3">
        <f>(Таблица1[Число нарушений кредитных договоров]-$AA$23)/($AA$24-$AA$23)</f>
        <v>0</v>
      </c>
      <c r="W957" s="3">
        <f>Таблица1[[#This Row],[Годовой доход]]/12</f>
        <v>97337</v>
      </c>
      <c r="X957" s="3">
        <f>Таблица1[[#This Row],[Ежемесячный платеж]]/Таблица1[[#This Row],[Ежем доход]]</f>
        <v>0.21951005270349405</v>
      </c>
      <c r="Y957" s="3"/>
      <c r="Z957" s="3"/>
      <c r="AA957" s="3"/>
      <c r="AB957" s="3"/>
    </row>
    <row r="958" spans="1:28" x14ac:dyDescent="0.2">
      <c r="A958">
        <v>991</v>
      </c>
      <c r="B958" t="s">
        <v>1031</v>
      </c>
      <c r="C958" t="s">
        <v>18</v>
      </c>
      <c r="D958" t="s">
        <v>19</v>
      </c>
      <c r="E958" t="s">
        <v>63</v>
      </c>
      <c r="F958" t="s">
        <v>21</v>
      </c>
      <c r="G958" t="s">
        <v>25</v>
      </c>
      <c r="H958" s="1">
        <v>46486</v>
      </c>
      <c r="I958" s="3">
        <v>747</v>
      </c>
      <c r="J958" s="3">
        <v>420679</v>
      </c>
      <c r="K958" s="3">
        <v>8974.27</v>
      </c>
      <c r="L958" s="2">
        <v>26.1</v>
      </c>
      <c r="M958" s="11">
        <v>35.265240640000002</v>
      </c>
      <c r="N958" s="3">
        <v>16</v>
      </c>
      <c r="O958" s="3">
        <v>240103</v>
      </c>
      <c r="P958" s="3">
        <v>476080</v>
      </c>
      <c r="Q958" s="10">
        <v>0</v>
      </c>
      <c r="R958" s="3">
        <f>(Таблица1[Размер кредита]-$AA$2)/$AA$3</f>
        <v>-1.4979507374854362</v>
      </c>
      <c r="S958" s="3">
        <f>(Таблица1[Кредитный рейтинг]-$AA$7)/($AA$8-$AA$7)</f>
        <v>0.9946737683089214</v>
      </c>
      <c r="T958" s="3">
        <f>(Таблица1[Срок с последнего нарушения кредитного договора (мес,)]-$AA$12)/($AA$13-$AA$12)</f>
        <v>0.40074137090909095</v>
      </c>
      <c r="U958" s="3">
        <f>(Таблица1[Количество кредитных карт]-$AA$18)/($AA$19-$AA$18)</f>
        <v>0.35714285714285715</v>
      </c>
      <c r="V958" s="3">
        <f>(Таблица1[Число нарушений кредитных договоров]-$AA$23)/($AA$24-$AA$23)</f>
        <v>0</v>
      </c>
      <c r="W958" s="3">
        <f>Таблица1[[#This Row],[Годовой доход]]/12</f>
        <v>35056.583333333336</v>
      </c>
      <c r="X958" s="3">
        <f>Таблица1[[#This Row],[Ежемесячный платеж]]/Таблица1[[#This Row],[Ежем доход]]</f>
        <v>0.25599385754934284</v>
      </c>
      <c r="Y958" s="3"/>
      <c r="Z958" s="3"/>
      <c r="AA958" s="3"/>
      <c r="AB958" s="3"/>
    </row>
    <row r="959" spans="1:28" x14ac:dyDescent="0.2">
      <c r="A959">
        <v>164</v>
      </c>
      <c r="B959" t="s">
        <v>206</v>
      </c>
      <c r="C959" t="s">
        <v>18</v>
      </c>
      <c r="D959" t="s">
        <v>19</v>
      </c>
      <c r="E959" t="s">
        <v>24</v>
      </c>
      <c r="F959" t="s">
        <v>21</v>
      </c>
      <c r="G959" t="s">
        <v>25</v>
      </c>
      <c r="H959" s="1">
        <v>605726</v>
      </c>
      <c r="I959" s="3">
        <v>748</v>
      </c>
      <c r="J959" s="3">
        <v>3609145</v>
      </c>
      <c r="K959" s="3">
        <v>43610.7</v>
      </c>
      <c r="L959" s="2">
        <v>23</v>
      </c>
      <c r="M959" s="11">
        <v>59</v>
      </c>
      <c r="N959" s="3">
        <v>10</v>
      </c>
      <c r="O959" s="3">
        <v>378423</v>
      </c>
      <c r="P959" s="3">
        <v>475772</v>
      </c>
      <c r="Q959" s="10">
        <v>0</v>
      </c>
      <c r="R959" s="3">
        <f>(Таблица1[Размер кредита]-$AA$2)/$AA$3</f>
        <v>1.6859596746621508</v>
      </c>
      <c r="S959" s="3">
        <f>(Таблица1[Кредитный рейтинг]-$AA$7)/($AA$8-$AA$7)</f>
        <v>0.99600532623169102</v>
      </c>
      <c r="T959" s="3">
        <f>(Таблица1[Срок с последнего нарушения кредитного договора (мес,)]-$AA$12)/($AA$13-$AA$12)</f>
        <v>0.67045454545454541</v>
      </c>
      <c r="U959" s="3">
        <f>(Таблица1[Количество кредитных карт]-$AA$18)/($AA$19-$AA$18)</f>
        <v>0.21428571428571427</v>
      </c>
      <c r="V959" s="3">
        <f>(Таблица1[Число нарушений кредитных договоров]-$AA$23)/($AA$24-$AA$23)</f>
        <v>0</v>
      </c>
      <c r="W959" s="3">
        <f>Таблица1[[#This Row],[Годовой доход]]/12</f>
        <v>300762.08333333331</v>
      </c>
      <c r="X959" s="3">
        <f>Таблица1[[#This Row],[Ежемесячный платеж]]/Таблица1[[#This Row],[Ежем доход]]</f>
        <v>0.14500065805059092</v>
      </c>
      <c r="Y959" s="3"/>
      <c r="Z959" s="3"/>
      <c r="AA959" s="3"/>
      <c r="AB959" s="3"/>
    </row>
    <row r="960" spans="1:28" x14ac:dyDescent="0.2">
      <c r="A960">
        <v>198</v>
      </c>
      <c r="B960" t="s">
        <v>240</v>
      </c>
      <c r="C960" t="s">
        <v>18</v>
      </c>
      <c r="D960" t="s">
        <v>29</v>
      </c>
      <c r="E960" t="s">
        <v>24</v>
      </c>
      <c r="F960" t="s">
        <v>33</v>
      </c>
      <c r="G960" t="s">
        <v>25</v>
      </c>
      <c r="H960" s="1">
        <v>520982</v>
      </c>
      <c r="I960" s="3">
        <v>724</v>
      </c>
      <c r="J960" s="3">
        <v>1031111</v>
      </c>
      <c r="K960" s="3">
        <v>17013.169999999998</v>
      </c>
      <c r="L960" s="2">
        <v>15</v>
      </c>
      <c r="M960" s="11">
        <v>35.265240640000002</v>
      </c>
      <c r="N960" s="3">
        <v>12</v>
      </c>
      <c r="O960" s="3">
        <v>267976</v>
      </c>
      <c r="P960" s="3">
        <v>475178</v>
      </c>
      <c r="Q960" s="10">
        <v>0</v>
      </c>
      <c r="R960" s="3">
        <f>(Таблица1[Размер кредита]-$AA$2)/$AA$3</f>
        <v>1.2034882778253095</v>
      </c>
      <c r="S960" s="3">
        <f>(Таблица1[Кредитный рейтинг]-$AA$7)/($AA$8-$AA$7)</f>
        <v>0.96404793608521966</v>
      </c>
      <c r="T960" s="3">
        <f>(Таблица1[Срок с последнего нарушения кредитного договора (мес,)]-$AA$12)/($AA$13-$AA$12)</f>
        <v>0.40074137090909095</v>
      </c>
      <c r="U960" s="3">
        <f>(Таблица1[Количество кредитных карт]-$AA$18)/($AA$19-$AA$18)</f>
        <v>0.26190476190476192</v>
      </c>
      <c r="V960" s="3">
        <f>(Таблица1[Число нарушений кредитных договоров]-$AA$23)/($AA$24-$AA$23)</f>
        <v>0</v>
      </c>
      <c r="W960" s="3">
        <f>Таблица1[[#This Row],[Годовой доход]]/12</f>
        <v>85925.916666666672</v>
      </c>
      <c r="X960" s="3">
        <f>Таблица1[[#This Row],[Ежемесячный платеж]]/Таблица1[[#This Row],[Ежем доход]]</f>
        <v>0.19799812047393536</v>
      </c>
      <c r="Y960" s="3"/>
      <c r="Z960" s="3"/>
      <c r="AA960" s="3"/>
      <c r="AB960" s="3"/>
    </row>
    <row r="961" spans="1:28" x14ac:dyDescent="0.2">
      <c r="A961">
        <v>920</v>
      </c>
      <c r="B961" t="s">
        <v>961</v>
      </c>
      <c r="C961" t="s">
        <v>18</v>
      </c>
      <c r="D961" t="s">
        <v>19</v>
      </c>
      <c r="E961" t="s">
        <v>47</v>
      </c>
      <c r="F961" t="s">
        <v>33</v>
      </c>
      <c r="G961" t="s">
        <v>25</v>
      </c>
      <c r="H961" s="1">
        <v>285670</v>
      </c>
      <c r="I961" s="3">
        <v>744</v>
      </c>
      <c r="J961" s="3">
        <v>934515</v>
      </c>
      <c r="K961" s="3">
        <v>6074.3</v>
      </c>
      <c r="L961" s="2">
        <v>14.4</v>
      </c>
      <c r="M961" s="11">
        <v>35.265240640000002</v>
      </c>
      <c r="N961" s="3">
        <v>10</v>
      </c>
      <c r="O961" s="3">
        <v>192907</v>
      </c>
      <c r="P961" s="3">
        <v>474232</v>
      </c>
      <c r="Q961" s="10">
        <v>0</v>
      </c>
      <c r="R961" s="3">
        <f>(Таблица1[Размер кредита]-$AA$2)/$AA$3</f>
        <v>-0.13620903800201506</v>
      </c>
      <c r="S961" s="3">
        <f>(Таблица1[Кредитный рейтинг]-$AA$7)/($AA$8-$AA$7)</f>
        <v>0.99067909454061254</v>
      </c>
      <c r="T961" s="3">
        <f>(Таблица1[Срок с последнего нарушения кредитного договора (мес,)]-$AA$12)/($AA$13-$AA$12)</f>
        <v>0.40074137090909095</v>
      </c>
      <c r="U961" s="3">
        <f>(Таблица1[Количество кредитных карт]-$AA$18)/($AA$19-$AA$18)</f>
        <v>0.21428571428571427</v>
      </c>
      <c r="V961" s="3">
        <f>(Таблица1[Число нарушений кредитных договоров]-$AA$23)/($AA$24-$AA$23)</f>
        <v>0</v>
      </c>
      <c r="W961" s="3">
        <f>Таблица1[[#This Row],[Годовой доход]]/12</f>
        <v>77876.25</v>
      </c>
      <c r="X961" s="3">
        <f>Таблица1[[#This Row],[Ежемесячный платеж]]/Таблица1[[#This Row],[Ежем доход]]</f>
        <v>7.7999390057944498E-2</v>
      </c>
      <c r="Y961" s="3"/>
      <c r="Z961" s="3"/>
      <c r="AA961" s="3"/>
      <c r="AB961" s="3"/>
    </row>
    <row r="962" spans="1:28" x14ac:dyDescent="0.2">
      <c r="A962">
        <v>1489</v>
      </c>
      <c r="B962" t="s">
        <v>1528</v>
      </c>
      <c r="C962" t="s">
        <v>35</v>
      </c>
      <c r="D962" t="s">
        <v>29</v>
      </c>
      <c r="E962" t="s">
        <v>20</v>
      </c>
      <c r="F962" t="s">
        <v>21</v>
      </c>
      <c r="G962" t="s">
        <v>25</v>
      </c>
      <c r="H962" s="1">
        <v>335720</v>
      </c>
      <c r="I962" s="3">
        <v>0</v>
      </c>
      <c r="J962" s="3">
        <v>1168044</v>
      </c>
      <c r="K962" s="3">
        <v>18375.28</v>
      </c>
      <c r="L962" s="2">
        <v>12.9</v>
      </c>
      <c r="M962" s="11">
        <v>35.265240640000002</v>
      </c>
      <c r="N962" s="3">
        <v>14</v>
      </c>
      <c r="O962" s="3">
        <v>97337</v>
      </c>
      <c r="P962" s="3">
        <v>473572</v>
      </c>
      <c r="Q962" s="10">
        <v>0</v>
      </c>
      <c r="R962" s="3">
        <f>(Таблица1[Размер кредита]-$AA$2)/$AA$3</f>
        <v>0.14873967118900619</v>
      </c>
      <c r="S962" s="3">
        <f>(Таблица1[Кредитный рейтинг]-$AA$7)/($AA$8-$AA$7)</f>
        <v>0</v>
      </c>
      <c r="T962" s="3">
        <f>(Таблица1[Срок с последнего нарушения кредитного договора (мес,)]-$AA$12)/($AA$13-$AA$12)</f>
        <v>0.40074137090909095</v>
      </c>
      <c r="U962" s="3">
        <f>(Таблица1[Количество кредитных карт]-$AA$18)/($AA$19-$AA$18)</f>
        <v>0.30952380952380953</v>
      </c>
      <c r="V962" s="3">
        <f>(Таблица1[Число нарушений кредитных договоров]-$AA$23)/($AA$24-$AA$23)</f>
        <v>0</v>
      </c>
      <c r="W962" s="3">
        <f>Таблица1[[#This Row],[Годовой доход]]/12</f>
        <v>97337</v>
      </c>
      <c r="X962" s="3">
        <f>Таблица1[[#This Row],[Ежемесячный платеж]]/Таблица1[[#This Row],[Ежем доход]]</f>
        <v>0.18878001171188755</v>
      </c>
      <c r="Y962" s="3"/>
      <c r="Z962" s="3"/>
      <c r="AA962" s="3"/>
      <c r="AB962" s="3"/>
    </row>
    <row r="963" spans="1:28" x14ac:dyDescent="0.2">
      <c r="A963">
        <v>123</v>
      </c>
      <c r="B963" t="s">
        <v>165</v>
      </c>
      <c r="C963" t="s">
        <v>18</v>
      </c>
      <c r="D963" t="s">
        <v>19</v>
      </c>
      <c r="E963" t="s">
        <v>63</v>
      </c>
      <c r="F963" t="s">
        <v>33</v>
      </c>
      <c r="G963" t="s">
        <v>25</v>
      </c>
      <c r="H963" s="1">
        <v>328262</v>
      </c>
      <c r="I963" s="3">
        <v>746</v>
      </c>
      <c r="J963" s="3">
        <v>1133958</v>
      </c>
      <c r="K963" s="3">
        <v>20411.32</v>
      </c>
      <c r="L963" s="2">
        <v>10.199999999999999</v>
      </c>
      <c r="M963" s="11">
        <v>35.265240640000002</v>
      </c>
      <c r="N963" s="3">
        <v>10</v>
      </c>
      <c r="O963" s="3">
        <v>229463</v>
      </c>
      <c r="P963" s="3">
        <v>472758</v>
      </c>
      <c r="Q963" s="10">
        <v>0</v>
      </c>
      <c r="R963" s="3">
        <f>(Таблица1[Размер кредита]-$AA$2)/$AA$3</f>
        <v>0.10627918221504741</v>
      </c>
      <c r="S963" s="3">
        <f>(Таблица1[Кредитный рейтинг]-$AA$7)/($AA$8-$AA$7)</f>
        <v>0.99334221038615178</v>
      </c>
      <c r="T963" s="3">
        <f>(Таблица1[Срок с последнего нарушения кредитного договора (мес,)]-$AA$12)/($AA$13-$AA$12)</f>
        <v>0.40074137090909095</v>
      </c>
      <c r="U963" s="3">
        <f>(Таблица1[Количество кредитных карт]-$AA$18)/($AA$19-$AA$18)</f>
        <v>0.21428571428571427</v>
      </c>
      <c r="V963" s="3">
        <f>(Таблица1[Число нарушений кредитных договоров]-$AA$23)/($AA$24-$AA$23)</f>
        <v>0</v>
      </c>
      <c r="W963" s="3">
        <f>Таблица1[[#This Row],[Годовой доход]]/12</f>
        <v>94496.5</v>
      </c>
      <c r="X963" s="3">
        <f>Таблица1[[#This Row],[Ежемесячный платеж]]/Таблица1[[#This Row],[Ежем доход]]</f>
        <v>0.21600080426259174</v>
      </c>
      <c r="Y963" s="3"/>
      <c r="Z963" s="3"/>
      <c r="AA963" s="3"/>
      <c r="AB963" s="3"/>
    </row>
    <row r="964" spans="1:28" x14ac:dyDescent="0.2">
      <c r="A964">
        <v>1206</v>
      </c>
      <c r="B964" t="s">
        <v>1245</v>
      </c>
      <c r="C964" t="s">
        <v>35</v>
      </c>
      <c r="D964" t="s">
        <v>29</v>
      </c>
      <c r="E964" t="s">
        <v>24</v>
      </c>
      <c r="F964" t="s">
        <v>21</v>
      </c>
      <c r="G964" t="s">
        <v>25</v>
      </c>
      <c r="H964" s="1">
        <v>412060</v>
      </c>
      <c r="I964" s="3">
        <v>0</v>
      </c>
      <c r="J964" s="3">
        <v>1168044</v>
      </c>
      <c r="K964" s="3">
        <v>15418.5</v>
      </c>
      <c r="L964" s="2">
        <v>25.5</v>
      </c>
      <c r="M964" s="11">
        <v>35.265240640000002</v>
      </c>
      <c r="N964" s="3">
        <v>11</v>
      </c>
      <c r="O964" s="3">
        <v>270883</v>
      </c>
      <c r="P964" s="3">
        <v>472384</v>
      </c>
      <c r="Q964" s="10">
        <v>1</v>
      </c>
      <c r="R964" s="3">
        <f>(Таблица1[Размер кредита]-$AA$2)/$AA$3</f>
        <v>0.5833647353177287</v>
      </c>
      <c r="S964" s="3">
        <f>(Таблица1[Кредитный рейтинг]-$AA$7)/($AA$8-$AA$7)</f>
        <v>0</v>
      </c>
      <c r="T964" s="3">
        <f>(Таблица1[Срок с последнего нарушения кредитного договора (мес,)]-$AA$12)/($AA$13-$AA$12)</f>
        <v>0.40074137090909095</v>
      </c>
      <c r="U964" s="3">
        <f>(Таблица1[Количество кредитных карт]-$AA$18)/($AA$19-$AA$18)</f>
        <v>0.23809523809523808</v>
      </c>
      <c r="V964" s="3">
        <f>(Таблица1[Число нарушений кредитных договоров]-$AA$23)/($AA$24-$AA$23)</f>
        <v>0.14285714285714285</v>
      </c>
      <c r="W964" s="3">
        <f>Таблица1[[#This Row],[Годовой доход]]/12</f>
        <v>97337</v>
      </c>
      <c r="X964" s="3">
        <f>Таблица1[[#This Row],[Ежемесячный платеж]]/Таблица1[[#This Row],[Ежем доход]]</f>
        <v>0.15840327932851844</v>
      </c>
      <c r="Y964" s="3"/>
      <c r="Z964" s="3"/>
      <c r="AA964" s="3"/>
      <c r="AB964" s="3"/>
    </row>
    <row r="965" spans="1:28" x14ac:dyDescent="0.2">
      <c r="A965">
        <v>1679</v>
      </c>
      <c r="B965" t="s">
        <v>1717</v>
      </c>
      <c r="C965" t="s">
        <v>35</v>
      </c>
      <c r="D965" t="s">
        <v>19</v>
      </c>
      <c r="E965" t="s">
        <v>41</v>
      </c>
      <c r="F965" t="s">
        <v>33</v>
      </c>
      <c r="G965" t="s">
        <v>25</v>
      </c>
      <c r="H965" s="1">
        <v>350592</v>
      </c>
      <c r="I965" s="3">
        <v>0</v>
      </c>
      <c r="J965" s="3">
        <v>1168044</v>
      </c>
      <c r="K965" s="3">
        <v>33590.1</v>
      </c>
      <c r="L965" s="2">
        <v>8.6999999999999993</v>
      </c>
      <c r="M965" s="11">
        <v>35.265240640000002</v>
      </c>
      <c r="N965" s="3">
        <v>14</v>
      </c>
      <c r="O965" s="3">
        <v>362615</v>
      </c>
      <c r="P965" s="3">
        <v>471240</v>
      </c>
      <c r="Q965" s="10">
        <v>0</v>
      </c>
      <c r="R965" s="3">
        <f>(Таблица1[Размер кредита]-$AA$2)/$AA$3</f>
        <v>0.23341014477719535</v>
      </c>
      <c r="S965" s="3">
        <f>(Таблица1[Кредитный рейтинг]-$AA$7)/($AA$8-$AA$7)</f>
        <v>0</v>
      </c>
      <c r="T965" s="3">
        <f>(Таблица1[Срок с последнего нарушения кредитного договора (мес,)]-$AA$12)/($AA$13-$AA$12)</f>
        <v>0.40074137090909095</v>
      </c>
      <c r="U965" s="3">
        <f>(Таблица1[Количество кредитных карт]-$AA$18)/($AA$19-$AA$18)</f>
        <v>0.30952380952380953</v>
      </c>
      <c r="V965" s="3">
        <f>(Таблица1[Число нарушений кредитных договоров]-$AA$23)/($AA$24-$AA$23)</f>
        <v>0</v>
      </c>
      <c r="W965" s="3">
        <f>Таблица1[[#This Row],[Годовой доход]]/12</f>
        <v>97337</v>
      </c>
      <c r="X965" s="3">
        <f>Таблица1[[#This Row],[Ежемесячный платеж]]/Таблица1[[#This Row],[Ежем доход]]</f>
        <v>0.34509076712863557</v>
      </c>
      <c r="Y965" s="3"/>
      <c r="Z965" s="3"/>
      <c r="AA965" s="3"/>
      <c r="AB965" s="3"/>
    </row>
    <row r="966" spans="1:28" x14ac:dyDescent="0.2">
      <c r="A966">
        <v>1562</v>
      </c>
      <c r="B966" t="s">
        <v>1601</v>
      </c>
      <c r="C966" t="s">
        <v>18</v>
      </c>
      <c r="D966" t="s">
        <v>19</v>
      </c>
      <c r="E966" t="s">
        <v>47</v>
      </c>
      <c r="F966" t="s">
        <v>21</v>
      </c>
      <c r="G966" t="s">
        <v>25</v>
      </c>
      <c r="H966" s="1">
        <v>768856</v>
      </c>
      <c r="I966" s="3">
        <v>739</v>
      </c>
      <c r="J966" s="3">
        <v>3737395</v>
      </c>
      <c r="K966" s="3">
        <v>29026.87</v>
      </c>
      <c r="L966" s="2">
        <v>19.7</v>
      </c>
      <c r="M966" s="11">
        <v>43</v>
      </c>
      <c r="N966" s="3">
        <v>10</v>
      </c>
      <c r="O966" s="3">
        <v>130853</v>
      </c>
      <c r="P966" s="3">
        <v>470514</v>
      </c>
      <c r="Q966" s="10">
        <v>0</v>
      </c>
      <c r="R966" s="3">
        <f>(Таблица1[Размер кредита]-$AA$2)/$AA$3</f>
        <v>2.6147045883550839</v>
      </c>
      <c r="S966" s="3">
        <f>(Таблица1[Кредитный рейтинг]-$AA$7)/($AA$8-$AA$7)</f>
        <v>0.98402130492676432</v>
      </c>
      <c r="T966" s="3">
        <f>(Таблица1[Срок с последнего нарушения кредитного договора (мес,)]-$AA$12)/($AA$13-$AA$12)</f>
        <v>0.48863636363636365</v>
      </c>
      <c r="U966" s="3">
        <f>(Таблица1[Количество кредитных карт]-$AA$18)/($AA$19-$AA$18)</f>
        <v>0.21428571428571427</v>
      </c>
      <c r="V966" s="3">
        <f>(Таблица1[Число нарушений кредитных договоров]-$AA$23)/($AA$24-$AA$23)</f>
        <v>0</v>
      </c>
      <c r="W966" s="3">
        <f>Таблица1[[#This Row],[Годовой доход]]/12</f>
        <v>311449.58333333331</v>
      </c>
      <c r="X966" s="3">
        <f>Таблица1[[#This Row],[Ежемесячный платеж]]/Таблица1[[#This Row],[Ежем доход]]</f>
        <v>9.319925777179025E-2</v>
      </c>
      <c r="Y966" s="3"/>
      <c r="Z966" s="3"/>
      <c r="AA966" s="3"/>
      <c r="AB966" s="3"/>
    </row>
    <row r="967" spans="1:28" x14ac:dyDescent="0.2">
      <c r="A967">
        <v>675</v>
      </c>
      <c r="B967" t="s">
        <v>716</v>
      </c>
      <c r="C967" t="s">
        <v>35</v>
      </c>
      <c r="D967" t="s">
        <v>19</v>
      </c>
      <c r="E967" t="s">
        <v>24</v>
      </c>
      <c r="F967" t="s">
        <v>21</v>
      </c>
      <c r="G967" t="s">
        <v>67</v>
      </c>
      <c r="H967" s="1">
        <v>60368</v>
      </c>
      <c r="I967" s="3">
        <v>0</v>
      </c>
      <c r="J967" s="3">
        <v>1168044</v>
      </c>
      <c r="K967" s="3">
        <v>3988.67</v>
      </c>
      <c r="L967" s="2">
        <v>37.4</v>
      </c>
      <c r="M967" s="11">
        <v>35.265240640000002</v>
      </c>
      <c r="N967" s="3">
        <v>8</v>
      </c>
      <c r="O967" s="3">
        <v>182020</v>
      </c>
      <c r="P967" s="3">
        <v>470470</v>
      </c>
      <c r="Q967" s="10">
        <v>0</v>
      </c>
      <c r="R967" s="3">
        <f>(Таблица1[Размер кредита]-$AA$2)/$AA$3</f>
        <v>-1.4189166119911354</v>
      </c>
      <c r="S967" s="3">
        <f>(Таблица1[Кредитный рейтинг]-$AA$7)/($AA$8-$AA$7)</f>
        <v>0</v>
      </c>
      <c r="T967" s="3">
        <f>(Таблица1[Срок с последнего нарушения кредитного договора (мес,)]-$AA$12)/($AA$13-$AA$12)</f>
        <v>0.40074137090909095</v>
      </c>
      <c r="U967" s="3">
        <f>(Таблица1[Количество кредитных карт]-$AA$18)/($AA$19-$AA$18)</f>
        <v>0.16666666666666666</v>
      </c>
      <c r="V967" s="3">
        <f>(Таблица1[Число нарушений кредитных договоров]-$AA$23)/($AA$24-$AA$23)</f>
        <v>0</v>
      </c>
      <c r="W967" s="3">
        <f>Таблица1[[#This Row],[Годовой доход]]/12</f>
        <v>97337</v>
      </c>
      <c r="X967" s="3">
        <f>Таблица1[[#This Row],[Ежемесячный платеж]]/Таблица1[[#This Row],[Ежем доход]]</f>
        <v>4.0977942611750931E-2</v>
      </c>
      <c r="Y967" s="3"/>
      <c r="Z967" s="3"/>
      <c r="AA967" s="3"/>
      <c r="AB967" s="3"/>
    </row>
    <row r="968" spans="1:28" x14ac:dyDescent="0.2">
      <c r="A968">
        <v>1304</v>
      </c>
      <c r="B968" t="s">
        <v>1343</v>
      </c>
      <c r="C968" t="s">
        <v>35</v>
      </c>
      <c r="D968" t="s">
        <v>19</v>
      </c>
      <c r="E968" t="s">
        <v>20</v>
      </c>
      <c r="F968" t="s">
        <v>33</v>
      </c>
      <c r="G968" t="s">
        <v>25</v>
      </c>
      <c r="H968" s="1">
        <v>399168</v>
      </c>
      <c r="I968" s="3">
        <v>730</v>
      </c>
      <c r="J968" s="3">
        <v>1398096</v>
      </c>
      <c r="K968" s="3">
        <v>11883.74</v>
      </c>
      <c r="L968" s="2">
        <v>15.5</v>
      </c>
      <c r="M968" s="11">
        <v>33</v>
      </c>
      <c r="N968" s="3">
        <v>9</v>
      </c>
      <c r="O968" s="3">
        <v>164958</v>
      </c>
      <c r="P968" s="3">
        <v>470448</v>
      </c>
      <c r="Q968" s="10">
        <v>1</v>
      </c>
      <c r="R968" s="3">
        <f>(Таблица1[Размер кредита]-$AA$2)/$AA$3</f>
        <v>0.50996695791731617</v>
      </c>
      <c r="S968" s="3">
        <f>(Таблица1[Кредитный рейтинг]-$AA$7)/($AA$8-$AA$7)</f>
        <v>0.9720372836218375</v>
      </c>
      <c r="T968" s="3">
        <f>(Таблица1[Срок с последнего нарушения кредитного договора (мес,)]-$AA$12)/($AA$13-$AA$12)</f>
        <v>0.375</v>
      </c>
      <c r="U968" s="3">
        <f>(Таблица1[Количество кредитных карт]-$AA$18)/($AA$19-$AA$18)</f>
        <v>0.19047619047619047</v>
      </c>
      <c r="V968" s="3">
        <f>(Таблица1[Число нарушений кредитных договоров]-$AA$23)/($AA$24-$AA$23)</f>
        <v>0.14285714285714285</v>
      </c>
      <c r="W968" s="3">
        <f>Таблица1[[#This Row],[Годовой доход]]/12</f>
        <v>116508</v>
      </c>
      <c r="X968" s="3">
        <f>Таблица1[[#This Row],[Ежемесячный платеж]]/Таблица1[[#This Row],[Ежем доход]]</f>
        <v>0.10199934768427919</v>
      </c>
      <c r="Y968" s="3"/>
      <c r="Z968" s="3"/>
      <c r="AA968" s="3"/>
      <c r="AB968" s="3"/>
    </row>
    <row r="969" spans="1:28" x14ac:dyDescent="0.2">
      <c r="A969">
        <v>106</v>
      </c>
      <c r="B969" t="s">
        <v>148</v>
      </c>
      <c r="C969" t="s">
        <v>18</v>
      </c>
      <c r="D969" t="s">
        <v>19</v>
      </c>
      <c r="E969" t="s">
        <v>30</v>
      </c>
      <c r="F969" t="s">
        <v>33</v>
      </c>
      <c r="G969" t="s">
        <v>25</v>
      </c>
      <c r="H969" s="1">
        <v>280588</v>
      </c>
      <c r="I969" s="3">
        <v>717</v>
      </c>
      <c r="J969" s="3">
        <v>671080</v>
      </c>
      <c r="K969" s="3">
        <v>17447.89</v>
      </c>
      <c r="L969" s="2">
        <v>10</v>
      </c>
      <c r="M969" s="11">
        <v>70</v>
      </c>
      <c r="N969" s="3">
        <v>10</v>
      </c>
      <c r="O969" s="3">
        <v>168169</v>
      </c>
      <c r="P969" s="3">
        <v>470360</v>
      </c>
      <c r="Q969" s="10">
        <v>1</v>
      </c>
      <c r="R969" s="3">
        <f>(Таблица1[Размер кредита]-$AA$2)/$AA$3</f>
        <v>-0.16514229155064183</v>
      </c>
      <c r="S969" s="3">
        <f>(Таблица1[Кредитный рейтинг]-$AA$7)/($AA$8-$AA$7)</f>
        <v>0.9547270306258322</v>
      </c>
      <c r="T969" s="3">
        <f>(Таблица1[Срок с последнего нарушения кредитного договора (мес,)]-$AA$12)/($AA$13-$AA$12)</f>
        <v>0.79545454545454541</v>
      </c>
      <c r="U969" s="3">
        <f>(Таблица1[Количество кредитных карт]-$AA$18)/($AA$19-$AA$18)</f>
        <v>0.21428571428571427</v>
      </c>
      <c r="V969" s="3">
        <f>(Таблица1[Число нарушений кредитных договоров]-$AA$23)/($AA$24-$AA$23)</f>
        <v>0.14285714285714285</v>
      </c>
      <c r="W969" s="3">
        <f>Таблица1[[#This Row],[Годовой доход]]/12</f>
        <v>55923.333333333336</v>
      </c>
      <c r="X969" s="3">
        <f>Таблица1[[#This Row],[Ежемесячный платеж]]/Таблица1[[#This Row],[Ежем доход]]</f>
        <v>0.31199660249150618</v>
      </c>
      <c r="Y969" s="3"/>
      <c r="Z969" s="3"/>
      <c r="AA969" s="3"/>
      <c r="AB969" s="3"/>
    </row>
    <row r="970" spans="1:28" x14ac:dyDescent="0.2">
      <c r="A970">
        <v>1724</v>
      </c>
      <c r="B970" t="s">
        <v>1762</v>
      </c>
      <c r="C970" t="s">
        <v>35</v>
      </c>
      <c r="D970" t="s">
        <v>29</v>
      </c>
      <c r="E970" t="s">
        <v>24</v>
      </c>
      <c r="F970" t="s">
        <v>21</v>
      </c>
      <c r="G970" t="s">
        <v>25</v>
      </c>
      <c r="H970" s="1">
        <v>357808</v>
      </c>
      <c r="I970" s="3">
        <v>586</v>
      </c>
      <c r="J970" s="3">
        <v>1030066</v>
      </c>
      <c r="K970" s="3">
        <v>24978.92</v>
      </c>
      <c r="L970" s="2">
        <v>15.2</v>
      </c>
      <c r="M970" s="11">
        <v>39</v>
      </c>
      <c r="N970" s="3">
        <v>12</v>
      </c>
      <c r="O970" s="3">
        <v>344470</v>
      </c>
      <c r="P970" s="3">
        <v>470360</v>
      </c>
      <c r="Q970" s="10">
        <v>0</v>
      </c>
      <c r="R970" s="3">
        <f>(Таблица1[Размер кредита]-$AA$2)/$AA$3</f>
        <v>0.27449285977264809</v>
      </c>
      <c r="S970" s="3">
        <f>(Таблица1[Кредитный рейтинг]-$AA$7)/($AA$8-$AA$7)</f>
        <v>0.78029294274300931</v>
      </c>
      <c r="T970" s="3">
        <f>(Таблица1[Срок с последнего нарушения кредитного договора (мес,)]-$AA$12)/($AA$13-$AA$12)</f>
        <v>0.44318181818181818</v>
      </c>
      <c r="U970" s="3">
        <f>(Таблица1[Количество кредитных карт]-$AA$18)/($AA$19-$AA$18)</f>
        <v>0.26190476190476192</v>
      </c>
      <c r="V970" s="3">
        <f>(Таблица1[Число нарушений кредитных договоров]-$AA$23)/($AA$24-$AA$23)</f>
        <v>0</v>
      </c>
      <c r="W970" s="3">
        <f>Таблица1[[#This Row],[Годовой доход]]/12</f>
        <v>85838.833333333328</v>
      </c>
      <c r="X970" s="3">
        <f>Таблица1[[#This Row],[Ежемесячный платеж]]/Таблица1[[#This Row],[Ежем доход]]</f>
        <v>0.29099789722211972</v>
      </c>
      <c r="Y970" s="3"/>
      <c r="Z970" s="3"/>
      <c r="AA970" s="3"/>
      <c r="AB970" s="3"/>
    </row>
    <row r="971" spans="1:28" x14ac:dyDescent="0.2">
      <c r="A971">
        <v>610</v>
      </c>
      <c r="B971" t="s">
        <v>651</v>
      </c>
      <c r="C971" t="s">
        <v>35</v>
      </c>
      <c r="D971" t="s">
        <v>29</v>
      </c>
      <c r="E971" t="s">
        <v>37</v>
      </c>
      <c r="F971" t="s">
        <v>33</v>
      </c>
      <c r="G971" t="s">
        <v>25</v>
      </c>
      <c r="H971" s="1">
        <v>218702</v>
      </c>
      <c r="I971" s="3">
        <v>717</v>
      </c>
      <c r="J971" s="3">
        <v>576992</v>
      </c>
      <c r="K971" s="3">
        <v>9087.51</v>
      </c>
      <c r="L971" s="2">
        <v>16</v>
      </c>
      <c r="M971" s="11">
        <v>64</v>
      </c>
      <c r="N971" s="3">
        <v>11</v>
      </c>
      <c r="O971" s="3">
        <v>251522</v>
      </c>
      <c r="P971" s="3">
        <v>469722</v>
      </c>
      <c r="Q971" s="10">
        <v>0</v>
      </c>
      <c r="R971" s="3">
        <f>(Таблица1[Размер кредита]-$AA$2)/$AA$3</f>
        <v>-0.51747667350859472</v>
      </c>
      <c r="S971" s="3">
        <f>(Таблица1[Кредитный рейтинг]-$AA$7)/($AA$8-$AA$7)</f>
        <v>0.9547270306258322</v>
      </c>
      <c r="T971" s="3">
        <f>(Таблица1[Срок с последнего нарушения кредитного договора (мес,)]-$AA$12)/($AA$13-$AA$12)</f>
        <v>0.72727272727272729</v>
      </c>
      <c r="U971" s="3">
        <f>(Таблица1[Количество кредитных карт]-$AA$18)/($AA$19-$AA$18)</f>
        <v>0.23809523809523808</v>
      </c>
      <c r="V971" s="3">
        <f>(Таблица1[Число нарушений кредитных договоров]-$AA$23)/($AA$24-$AA$23)</f>
        <v>0</v>
      </c>
      <c r="W971" s="3">
        <f>Таблица1[[#This Row],[Годовой доход]]/12</f>
        <v>48082.666666666664</v>
      </c>
      <c r="X971" s="3">
        <f>Таблица1[[#This Row],[Ежемесячный платеж]]/Таблица1[[#This Row],[Ежем доход]]</f>
        <v>0.18899762908324552</v>
      </c>
      <c r="Y971" s="3"/>
      <c r="Z971" s="3"/>
      <c r="AA971" s="3"/>
      <c r="AB971" s="3"/>
    </row>
    <row r="972" spans="1:28" x14ac:dyDescent="0.2">
      <c r="A972">
        <v>445</v>
      </c>
      <c r="B972" t="s">
        <v>486</v>
      </c>
      <c r="C972" t="s">
        <v>18</v>
      </c>
      <c r="D972" t="s">
        <v>19</v>
      </c>
      <c r="E972" t="s">
        <v>63</v>
      </c>
      <c r="F972" t="s">
        <v>33</v>
      </c>
      <c r="G972" t="s">
        <v>25</v>
      </c>
      <c r="H972" s="1">
        <v>309594.52439999999</v>
      </c>
      <c r="I972" s="3">
        <v>741</v>
      </c>
      <c r="J972" s="3">
        <v>1157328</v>
      </c>
      <c r="K972" s="3">
        <v>9007.9</v>
      </c>
      <c r="L972" s="2">
        <v>13.7</v>
      </c>
      <c r="M972" s="11">
        <v>35.265240640000002</v>
      </c>
      <c r="N972" s="3">
        <v>10</v>
      </c>
      <c r="O972" s="3">
        <v>159714</v>
      </c>
      <c r="P972" s="3">
        <v>469348</v>
      </c>
      <c r="Q972" s="10">
        <v>3</v>
      </c>
      <c r="R972" s="3">
        <f>(Таблица1[Размер кредита]-$AA$2)/$AA$3</f>
        <v>-1.2411115481956205E-10</v>
      </c>
      <c r="S972" s="3">
        <f>(Таблица1[Кредитный рейтинг]-$AA$7)/($AA$8-$AA$7)</f>
        <v>0.98668442077230356</v>
      </c>
      <c r="T972" s="3">
        <f>(Таблица1[Срок с последнего нарушения кредитного договора (мес,)]-$AA$12)/($AA$13-$AA$12)</f>
        <v>0.40074137090909095</v>
      </c>
      <c r="U972" s="3">
        <f>(Таблица1[Количество кредитных карт]-$AA$18)/($AA$19-$AA$18)</f>
        <v>0.21428571428571427</v>
      </c>
      <c r="V972" s="3">
        <f>(Таблица1[Число нарушений кредитных договоров]-$AA$23)/($AA$24-$AA$23)</f>
        <v>0.42857142857142855</v>
      </c>
      <c r="W972" s="3">
        <f>Таблица1[[#This Row],[Годовой доход]]/12</f>
        <v>96444</v>
      </c>
      <c r="X972" s="3">
        <f>Таблица1[[#This Row],[Ежемесячный платеж]]/Таблица1[[#This Row],[Ежем доход]]</f>
        <v>9.3400315208825843E-2</v>
      </c>
      <c r="Y972" s="3"/>
      <c r="Z972" s="3"/>
      <c r="AA972" s="3"/>
      <c r="AB972" s="3"/>
    </row>
    <row r="973" spans="1:28" x14ac:dyDescent="0.2">
      <c r="A973">
        <v>1033</v>
      </c>
      <c r="B973" t="s">
        <v>1072</v>
      </c>
      <c r="C973" t="s">
        <v>35</v>
      </c>
      <c r="D973" t="s">
        <v>29</v>
      </c>
      <c r="E973" t="s">
        <v>24</v>
      </c>
      <c r="F973" t="s">
        <v>33</v>
      </c>
      <c r="G973" t="s">
        <v>67</v>
      </c>
      <c r="H973" s="1">
        <v>477818</v>
      </c>
      <c r="I973" s="3">
        <v>0</v>
      </c>
      <c r="J973" s="3">
        <v>1168044</v>
      </c>
      <c r="K973" s="3">
        <v>8310.41</v>
      </c>
      <c r="L973" s="2">
        <v>21.3</v>
      </c>
      <c r="M973" s="11">
        <v>35.265240640000002</v>
      </c>
      <c r="N973" s="3">
        <v>12</v>
      </c>
      <c r="O973" s="3">
        <v>65265</v>
      </c>
      <c r="P973" s="3">
        <v>469348</v>
      </c>
      <c r="Q973" s="10">
        <v>0</v>
      </c>
      <c r="R973" s="3">
        <f>(Таблица1[Размер кредита]-$AA$2)/$AA$3</f>
        <v>0.95774350093177818</v>
      </c>
      <c r="S973" s="3">
        <f>(Таблица1[Кредитный рейтинг]-$AA$7)/($AA$8-$AA$7)</f>
        <v>0</v>
      </c>
      <c r="T973" s="3">
        <f>(Таблица1[Срок с последнего нарушения кредитного договора (мес,)]-$AA$12)/($AA$13-$AA$12)</f>
        <v>0.40074137090909095</v>
      </c>
      <c r="U973" s="3">
        <f>(Таблица1[Количество кредитных карт]-$AA$18)/($AA$19-$AA$18)</f>
        <v>0.26190476190476192</v>
      </c>
      <c r="V973" s="3">
        <f>(Таблица1[Число нарушений кредитных договоров]-$AA$23)/($AA$24-$AA$23)</f>
        <v>0</v>
      </c>
      <c r="W973" s="3">
        <f>Таблица1[[#This Row],[Годовой доход]]/12</f>
        <v>97337</v>
      </c>
      <c r="X973" s="3">
        <f>Таблица1[[#This Row],[Ежемесячный платеж]]/Таблица1[[#This Row],[Ежем доход]]</f>
        <v>8.5377708373999606E-2</v>
      </c>
      <c r="Y973" s="3"/>
      <c r="Z973" s="3"/>
      <c r="AA973" s="3"/>
      <c r="AB973" s="3"/>
    </row>
    <row r="974" spans="1:28" x14ac:dyDescent="0.2">
      <c r="A974">
        <v>31</v>
      </c>
      <c r="B974" t="s">
        <v>68</v>
      </c>
      <c r="C974" t="s">
        <v>18</v>
      </c>
      <c r="D974" t="s">
        <v>19</v>
      </c>
      <c r="E974" t="s">
        <v>69</v>
      </c>
      <c r="F974" t="s">
        <v>33</v>
      </c>
      <c r="G974" t="s">
        <v>70</v>
      </c>
      <c r="H974" s="1">
        <v>309594.52439999999</v>
      </c>
      <c r="I974" s="3">
        <v>737</v>
      </c>
      <c r="J974" s="3">
        <v>1501912</v>
      </c>
      <c r="K974" s="3">
        <v>31039.54</v>
      </c>
      <c r="L974" s="2">
        <v>18</v>
      </c>
      <c r="M974" s="11">
        <v>35.265240640000002</v>
      </c>
      <c r="N974" s="3">
        <v>8</v>
      </c>
      <c r="O974" s="3">
        <v>229349</v>
      </c>
      <c r="P974" s="3">
        <v>469172</v>
      </c>
      <c r="Q974" s="10">
        <v>0</v>
      </c>
      <c r="R974" s="3">
        <f>(Таблица1[Размер кредита]-$AA$2)/$AA$3</f>
        <v>-1.2411115481956205E-10</v>
      </c>
      <c r="S974" s="3">
        <f>(Таблица1[Кредитный рейтинг]-$AA$7)/($AA$8-$AA$7)</f>
        <v>0.98135818908122507</v>
      </c>
      <c r="T974" s="3">
        <f>(Таблица1[Срок с последнего нарушения кредитного договора (мес,)]-$AA$12)/($AA$13-$AA$12)</f>
        <v>0.40074137090909095</v>
      </c>
      <c r="U974" s="3">
        <f>(Таблица1[Количество кредитных карт]-$AA$18)/($AA$19-$AA$18)</f>
        <v>0.16666666666666666</v>
      </c>
      <c r="V974" s="3">
        <f>(Таблица1[Число нарушений кредитных договоров]-$AA$23)/($AA$24-$AA$23)</f>
        <v>0</v>
      </c>
      <c r="W974" s="3">
        <f>Таблица1[[#This Row],[Годовой доход]]/12</f>
        <v>125159.33333333333</v>
      </c>
      <c r="X974" s="3">
        <f>Таблица1[[#This Row],[Ежемесячный платеж]]/Таблица1[[#This Row],[Ежем доход]]</f>
        <v>0.24800020240866311</v>
      </c>
      <c r="Y974" s="3"/>
      <c r="Z974" s="3"/>
      <c r="AA974" s="3"/>
      <c r="AB974" s="3"/>
    </row>
    <row r="975" spans="1:28" x14ac:dyDescent="0.2">
      <c r="A975">
        <v>175</v>
      </c>
      <c r="B975" t="s">
        <v>217</v>
      </c>
      <c r="C975" t="s">
        <v>35</v>
      </c>
      <c r="D975" t="s">
        <v>29</v>
      </c>
      <c r="E975" t="s">
        <v>69</v>
      </c>
      <c r="F975" t="s">
        <v>21</v>
      </c>
      <c r="G975" t="s">
        <v>25</v>
      </c>
      <c r="H975" s="1">
        <v>459602</v>
      </c>
      <c r="I975" s="3">
        <v>712</v>
      </c>
      <c r="J975" s="3">
        <v>982870</v>
      </c>
      <c r="K975" s="3">
        <v>12859.01</v>
      </c>
      <c r="L975" s="2">
        <v>15.6</v>
      </c>
      <c r="M975" s="11">
        <v>35.265240640000002</v>
      </c>
      <c r="N975" s="3">
        <v>6</v>
      </c>
      <c r="O975" s="3">
        <v>390621</v>
      </c>
      <c r="P975" s="3">
        <v>468204</v>
      </c>
      <c r="Q975" s="10">
        <v>0</v>
      </c>
      <c r="R975" s="3">
        <f>(Таблица1[Размер кредита]-$AA$2)/$AA$3</f>
        <v>0.85403469600423287</v>
      </c>
      <c r="S975" s="3">
        <f>(Таблица1[Кредитный рейтинг]-$AA$7)/($AA$8-$AA$7)</f>
        <v>0.94806924101198398</v>
      </c>
      <c r="T975" s="3">
        <f>(Таблица1[Срок с последнего нарушения кредитного договора (мес,)]-$AA$12)/($AA$13-$AA$12)</f>
        <v>0.40074137090909095</v>
      </c>
      <c r="U975" s="3">
        <f>(Таблица1[Количество кредитных карт]-$AA$18)/($AA$19-$AA$18)</f>
        <v>0.11904761904761904</v>
      </c>
      <c r="V975" s="3">
        <f>(Таблица1[Число нарушений кредитных договоров]-$AA$23)/($AA$24-$AA$23)</f>
        <v>0</v>
      </c>
      <c r="W975" s="3">
        <f>Таблица1[[#This Row],[Годовой доход]]/12</f>
        <v>81905.833333333328</v>
      </c>
      <c r="X975" s="3">
        <f>Таблица1[[#This Row],[Ежемесячный платеж]]/Таблица1[[#This Row],[Ежем доход]]</f>
        <v>0.15699748695147883</v>
      </c>
      <c r="Y975" s="3"/>
      <c r="Z975" s="3"/>
      <c r="AA975" s="3"/>
      <c r="AB975" s="3"/>
    </row>
    <row r="976" spans="1:28" x14ac:dyDescent="0.2">
      <c r="A976">
        <v>830</v>
      </c>
      <c r="B976" t="s">
        <v>871</v>
      </c>
      <c r="C976" t="s">
        <v>18</v>
      </c>
      <c r="D976" t="s">
        <v>29</v>
      </c>
      <c r="E976" t="s">
        <v>63</v>
      </c>
      <c r="F976" t="s">
        <v>21</v>
      </c>
      <c r="G976" t="s">
        <v>25</v>
      </c>
      <c r="H976" s="1">
        <v>259028</v>
      </c>
      <c r="I976" s="3">
        <v>698</v>
      </c>
      <c r="J976" s="3">
        <v>2469753</v>
      </c>
      <c r="K976" s="3">
        <v>22227.72</v>
      </c>
      <c r="L976" s="2">
        <v>8.4</v>
      </c>
      <c r="M976" s="11">
        <v>68</v>
      </c>
      <c r="N976" s="3">
        <v>10</v>
      </c>
      <c r="O976" s="3">
        <v>250705</v>
      </c>
      <c r="P976" s="3">
        <v>468204</v>
      </c>
      <c r="Q976" s="10">
        <v>0</v>
      </c>
      <c r="R976" s="3">
        <f>(Таблица1[Размер кредита]-$AA$2)/$AA$3</f>
        <v>-0.28788942781754329</v>
      </c>
      <c r="S976" s="3">
        <f>(Таблица1[Кредитный рейтинг]-$AA$7)/($AA$8-$AA$7)</f>
        <v>0.92942743009320905</v>
      </c>
      <c r="T976" s="3">
        <f>(Таблица1[Срок с последнего нарушения кредитного договора (мес,)]-$AA$12)/($AA$13-$AA$12)</f>
        <v>0.77272727272727271</v>
      </c>
      <c r="U976" s="3">
        <f>(Таблица1[Количество кредитных карт]-$AA$18)/($AA$19-$AA$18)</f>
        <v>0.21428571428571427</v>
      </c>
      <c r="V976" s="3">
        <f>(Таблица1[Число нарушений кредитных договоров]-$AA$23)/($AA$24-$AA$23)</f>
        <v>0</v>
      </c>
      <c r="W976" s="3">
        <f>Таблица1[[#This Row],[Годовой доход]]/12</f>
        <v>205812.75</v>
      </c>
      <c r="X976" s="3">
        <f>Таблица1[[#This Row],[Ежемесячный платеж]]/Таблица1[[#This Row],[Ежем доход]]</f>
        <v>0.107999723049228</v>
      </c>
      <c r="Y976" s="3"/>
      <c r="Z976" s="3"/>
      <c r="AA976" s="3"/>
      <c r="AB976" s="3"/>
    </row>
    <row r="977" spans="1:28" x14ac:dyDescent="0.2">
      <c r="A977">
        <v>800</v>
      </c>
      <c r="B977" t="s">
        <v>841</v>
      </c>
      <c r="C977" t="s">
        <v>18</v>
      </c>
      <c r="D977" t="s">
        <v>19</v>
      </c>
      <c r="E977" t="s">
        <v>63</v>
      </c>
      <c r="F977" t="s">
        <v>27</v>
      </c>
      <c r="G977" t="s">
        <v>75</v>
      </c>
      <c r="H977" s="1">
        <v>129184</v>
      </c>
      <c r="I977" s="3">
        <v>735</v>
      </c>
      <c r="J977" s="3">
        <v>948366</v>
      </c>
      <c r="K977" s="3">
        <v>9088.4599999999991</v>
      </c>
      <c r="L977" s="2">
        <v>17</v>
      </c>
      <c r="M977" s="11">
        <v>50</v>
      </c>
      <c r="N977" s="3">
        <v>9</v>
      </c>
      <c r="O977" s="3">
        <v>332139</v>
      </c>
      <c r="P977" s="3">
        <v>467280</v>
      </c>
      <c r="Q977" s="10">
        <v>0</v>
      </c>
      <c r="R977" s="3">
        <f>(Таблица1[Размер кредита]-$AA$2)/$AA$3</f>
        <v>-1.0271277933759642</v>
      </c>
      <c r="S977" s="3">
        <f>(Таблица1[Кредитный рейтинг]-$AA$7)/($AA$8-$AA$7)</f>
        <v>0.97869507323568572</v>
      </c>
      <c r="T977" s="3">
        <f>(Таблица1[Срок с последнего нарушения кредитного договора (мес,)]-$AA$12)/($AA$13-$AA$12)</f>
        <v>0.56818181818181823</v>
      </c>
      <c r="U977" s="3">
        <f>(Таблица1[Количество кредитных карт]-$AA$18)/($AA$19-$AA$18)</f>
        <v>0.19047619047619047</v>
      </c>
      <c r="V977" s="3">
        <f>(Таблица1[Число нарушений кредитных договоров]-$AA$23)/($AA$24-$AA$23)</f>
        <v>0</v>
      </c>
      <c r="W977" s="3">
        <f>Таблица1[[#This Row],[Годовой доход]]/12</f>
        <v>79030.5</v>
      </c>
      <c r="X977" s="3">
        <f>Таблица1[[#This Row],[Ежемесячный платеж]]/Таблица1[[#This Row],[Ежем доход]]</f>
        <v>0.1149993989662219</v>
      </c>
      <c r="Y977" s="3"/>
      <c r="Z977" s="3"/>
      <c r="AA977" s="3"/>
      <c r="AB977" s="3"/>
    </row>
    <row r="978" spans="1:28" x14ac:dyDescent="0.2">
      <c r="A978">
        <v>909</v>
      </c>
      <c r="B978" t="s">
        <v>950</v>
      </c>
      <c r="C978" t="s">
        <v>18</v>
      </c>
      <c r="D978" t="s">
        <v>29</v>
      </c>
      <c r="E978" t="s">
        <v>24</v>
      </c>
      <c r="F978" t="s">
        <v>33</v>
      </c>
      <c r="G978" t="s">
        <v>25</v>
      </c>
      <c r="H978" s="1">
        <v>328790</v>
      </c>
      <c r="I978" s="3">
        <v>719</v>
      </c>
      <c r="J978" s="3">
        <v>1390838</v>
      </c>
      <c r="K978" s="3">
        <v>6687.62</v>
      </c>
      <c r="L978" s="2">
        <v>14</v>
      </c>
      <c r="M978" s="11">
        <v>12</v>
      </c>
      <c r="N978" s="3">
        <v>8</v>
      </c>
      <c r="O978" s="3">
        <v>199253</v>
      </c>
      <c r="P978" s="3">
        <v>467060</v>
      </c>
      <c r="Q978" s="10">
        <v>1</v>
      </c>
      <c r="R978" s="3">
        <f>(Таблица1[Размер кредита]-$AA$2)/$AA$3</f>
        <v>0.10928523453178786</v>
      </c>
      <c r="S978" s="3">
        <f>(Таблица1[Кредитный рейтинг]-$AA$7)/($AA$8-$AA$7)</f>
        <v>0.95739014647137155</v>
      </c>
      <c r="T978" s="3">
        <f>(Таблица1[Срок с последнего нарушения кредитного договора (мес,)]-$AA$12)/($AA$13-$AA$12)</f>
        <v>0.13636363636363635</v>
      </c>
      <c r="U978" s="3">
        <f>(Таблица1[Количество кредитных карт]-$AA$18)/($AA$19-$AA$18)</f>
        <v>0.16666666666666666</v>
      </c>
      <c r="V978" s="3">
        <f>(Таблица1[Число нарушений кредитных договоров]-$AA$23)/($AA$24-$AA$23)</f>
        <v>0.14285714285714285</v>
      </c>
      <c r="W978" s="3">
        <f>Таблица1[[#This Row],[Годовой доход]]/12</f>
        <v>115903.16666666667</v>
      </c>
      <c r="X978" s="3">
        <f>Таблица1[[#This Row],[Ежемесячный платеж]]/Таблица1[[#This Row],[Ежем доход]]</f>
        <v>5.7700062839813118E-2</v>
      </c>
      <c r="Y978" s="3"/>
      <c r="Z978" s="3"/>
      <c r="AA978" s="3"/>
      <c r="AB978" s="3"/>
    </row>
    <row r="979" spans="1:28" x14ac:dyDescent="0.2">
      <c r="A979">
        <v>764</v>
      </c>
      <c r="B979" t="s">
        <v>805</v>
      </c>
      <c r="C979" t="s">
        <v>18</v>
      </c>
      <c r="D979" t="s">
        <v>19</v>
      </c>
      <c r="E979" t="s">
        <v>52</v>
      </c>
      <c r="F979" t="s">
        <v>21</v>
      </c>
      <c r="G979" t="s">
        <v>25</v>
      </c>
      <c r="H979" s="1">
        <v>309594.52439999999</v>
      </c>
      <c r="I979" s="3">
        <v>726</v>
      </c>
      <c r="J979" s="3">
        <v>1488289</v>
      </c>
      <c r="K979" s="3">
        <v>35099.08</v>
      </c>
      <c r="L979" s="2">
        <v>15.4</v>
      </c>
      <c r="M979" s="11">
        <v>35.265240640000002</v>
      </c>
      <c r="N979" s="3">
        <v>15</v>
      </c>
      <c r="O979" s="3">
        <v>187929</v>
      </c>
      <c r="P979" s="3">
        <v>465960</v>
      </c>
      <c r="Q979" s="10">
        <v>1</v>
      </c>
      <c r="R979" s="3">
        <f>(Таблица1[Размер кредита]-$AA$2)/$AA$3</f>
        <v>-1.2411115481956205E-10</v>
      </c>
      <c r="S979" s="3">
        <f>(Таблица1[Кредитный рейтинг]-$AA$7)/($AA$8-$AA$7)</f>
        <v>0.96671105193075901</v>
      </c>
      <c r="T979" s="3">
        <f>(Таблица1[Срок с последнего нарушения кредитного договора (мес,)]-$AA$12)/($AA$13-$AA$12)</f>
        <v>0.40074137090909095</v>
      </c>
      <c r="U979" s="3">
        <f>(Таблица1[Количество кредитных карт]-$AA$18)/($AA$19-$AA$18)</f>
        <v>0.33333333333333331</v>
      </c>
      <c r="V979" s="3">
        <f>(Таблица1[Число нарушений кредитных договоров]-$AA$23)/($AA$24-$AA$23)</f>
        <v>0.14285714285714285</v>
      </c>
      <c r="W979" s="3">
        <f>Таблица1[[#This Row],[Годовой доход]]/12</f>
        <v>124024.08333333333</v>
      </c>
      <c r="X979" s="3">
        <f>Таблица1[[#This Row],[Ежемесячный платеж]]/Таблица1[[#This Row],[Ежем доход]]</f>
        <v>0.28300213197839941</v>
      </c>
      <c r="Y979" s="3"/>
      <c r="Z979" s="3"/>
      <c r="AA979" s="3"/>
      <c r="AB979" s="3"/>
    </row>
    <row r="980" spans="1:28" x14ac:dyDescent="0.2">
      <c r="A980">
        <v>215</v>
      </c>
      <c r="B980" t="s">
        <v>257</v>
      </c>
      <c r="C980" t="s">
        <v>18</v>
      </c>
      <c r="D980" t="s">
        <v>19</v>
      </c>
      <c r="E980" t="s">
        <v>24</v>
      </c>
      <c r="F980" t="s">
        <v>33</v>
      </c>
      <c r="G980" t="s">
        <v>25</v>
      </c>
      <c r="H980" s="1">
        <v>111408</v>
      </c>
      <c r="I980" s="3">
        <v>733</v>
      </c>
      <c r="J980" s="3">
        <v>1154592</v>
      </c>
      <c r="K980" s="3">
        <v>18762.12</v>
      </c>
      <c r="L980" s="2">
        <v>20.399999999999999</v>
      </c>
      <c r="M980" s="11">
        <v>47</v>
      </c>
      <c r="N980" s="3">
        <v>9</v>
      </c>
      <c r="O980" s="3">
        <v>283936</v>
      </c>
      <c r="P980" s="3">
        <v>465674</v>
      </c>
      <c r="Q980" s="10">
        <v>0</v>
      </c>
      <c r="R980" s="3">
        <f>(Таблица1[Размер кредита]-$AA$2)/$AA$3</f>
        <v>-1.1283315547062258</v>
      </c>
      <c r="S980" s="3">
        <f>(Таблица1[Кредитный рейтинг]-$AA$7)/($AA$8-$AA$7)</f>
        <v>0.97603195739014648</v>
      </c>
      <c r="T980" s="3">
        <f>(Таблица1[Срок с последнего нарушения кредитного договора (мес,)]-$AA$12)/($AA$13-$AA$12)</f>
        <v>0.53409090909090906</v>
      </c>
      <c r="U980" s="3">
        <f>(Таблица1[Количество кредитных карт]-$AA$18)/($AA$19-$AA$18)</f>
        <v>0.19047619047619047</v>
      </c>
      <c r="V980" s="3">
        <f>(Таблица1[Число нарушений кредитных договоров]-$AA$23)/($AA$24-$AA$23)</f>
        <v>0</v>
      </c>
      <c r="W980" s="3">
        <f>Таблица1[[#This Row],[Годовой доход]]/12</f>
        <v>96216</v>
      </c>
      <c r="X980" s="3">
        <f>Таблица1[[#This Row],[Ежемесячный платеж]]/Таблица1[[#This Row],[Ежем доход]]</f>
        <v>0.19499999999999998</v>
      </c>
      <c r="Y980" s="3"/>
      <c r="Z980" s="3"/>
      <c r="AA980" s="3"/>
      <c r="AB980" s="3"/>
    </row>
    <row r="981" spans="1:28" x14ac:dyDescent="0.2">
      <c r="A981">
        <v>668</v>
      </c>
      <c r="B981" t="s">
        <v>709</v>
      </c>
      <c r="C981" t="s">
        <v>18</v>
      </c>
      <c r="D981" t="s">
        <v>19</v>
      </c>
      <c r="E981" t="s">
        <v>41</v>
      </c>
      <c r="F981" t="s">
        <v>21</v>
      </c>
      <c r="G981" t="s">
        <v>22</v>
      </c>
      <c r="H981" s="1">
        <v>135014</v>
      </c>
      <c r="I981" s="3">
        <v>741</v>
      </c>
      <c r="J981" s="3">
        <v>1865591</v>
      </c>
      <c r="K981" s="3">
        <v>37156.21</v>
      </c>
      <c r="L981" s="2">
        <v>25.6</v>
      </c>
      <c r="M981" s="11">
        <v>52</v>
      </c>
      <c r="N981" s="3">
        <v>8</v>
      </c>
      <c r="O981" s="3">
        <v>313633</v>
      </c>
      <c r="P981" s="3">
        <v>465586</v>
      </c>
      <c r="Q981" s="10">
        <v>0</v>
      </c>
      <c r="R981" s="3">
        <f>(Таблица1[Размер кредита]-$AA$2)/$AA$3</f>
        <v>-0.99393596571195508</v>
      </c>
      <c r="S981" s="3">
        <f>(Таблица1[Кредитный рейтинг]-$AA$7)/($AA$8-$AA$7)</f>
        <v>0.98668442077230356</v>
      </c>
      <c r="T981" s="3">
        <f>(Таблица1[Срок с последнего нарушения кредитного договора (мес,)]-$AA$12)/($AA$13-$AA$12)</f>
        <v>0.59090909090909094</v>
      </c>
      <c r="U981" s="3">
        <f>(Таблица1[Количество кредитных карт]-$AA$18)/($AA$19-$AA$18)</f>
        <v>0.16666666666666666</v>
      </c>
      <c r="V981" s="3">
        <f>(Таблица1[Число нарушений кредитных договоров]-$AA$23)/($AA$24-$AA$23)</f>
        <v>0</v>
      </c>
      <c r="W981" s="3">
        <f>Таблица1[[#This Row],[Годовой доход]]/12</f>
        <v>155465.91666666666</v>
      </c>
      <c r="X981" s="3">
        <f>Таблица1[[#This Row],[Ежемесячный платеж]]/Таблица1[[#This Row],[Ежем доход]]</f>
        <v>0.23899907321594069</v>
      </c>
      <c r="Y981" s="3"/>
      <c r="Z981" s="3"/>
      <c r="AA981" s="3"/>
      <c r="AB981" s="3"/>
    </row>
    <row r="982" spans="1:28" x14ac:dyDescent="0.2">
      <c r="A982">
        <v>582</v>
      </c>
      <c r="B982" t="s">
        <v>623</v>
      </c>
      <c r="C982" t="s">
        <v>18</v>
      </c>
      <c r="D982" t="s">
        <v>19</v>
      </c>
      <c r="E982" t="s">
        <v>37</v>
      </c>
      <c r="F982" t="s">
        <v>33</v>
      </c>
      <c r="G982" t="s">
        <v>67</v>
      </c>
      <c r="H982" s="1">
        <v>87428</v>
      </c>
      <c r="I982" s="3">
        <v>743</v>
      </c>
      <c r="J982" s="3">
        <v>692474</v>
      </c>
      <c r="K982" s="3">
        <v>7444.2</v>
      </c>
      <c r="L982" s="2">
        <v>10.7</v>
      </c>
      <c r="M982" s="11">
        <v>35.265240640000002</v>
      </c>
      <c r="N982" s="3">
        <v>15</v>
      </c>
      <c r="O982" s="3">
        <v>106799</v>
      </c>
      <c r="P982" s="3">
        <v>464882</v>
      </c>
      <c r="Q982" s="10">
        <v>0</v>
      </c>
      <c r="R982" s="3">
        <f>(Таблица1[Размер кредита]-$AA$2)/$AA$3</f>
        <v>-1.2648564307581875</v>
      </c>
      <c r="S982" s="3">
        <f>(Таблица1[Кредитный рейтинг]-$AA$7)/($AA$8-$AA$7)</f>
        <v>0.98934753661784292</v>
      </c>
      <c r="T982" s="3">
        <f>(Таблица1[Срок с последнего нарушения кредитного договора (мес,)]-$AA$12)/($AA$13-$AA$12)</f>
        <v>0.40074137090909095</v>
      </c>
      <c r="U982" s="3">
        <f>(Таблица1[Количество кредитных карт]-$AA$18)/($AA$19-$AA$18)</f>
        <v>0.33333333333333331</v>
      </c>
      <c r="V982" s="3">
        <f>(Таблица1[Число нарушений кредитных договоров]-$AA$23)/($AA$24-$AA$23)</f>
        <v>0</v>
      </c>
      <c r="W982" s="3">
        <f>Таблица1[[#This Row],[Годовой доход]]/12</f>
        <v>57706.166666666664</v>
      </c>
      <c r="X982" s="3">
        <f>Таблица1[[#This Row],[Ежемесячный платеж]]/Таблица1[[#This Row],[Ежем доход]]</f>
        <v>0.12900181089831531</v>
      </c>
      <c r="Y982" s="3"/>
      <c r="Z982" s="3"/>
      <c r="AA982" s="3"/>
      <c r="AB982" s="3"/>
    </row>
    <row r="983" spans="1:28" x14ac:dyDescent="0.2">
      <c r="A983">
        <v>274</v>
      </c>
      <c r="B983" t="s">
        <v>316</v>
      </c>
      <c r="C983" t="s">
        <v>18</v>
      </c>
      <c r="D983" t="s">
        <v>19</v>
      </c>
      <c r="E983" t="s">
        <v>24</v>
      </c>
      <c r="F983" t="s">
        <v>21</v>
      </c>
      <c r="G983" t="s">
        <v>25</v>
      </c>
      <c r="H983" s="1">
        <v>215006</v>
      </c>
      <c r="I983" s="3">
        <v>0</v>
      </c>
      <c r="J983" s="3">
        <v>1168044</v>
      </c>
      <c r="K983" s="3">
        <v>22042.47</v>
      </c>
      <c r="L983" s="2">
        <v>29.1</v>
      </c>
      <c r="M983" s="11">
        <v>35.265240640000002</v>
      </c>
      <c r="N983" s="3">
        <v>10</v>
      </c>
      <c r="O983" s="3">
        <v>387714</v>
      </c>
      <c r="P983" s="3">
        <v>464266</v>
      </c>
      <c r="Q983" s="10">
        <v>0</v>
      </c>
      <c r="R983" s="3">
        <f>(Таблица1[Размер кредита]-$AA$2)/$AA$3</f>
        <v>-0.53851903972577786</v>
      </c>
      <c r="S983" s="3">
        <f>(Таблица1[Кредитный рейтинг]-$AA$7)/($AA$8-$AA$7)</f>
        <v>0</v>
      </c>
      <c r="T983" s="3">
        <f>(Таблица1[Срок с последнего нарушения кредитного договора (мес,)]-$AA$12)/($AA$13-$AA$12)</f>
        <v>0.40074137090909095</v>
      </c>
      <c r="U983" s="3">
        <f>(Таблица1[Количество кредитных карт]-$AA$18)/($AA$19-$AA$18)</f>
        <v>0.21428571428571427</v>
      </c>
      <c r="V983" s="3">
        <f>(Таблица1[Число нарушений кредитных договоров]-$AA$23)/($AA$24-$AA$23)</f>
        <v>0</v>
      </c>
      <c r="W983" s="3">
        <f>Таблица1[[#This Row],[Годовой доход]]/12</f>
        <v>97337</v>
      </c>
      <c r="X983" s="3">
        <f>Таблица1[[#This Row],[Ежемесячный платеж]]/Таблица1[[#This Row],[Ежем доход]]</f>
        <v>0.22645520203006053</v>
      </c>
      <c r="Y983" s="3"/>
      <c r="Z983" s="3"/>
      <c r="AA983" s="3"/>
      <c r="AB983" s="3"/>
    </row>
    <row r="984" spans="1:28" x14ac:dyDescent="0.2">
      <c r="A984">
        <v>641</v>
      </c>
      <c r="B984" t="s">
        <v>682</v>
      </c>
      <c r="C984" t="s">
        <v>18</v>
      </c>
      <c r="D984" t="s">
        <v>29</v>
      </c>
      <c r="E984" t="s">
        <v>24</v>
      </c>
      <c r="F984" t="s">
        <v>21</v>
      </c>
      <c r="G984" t="s">
        <v>25</v>
      </c>
      <c r="H984" s="1">
        <v>309594.52439999999</v>
      </c>
      <c r="I984" s="3">
        <v>724</v>
      </c>
      <c r="J984" s="3">
        <v>1360343</v>
      </c>
      <c r="K984" s="3">
        <v>30494.240000000002</v>
      </c>
      <c r="L984" s="2">
        <v>15.9</v>
      </c>
      <c r="M984" s="11">
        <v>35.265240640000002</v>
      </c>
      <c r="N984" s="3">
        <v>11</v>
      </c>
      <c r="O984" s="3">
        <v>226366</v>
      </c>
      <c r="P984" s="3">
        <v>463892</v>
      </c>
      <c r="Q984" s="10">
        <v>1</v>
      </c>
      <c r="R984" s="3">
        <f>(Таблица1[Размер кредита]-$AA$2)/$AA$3</f>
        <v>-1.2411115481956205E-10</v>
      </c>
      <c r="S984" s="3">
        <f>(Таблица1[Кредитный рейтинг]-$AA$7)/($AA$8-$AA$7)</f>
        <v>0.96404793608521966</v>
      </c>
      <c r="T984" s="3">
        <f>(Таблица1[Срок с последнего нарушения кредитного договора (мес,)]-$AA$12)/($AA$13-$AA$12)</f>
        <v>0.40074137090909095</v>
      </c>
      <c r="U984" s="3">
        <f>(Таблица1[Количество кредитных карт]-$AA$18)/($AA$19-$AA$18)</f>
        <v>0.23809523809523808</v>
      </c>
      <c r="V984" s="3">
        <f>(Таблица1[Число нарушений кредитных договоров]-$AA$23)/($AA$24-$AA$23)</f>
        <v>0.14285714285714285</v>
      </c>
      <c r="W984" s="3">
        <f>Таблица1[[#This Row],[Годовой доход]]/12</f>
        <v>113361.91666666667</v>
      </c>
      <c r="X984" s="3">
        <f>Таблица1[[#This Row],[Ежемесячный платеж]]/Таблица1[[#This Row],[Ежем доход]]</f>
        <v>0.26899898040420689</v>
      </c>
      <c r="Y984" s="3"/>
      <c r="Z984" s="3"/>
      <c r="AA984" s="3"/>
      <c r="AB984" s="3"/>
    </row>
    <row r="985" spans="1:28" x14ac:dyDescent="0.2">
      <c r="A985">
        <v>1428</v>
      </c>
      <c r="B985" t="s">
        <v>1467</v>
      </c>
      <c r="C985" t="s">
        <v>18</v>
      </c>
      <c r="D985" t="s">
        <v>19</v>
      </c>
      <c r="E985" t="s">
        <v>20</v>
      </c>
      <c r="F985" t="s">
        <v>21</v>
      </c>
      <c r="G985" t="s">
        <v>25</v>
      </c>
      <c r="H985" s="1">
        <v>334400</v>
      </c>
      <c r="I985" s="3">
        <v>735</v>
      </c>
      <c r="J985" s="3">
        <v>1058908</v>
      </c>
      <c r="K985" s="3">
        <v>20295.61</v>
      </c>
      <c r="L985" s="2">
        <v>19.3</v>
      </c>
      <c r="M985" s="11">
        <v>35.265240640000002</v>
      </c>
      <c r="N985" s="3">
        <v>14</v>
      </c>
      <c r="O985" s="3">
        <v>256348</v>
      </c>
      <c r="P985" s="3">
        <v>463804</v>
      </c>
      <c r="Q985" s="10">
        <v>1</v>
      </c>
      <c r="R985" s="3">
        <f>(Таблица1[Размер кредита]-$AA$2)/$AA$3</f>
        <v>0.14122454039715507</v>
      </c>
      <c r="S985" s="3">
        <f>(Таблица1[Кредитный рейтинг]-$AA$7)/($AA$8-$AA$7)</f>
        <v>0.97869507323568572</v>
      </c>
      <c r="T985" s="3">
        <f>(Таблица1[Срок с последнего нарушения кредитного договора (мес,)]-$AA$12)/($AA$13-$AA$12)</f>
        <v>0.40074137090909095</v>
      </c>
      <c r="U985" s="3">
        <f>(Таблица1[Количество кредитных карт]-$AA$18)/($AA$19-$AA$18)</f>
        <v>0.30952380952380953</v>
      </c>
      <c r="V985" s="3">
        <f>(Таблица1[Число нарушений кредитных договоров]-$AA$23)/($AA$24-$AA$23)</f>
        <v>0.14285714285714285</v>
      </c>
      <c r="W985" s="3">
        <f>Таблица1[[#This Row],[Годовой доход]]/12</f>
        <v>88242.333333333328</v>
      </c>
      <c r="X985" s="3">
        <f>Таблица1[[#This Row],[Ежемесячный платеж]]/Таблица1[[#This Row],[Ежем доход]]</f>
        <v>0.22999856455896076</v>
      </c>
      <c r="Y985" s="3"/>
      <c r="Z985" s="3"/>
      <c r="AA985" s="3"/>
      <c r="AB985" s="3"/>
    </row>
    <row r="986" spans="1:28" x14ac:dyDescent="0.2">
      <c r="A986">
        <v>1211</v>
      </c>
      <c r="B986" t="s">
        <v>1250</v>
      </c>
      <c r="C986" t="s">
        <v>18</v>
      </c>
      <c r="D986" t="s">
        <v>19</v>
      </c>
      <c r="E986" t="s">
        <v>30</v>
      </c>
      <c r="F986" t="s">
        <v>21</v>
      </c>
      <c r="G986" t="s">
        <v>25</v>
      </c>
      <c r="H986" s="1">
        <v>176528</v>
      </c>
      <c r="I986" s="3">
        <v>702</v>
      </c>
      <c r="J986" s="3">
        <v>1010021</v>
      </c>
      <c r="K986" s="3">
        <v>4957.4799999999996</v>
      </c>
      <c r="L986" s="2">
        <v>18.3</v>
      </c>
      <c r="M986" s="11">
        <v>35.265240640000002</v>
      </c>
      <c r="N986" s="3">
        <v>8</v>
      </c>
      <c r="O986" s="3">
        <v>68096</v>
      </c>
      <c r="P986" s="3">
        <v>463782</v>
      </c>
      <c r="Q986" s="10">
        <v>0</v>
      </c>
      <c r="R986" s="3">
        <f>(Таблица1[Размер кредита]-$AA$2)/$AA$3</f>
        <v>-0.75758510230823761</v>
      </c>
      <c r="S986" s="3">
        <f>(Таблица1[Кредитный рейтинг]-$AA$7)/($AA$8-$AA$7)</f>
        <v>0.93475366178428765</v>
      </c>
      <c r="T986" s="3">
        <f>(Таблица1[Срок с последнего нарушения кредитного договора (мес,)]-$AA$12)/($AA$13-$AA$12)</f>
        <v>0.40074137090909095</v>
      </c>
      <c r="U986" s="3">
        <f>(Таблица1[Количество кредитных карт]-$AA$18)/($AA$19-$AA$18)</f>
        <v>0.16666666666666666</v>
      </c>
      <c r="V986" s="3">
        <f>(Таблица1[Число нарушений кредитных договоров]-$AA$23)/($AA$24-$AA$23)</f>
        <v>0</v>
      </c>
      <c r="W986" s="3">
        <f>Таблица1[[#This Row],[Годовой доход]]/12</f>
        <v>84168.416666666672</v>
      </c>
      <c r="X986" s="3">
        <f>Таблица1[[#This Row],[Ежемесячный платеж]]/Таблица1[[#This Row],[Ежем доход]]</f>
        <v>5.8899527831599532E-2</v>
      </c>
      <c r="Y986" s="3"/>
      <c r="Z986" s="3"/>
      <c r="AA986" s="3"/>
      <c r="AB986" s="3"/>
    </row>
    <row r="987" spans="1:28" x14ac:dyDescent="0.2">
      <c r="A987">
        <v>882</v>
      </c>
      <c r="B987" t="s">
        <v>923</v>
      </c>
      <c r="C987" t="s">
        <v>18</v>
      </c>
      <c r="D987" t="s">
        <v>19</v>
      </c>
      <c r="E987" t="s">
        <v>30</v>
      </c>
      <c r="F987" t="s">
        <v>33</v>
      </c>
      <c r="G987" t="s">
        <v>98</v>
      </c>
      <c r="H987" s="1">
        <v>302764</v>
      </c>
      <c r="I987" s="3">
        <v>738</v>
      </c>
      <c r="J987" s="3">
        <v>1531514</v>
      </c>
      <c r="K987" s="3">
        <v>13400.7</v>
      </c>
      <c r="L987" s="2">
        <v>11</v>
      </c>
      <c r="M987" s="11">
        <v>44</v>
      </c>
      <c r="N987" s="3">
        <v>18</v>
      </c>
      <c r="O987" s="3">
        <v>201704</v>
      </c>
      <c r="P987" s="3">
        <v>463430</v>
      </c>
      <c r="Q987" s="10">
        <v>0</v>
      </c>
      <c r="R987" s="3">
        <f>(Таблица1[Размер кредита]-$AA$2)/$AA$3</f>
        <v>-3.8888094247543192E-2</v>
      </c>
      <c r="S987" s="3">
        <f>(Таблица1[Кредитный рейтинг]-$AA$7)/($AA$8-$AA$7)</f>
        <v>0.9826897470039947</v>
      </c>
      <c r="T987" s="3">
        <f>(Таблица1[Срок с последнего нарушения кредитного договора (мес,)]-$AA$12)/($AA$13-$AA$12)</f>
        <v>0.5</v>
      </c>
      <c r="U987" s="3">
        <f>(Таблица1[Количество кредитных карт]-$AA$18)/($AA$19-$AA$18)</f>
        <v>0.40476190476190477</v>
      </c>
      <c r="V987" s="3">
        <f>(Таблица1[Число нарушений кредитных договоров]-$AA$23)/($AA$24-$AA$23)</f>
        <v>0</v>
      </c>
      <c r="W987" s="3">
        <f>Таблица1[[#This Row],[Годовой доход]]/12</f>
        <v>127626.16666666667</v>
      </c>
      <c r="X987" s="3">
        <f>Таблица1[[#This Row],[Ежемесячный платеж]]/Таблица1[[#This Row],[Ежем доход]]</f>
        <v>0.10499962781926904</v>
      </c>
      <c r="Y987" s="3"/>
      <c r="Z987" s="3"/>
      <c r="AA987" s="3"/>
      <c r="AB987" s="3"/>
    </row>
    <row r="988" spans="1:28" x14ac:dyDescent="0.2">
      <c r="A988">
        <v>794</v>
      </c>
      <c r="B988" t="s">
        <v>835</v>
      </c>
      <c r="C988" t="s">
        <v>35</v>
      </c>
      <c r="D988" t="s">
        <v>29</v>
      </c>
      <c r="E988" t="s">
        <v>63</v>
      </c>
      <c r="F988" t="s">
        <v>33</v>
      </c>
      <c r="G988" t="s">
        <v>25</v>
      </c>
      <c r="H988" s="1">
        <v>395846</v>
      </c>
      <c r="I988" s="3">
        <v>725</v>
      </c>
      <c r="J988" s="3">
        <v>829597</v>
      </c>
      <c r="K988" s="3">
        <v>18251.02</v>
      </c>
      <c r="L988" s="2">
        <v>27.7</v>
      </c>
      <c r="M988" s="11">
        <v>35.265240640000002</v>
      </c>
      <c r="N988" s="3">
        <v>10</v>
      </c>
      <c r="O988" s="3">
        <v>273847</v>
      </c>
      <c r="P988" s="3">
        <v>461560</v>
      </c>
      <c r="Q988" s="10">
        <v>1</v>
      </c>
      <c r="R988" s="3">
        <f>(Таблица1[Размер кредита]-$AA$2)/$AA$3</f>
        <v>0.49105387875782425</v>
      </c>
      <c r="S988" s="3">
        <f>(Таблица1[Кредитный рейтинг]-$AA$7)/($AA$8-$AA$7)</f>
        <v>0.96537949400798939</v>
      </c>
      <c r="T988" s="3">
        <f>(Таблица1[Срок с последнего нарушения кредитного договора (мес,)]-$AA$12)/($AA$13-$AA$12)</f>
        <v>0.40074137090909095</v>
      </c>
      <c r="U988" s="3">
        <f>(Таблица1[Количество кредитных карт]-$AA$18)/($AA$19-$AA$18)</f>
        <v>0.21428571428571427</v>
      </c>
      <c r="V988" s="3">
        <f>(Таблица1[Число нарушений кредитных договоров]-$AA$23)/($AA$24-$AA$23)</f>
        <v>0.14285714285714285</v>
      </c>
      <c r="W988" s="3">
        <f>Таблица1[[#This Row],[Годовой доход]]/12</f>
        <v>69133.083333333328</v>
      </c>
      <c r="X988" s="3">
        <f>Таблица1[[#This Row],[Ежемесячный платеж]]/Таблица1[[#This Row],[Ежем доход]]</f>
        <v>0.2639983510065731</v>
      </c>
      <c r="Y988" s="3"/>
      <c r="Z988" s="3"/>
      <c r="AA988" s="3"/>
      <c r="AB988" s="3"/>
    </row>
    <row r="989" spans="1:28" x14ac:dyDescent="0.2">
      <c r="A989">
        <v>1384</v>
      </c>
      <c r="B989" t="s">
        <v>1423</v>
      </c>
      <c r="C989" t="s">
        <v>18</v>
      </c>
      <c r="D989" t="s">
        <v>19</v>
      </c>
      <c r="E989" t="s">
        <v>24</v>
      </c>
      <c r="F989" t="s">
        <v>21</v>
      </c>
      <c r="G989" t="s">
        <v>67</v>
      </c>
      <c r="H989" s="1">
        <v>309594.52439999999</v>
      </c>
      <c r="I989" s="3">
        <v>745</v>
      </c>
      <c r="J989" s="3">
        <v>1435127</v>
      </c>
      <c r="K989" s="3">
        <v>30017.91</v>
      </c>
      <c r="L989" s="2">
        <v>17.5</v>
      </c>
      <c r="M989" s="11">
        <v>45</v>
      </c>
      <c r="N989" s="3">
        <v>12</v>
      </c>
      <c r="O989" s="3">
        <v>162070</v>
      </c>
      <c r="P989" s="3">
        <v>461098</v>
      </c>
      <c r="Q989" s="10">
        <v>0</v>
      </c>
      <c r="R989" s="3">
        <f>(Таблица1[Размер кредита]-$AA$2)/$AA$3</f>
        <v>-1.2411115481956205E-10</v>
      </c>
      <c r="S989" s="3">
        <f>(Таблица1[Кредитный рейтинг]-$AA$7)/($AA$8-$AA$7)</f>
        <v>0.99201065246338216</v>
      </c>
      <c r="T989" s="3">
        <f>(Таблица1[Срок с последнего нарушения кредитного договора (мес,)]-$AA$12)/($AA$13-$AA$12)</f>
        <v>0.51136363636363635</v>
      </c>
      <c r="U989" s="3">
        <f>(Таблица1[Количество кредитных карт]-$AA$18)/($AA$19-$AA$18)</f>
        <v>0.26190476190476192</v>
      </c>
      <c r="V989" s="3">
        <f>(Таблица1[Число нарушений кредитных договоров]-$AA$23)/($AA$24-$AA$23)</f>
        <v>0</v>
      </c>
      <c r="W989" s="3">
        <f>Таблица1[[#This Row],[Годовой доход]]/12</f>
        <v>119593.91666666667</v>
      </c>
      <c r="X989" s="3">
        <f>Таблица1[[#This Row],[Ежемесячный платеж]]/Таблица1[[#This Row],[Ежем доход]]</f>
        <v>0.25099863635761849</v>
      </c>
      <c r="Y989" s="3"/>
      <c r="Z989" s="3"/>
      <c r="AA989" s="3"/>
      <c r="AB989" s="3"/>
    </row>
    <row r="990" spans="1:28" x14ac:dyDescent="0.2">
      <c r="A990">
        <v>435</v>
      </c>
      <c r="B990" t="s">
        <v>476</v>
      </c>
      <c r="C990" t="s">
        <v>35</v>
      </c>
      <c r="D990" t="s">
        <v>19</v>
      </c>
      <c r="E990" t="s">
        <v>20</v>
      </c>
      <c r="F990" t="s">
        <v>21</v>
      </c>
      <c r="G990" t="s">
        <v>25</v>
      </c>
      <c r="H990" s="1">
        <v>268664</v>
      </c>
      <c r="I990" s="3">
        <v>727</v>
      </c>
      <c r="J990" s="3">
        <v>899954</v>
      </c>
      <c r="K990" s="3">
        <v>17324.2</v>
      </c>
      <c r="L990" s="2">
        <v>19.5</v>
      </c>
      <c r="M990" s="11">
        <v>35.265240640000002</v>
      </c>
      <c r="N990" s="3">
        <v>13</v>
      </c>
      <c r="O990" s="3">
        <v>223725</v>
      </c>
      <c r="P990" s="3">
        <v>460130</v>
      </c>
      <c r="Q990" s="10">
        <v>0</v>
      </c>
      <c r="R990" s="3">
        <f>(Таблица1[Размер кредита]-$AA$2)/$AA$3</f>
        <v>-0.23302897303703018</v>
      </c>
      <c r="S990" s="3">
        <f>(Таблица1[Кредитный рейтинг]-$AA$7)/($AA$8-$AA$7)</f>
        <v>0.96804260985352863</v>
      </c>
      <c r="T990" s="3">
        <f>(Таблица1[Срок с последнего нарушения кредитного договора (мес,)]-$AA$12)/($AA$13-$AA$12)</f>
        <v>0.40074137090909095</v>
      </c>
      <c r="U990" s="3">
        <f>(Таблица1[Количество кредитных карт]-$AA$18)/($AA$19-$AA$18)</f>
        <v>0.2857142857142857</v>
      </c>
      <c r="V990" s="3">
        <f>(Таблица1[Число нарушений кредитных договоров]-$AA$23)/($AA$24-$AA$23)</f>
        <v>0</v>
      </c>
      <c r="W990" s="3">
        <f>Таблица1[[#This Row],[Годовой доход]]/12</f>
        <v>74996.166666666672</v>
      </c>
      <c r="X990" s="3">
        <f>Таблица1[[#This Row],[Ежемесячный платеж]]/Таблица1[[#This Row],[Ежем доход]]</f>
        <v>0.23100114005826963</v>
      </c>
      <c r="Y990" s="3"/>
      <c r="Z990" s="3"/>
      <c r="AA990" s="3"/>
      <c r="AB990" s="3"/>
    </row>
    <row r="991" spans="1:28" x14ac:dyDescent="0.2">
      <c r="A991">
        <v>743</v>
      </c>
      <c r="B991" t="s">
        <v>784</v>
      </c>
      <c r="C991" t="s">
        <v>18</v>
      </c>
      <c r="D991" t="s">
        <v>19</v>
      </c>
      <c r="E991" t="s">
        <v>32</v>
      </c>
      <c r="F991" t="s">
        <v>21</v>
      </c>
      <c r="G991" t="s">
        <v>25</v>
      </c>
      <c r="H991" s="1">
        <v>448184</v>
      </c>
      <c r="I991" s="3">
        <v>0</v>
      </c>
      <c r="J991" s="3">
        <v>1168044</v>
      </c>
      <c r="K991" s="3">
        <v>22256.41</v>
      </c>
      <c r="L991" s="2">
        <v>12.8</v>
      </c>
      <c r="M991" s="11">
        <v>35.265240640000002</v>
      </c>
      <c r="N991" s="3">
        <v>14</v>
      </c>
      <c r="O991" s="3">
        <v>352564</v>
      </c>
      <c r="P991" s="3">
        <v>459206</v>
      </c>
      <c r="Q991" s="10">
        <v>0</v>
      </c>
      <c r="R991" s="3">
        <f>(Таблица1[Размер кредита]-$AA$2)/$AA$3</f>
        <v>0.78902881465472074</v>
      </c>
      <c r="S991" s="3">
        <f>(Таблица1[Кредитный рейтинг]-$AA$7)/($AA$8-$AA$7)</f>
        <v>0</v>
      </c>
      <c r="T991" s="3">
        <f>(Таблица1[Срок с последнего нарушения кредитного договора (мес,)]-$AA$12)/($AA$13-$AA$12)</f>
        <v>0.40074137090909095</v>
      </c>
      <c r="U991" s="3">
        <f>(Таблица1[Количество кредитных карт]-$AA$18)/($AA$19-$AA$18)</f>
        <v>0.30952380952380953</v>
      </c>
      <c r="V991" s="3">
        <f>(Таблица1[Число нарушений кредитных договоров]-$AA$23)/($AA$24-$AA$23)</f>
        <v>0</v>
      </c>
      <c r="W991" s="3">
        <f>Таблица1[[#This Row],[Годовой доход]]/12</f>
        <v>97337</v>
      </c>
      <c r="X991" s="3">
        <f>Таблица1[[#This Row],[Ежемесячный платеж]]/Таблица1[[#This Row],[Ежем доход]]</f>
        <v>0.22865313292992387</v>
      </c>
      <c r="Y991" s="3"/>
      <c r="Z991" s="3"/>
      <c r="AA991" s="3"/>
      <c r="AB991" s="3"/>
    </row>
    <row r="992" spans="1:28" x14ac:dyDescent="0.2">
      <c r="A992">
        <v>531</v>
      </c>
      <c r="B992" t="s">
        <v>572</v>
      </c>
      <c r="C992" t="s">
        <v>18</v>
      </c>
      <c r="D992" t="s">
        <v>29</v>
      </c>
      <c r="E992" t="s">
        <v>20</v>
      </c>
      <c r="F992" t="s">
        <v>33</v>
      </c>
      <c r="G992" t="s">
        <v>25</v>
      </c>
      <c r="H992" s="1">
        <v>434896</v>
      </c>
      <c r="I992" s="3">
        <v>723</v>
      </c>
      <c r="J992" s="3">
        <v>1032878</v>
      </c>
      <c r="K992" s="3">
        <v>20657.560000000001</v>
      </c>
      <c r="L992" s="2">
        <v>18.600000000000001</v>
      </c>
      <c r="M992" s="11">
        <v>35.265240640000002</v>
      </c>
      <c r="N992" s="3">
        <v>12</v>
      </c>
      <c r="O992" s="3">
        <v>313595</v>
      </c>
      <c r="P992" s="3">
        <v>459052</v>
      </c>
      <c r="Q992" s="10">
        <v>1</v>
      </c>
      <c r="R992" s="3">
        <f>(Таблица1[Размер кредита]-$AA$2)/$AA$3</f>
        <v>0.71337649801675296</v>
      </c>
      <c r="S992" s="3">
        <f>(Таблица1[Кредитный рейтинг]-$AA$7)/($AA$8-$AA$7)</f>
        <v>0.96271637816245004</v>
      </c>
      <c r="T992" s="3">
        <f>(Таблица1[Срок с последнего нарушения кредитного договора (мес,)]-$AA$12)/($AA$13-$AA$12)</f>
        <v>0.40074137090909095</v>
      </c>
      <c r="U992" s="3">
        <f>(Таблица1[Количество кредитных карт]-$AA$18)/($AA$19-$AA$18)</f>
        <v>0.26190476190476192</v>
      </c>
      <c r="V992" s="3">
        <f>(Таблица1[Число нарушений кредитных договоров]-$AA$23)/($AA$24-$AA$23)</f>
        <v>0.14285714285714285</v>
      </c>
      <c r="W992" s="3">
        <f>Таблица1[[#This Row],[Годовой доход]]/12</f>
        <v>86073.166666666672</v>
      </c>
      <c r="X992" s="3">
        <f>Таблица1[[#This Row],[Ежемесячный платеж]]/Таблица1[[#This Row],[Ежем доход]]</f>
        <v>0.24</v>
      </c>
      <c r="Y992" s="3"/>
      <c r="Z992" s="3"/>
      <c r="AA992" s="3"/>
      <c r="AB992" s="3"/>
    </row>
    <row r="993" spans="1:28" x14ac:dyDescent="0.2">
      <c r="A993">
        <v>1056</v>
      </c>
      <c r="B993" t="s">
        <v>1095</v>
      </c>
      <c r="C993" t="s">
        <v>35</v>
      </c>
      <c r="D993" t="s">
        <v>29</v>
      </c>
      <c r="E993" t="s">
        <v>41</v>
      </c>
      <c r="F993" t="s">
        <v>33</v>
      </c>
      <c r="G993" t="s">
        <v>25</v>
      </c>
      <c r="H993" s="1">
        <v>466884</v>
      </c>
      <c r="I993" s="3">
        <v>0</v>
      </c>
      <c r="J993" s="3">
        <v>1168044</v>
      </c>
      <c r="K993" s="3">
        <v>15157.06</v>
      </c>
      <c r="L993" s="2">
        <v>8.3000000000000007</v>
      </c>
      <c r="M993" s="11">
        <v>35.265240640000002</v>
      </c>
      <c r="N993" s="3">
        <v>11</v>
      </c>
      <c r="O993" s="3">
        <v>287375</v>
      </c>
      <c r="P993" s="3">
        <v>458964</v>
      </c>
      <c r="Q993" s="10">
        <v>0</v>
      </c>
      <c r="R993" s="3">
        <f>(Таблица1[Размер кредита]-$AA$2)/$AA$3</f>
        <v>0.8954931675392781</v>
      </c>
      <c r="S993" s="3">
        <f>(Таблица1[Кредитный рейтинг]-$AA$7)/($AA$8-$AA$7)</f>
        <v>0</v>
      </c>
      <c r="T993" s="3">
        <f>(Таблица1[Срок с последнего нарушения кредитного договора (мес,)]-$AA$12)/($AA$13-$AA$12)</f>
        <v>0.40074137090909095</v>
      </c>
      <c r="U993" s="3">
        <f>(Таблица1[Количество кредитных карт]-$AA$18)/($AA$19-$AA$18)</f>
        <v>0.23809523809523808</v>
      </c>
      <c r="V993" s="3">
        <f>(Таблица1[Число нарушений кредитных договоров]-$AA$23)/($AA$24-$AA$23)</f>
        <v>0</v>
      </c>
      <c r="W993" s="3">
        <f>Таблица1[[#This Row],[Годовой доход]]/12</f>
        <v>97337</v>
      </c>
      <c r="X993" s="3">
        <f>Таблица1[[#This Row],[Ежемесячный платеж]]/Таблица1[[#This Row],[Ежем доход]]</f>
        <v>0.15571735311341012</v>
      </c>
      <c r="Y993" s="3"/>
      <c r="Z993" s="3"/>
      <c r="AA993" s="3"/>
      <c r="AB993" s="3"/>
    </row>
    <row r="994" spans="1:28" x14ac:dyDescent="0.2">
      <c r="A994">
        <v>22</v>
      </c>
      <c r="B994" t="s">
        <v>57</v>
      </c>
      <c r="C994" t="s">
        <v>18</v>
      </c>
      <c r="D994" t="s">
        <v>19</v>
      </c>
      <c r="E994" t="s">
        <v>37</v>
      </c>
      <c r="F994" t="s">
        <v>33</v>
      </c>
      <c r="G994" t="s">
        <v>25</v>
      </c>
      <c r="H994" s="1">
        <v>128238</v>
      </c>
      <c r="I994" s="3">
        <v>750</v>
      </c>
      <c r="J994" s="3">
        <v>1354073</v>
      </c>
      <c r="K994" s="3">
        <v>13202.15</v>
      </c>
      <c r="L994" s="2">
        <v>11.9</v>
      </c>
      <c r="M994" s="11">
        <v>35.265240640000002</v>
      </c>
      <c r="N994" s="3">
        <v>7</v>
      </c>
      <c r="O994" s="3">
        <v>131936</v>
      </c>
      <c r="P994" s="3">
        <v>458788</v>
      </c>
      <c r="Q994" s="10">
        <v>0</v>
      </c>
      <c r="R994" s="3">
        <f>(Таблица1[Размер кредита]-$AA$2)/$AA$3</f>
        <v>-1.032513637110124</v>
      </c>
      <c r="S994" s="3">
        <f>(Таблица1[Кредитный рейтинг]-$AA$7)/($AA$8-$AA$7)</f>
        <v>0.99866844207723038</v>
      </c>
      <c r="T994" s="3">
        <f>(Таблица1[Срок с последнего нарушения кредитного договора (мес,)]-$AA$12)/($AA$13-$AA$12)</f>
        <v>0.40074137090909095</v>
      </c>
      <c r="U994" s="3">
        <f>(Таблица1[Количество кредитных карт]-$AA$18)/($AA$19-$AA$18)</f>
        <v>0.14285714285714285</v>
      </c>
      <c r="V994" s="3">
        <f>(Таблица1[Число нарушений кредитных договоров]-$AA$23)/($AA$24-$AA$23)</f>
        <v>0</v>
      </c>
      <c r="W994" s="3">
        <f>Таблица1[[#This Row],[Годовой доход]]/12</f>
        <v>112839.41666666667</v>
      </c>
      <c r="X994" s="3">
        <f>Таблица1[[#This Row],[Ежемесячный платеж]]/Таблица1[[#This Row],[Ежем доход]]</f>
        <v>0.11699945276214797</v>
      </c>
      <c r="Y994" s="3"/>
      <c r="Z994" s="3"/>
      <c r="AA994" s="3"/>
      <c r="AB994" s="3"/>
    </row>
    <row r="995" spans="1:28" x14ac:dyDescent="0.2">
      <c r="A995">
        <v>40</v>
      </c>
      <c r="B995" t="s">
        <v>80</v>
      </c>
      <c r="C995" t="s">
        <v>18</v>
      </c>
      <c r="D995" t="s">
        <v>19</v>
      </c>
      <c r="E995" t="s">
        <v>20</v>
      </c>
      <c r="F995" t="s">
        <v>21</v>
      </c>
      <c r="G995" t="s">
        <v>25</v>
      </c>
      <c r="H995" s="1">
        <v>449108</v>
      </c>
      <c r="I995" s="3">
        <v>718</v>
      </c>
      <c r="J995" s="3">
        <v>1454507</v>
      </c>
      <c r="K995" s="3">
        <v>13090.43</v>
      </c>
      <c r="L995" s="2">
        <v>28.8</v>
      </c>
      <c r="M995" s="11">
        <v>21</v>
      </c>
      <c r="N995" s="3">
        <v>14</v>
      </c>
      <c r="O995" s="3">
        <v>193990</v>
      </c>
      <c r="P995" s="3">
        <v>458414</v>
      </c>
      <c r="Q995" s="10">
        <v>0</v>
      </c>
      <c r="R995" s="3">
        <f>(Таблица1[Размер кредита]-$AA$2)/$AA$3</f>
        <v>0.79428940620901656</v>
      </c>
      <c r="S995" s="3">
        <f>(Таблица1[Кредитный рейтинг]-$AA$7)/($AA$8-$AA$7)</f>
        <v>0.95605858854860182</v>
      </c>
      <c r="T995" s="3">
        <f>(Таблица1[Срок с последнего нарушения кредитного договора (мес,)]-$AA$12)/($AA$13-$AA$12)</f>
        <v>0.23863636363636365</v>
      </c>
      <c r="U995" s="3">
        <f>(Таблица1[Количество кредитных карт]-$AA$18)/($AA$19-$AA$18)</f>
        <v>0.30952380952380953</v>
      </c>
      <c r="V995" s="3">
        <f>(Таблица1[Число нарушений кредитных договоров]-$AA$23)/($AA$24-$AA$23)</f>
        <v>0</v>
      </c>
      <c r="W995" s="3">
        <f>Таблица1[[#This Row],[Годовой доход]]/12</f>
        <v>121208.91666666667</v>
      </c>
      <c r="X995" s="3">
        <f>Таблица1[[#This Row],[Ежемесячный платеж]]/Таблица1[[#This Row],[Ежем доход]]</f>
        <v>0.10799890272099068</v>
      </c>
      <c r="Y995" s="3"/>
      <c r="Z995" s="3"/>
      <c r="AA995" s="3"/>
      <c r="AB995" s="3"/>
    </row>
    <row r="996" spans="1:28" x14ac:dyDescent="0.2">
      <c r="A996">
        <v>1888</v>
      </c>
      <c r="B996" t="s">
        <v>1924</v>
      </c>
      <c r="C996" t="s">
        <v>35</v>
      </c>
      <c r="D996" t="s">
        <v>29</v>
      </c>
      <c r="E996" t="s">
        <v>52</v>
      </c>
      <c r="F996" t="s">
        <v>33</v>
      </c>
      <c r="G996" t="s">
        <v>25</v>
      </c>
      <c r="H996" s="1">
        <v>414194</v>
      </c>
      <c r="I996" s="3">
        <v>713</v>
      </c>
      <c r="J996" s="3">
        <v>797012</v>
      </c>
      <c r="K996" s="3">
        <v>20987.78</v>
      </c>
      <c r="L996" s="2">
        <v>9.6</v>
      </c>
      <c r="M996" s="11">
        <v>35.265240640000002</v>
      </c>
      <c r="N996" s="3">
        <v>13</v>
      </c>
      <c r="O996" s="3">
        <v>246430</v>
      </c>
      <c r="P996" s="3">
        <v>458018</v>
      </c>
      <c r="Q996" s="10">
        <v>0</v>
      </c>
      <c r="R996" s="3">
        <f>(Таблица1[Размер кредита]-$AA$2)/$AA$3</f>
        <v>0.59551419676455464</v>
      </c>
      <c r="S996" s="3">
        <f>(Таблица1[Кредитный рейтинг]-$AA$7)/($AA$8-$AA$7)</f>
        <v>0.94940079893475371</v>
      </c>
      <c r="T996" s="3">
        <f>(Таблица1[Срок с последнего нарушения кредитного договора (мес,)]-$AA$12)/($AA$13-$AA$12)</f>
        <v>0.40074137090909095</v>
      </c>
      <c r="U996" s="3">
        <f>(Таблица1[Количество кредитных карт]-$AA$18)/($AA$19-$AA$18)</f>
        <v>0.2857142857142857</v>
      </c>
      <c r="V996" s="3">
        <f>(Таблица1[Число нарушений кредитных договоров]-$AA$23)/($AA$24-$AA$23)</f>
        <v>0</v>
      </c>
      <c r="W996" s="3">
        <f>Таблица1[[#This Row],[Годовой доход]]/12</f>
        <v>66417.666666666672</v>
      </c>
      <c r="X996" s="3">
        <f>Таблица1[[#This Row],[Ежемесячный платеж]]/Таблица1[[#This Row],[Ежем доход]]</f>
        <v>0.31599694860303229</v>
      </c>
      <c r="Y996" s="3"/>
      <c r="Z996" s="3"/>
      <c r="AA996" s="3"/>
      <c r="AB996" s="3"/>
    </row>
    <row r="997" spans="1:28" x14ac:dyDescent="0.2">
      <c r="A997">
        <v>1392</v>
      </c>
      <c r="B997" t="s">
        <v>1431</v>
      </c>
      <c r="C997" t="s">
        <v>35</v>
      </c>
      <c r="D997" t="s">
        <v>29</v>
      </c>
      <c r="E997" t="s">
        <v>50</v>
      </c>
      <c r="F997" t="s">
        <v>33</v>
      </c>
      <c r="G997" t="s">
        <v>25</v>
      </c>
      <c r="H997" s="1">
        <v>432168</v>
      </c>
      <c r="I997" s="3">
        <v>693</v>
      </c>
      <c r="J997" s="3">
        <v>1404632</v>
      </c>
      <c r="K997" s="3">
        <v>24229.94</v>
      </c>
      <c r="L997" s="2">
        <v>12.3</v>
      </c>
      <c r="M997" s="11">
        <v>17</v>
      </c>
      <c r="N997" s="3">
        <v>15</v>
      </c>
      <c r="O997" s="3">
        <v>308047</v>
      </c>
      <c r="P997" s="3">
        <v>457886</v>
      </c>
      <c r="Q997" s="10">
        <v>0</v>
      </c>
      <c r="R997" s="3">
        <f>(Таблица1[Размер кредита]-$AA$2)/$AA$3</f>
        <v>0.69784522771359392</v>
      </c>
      <c r="S997" s="3">
        <f>(Таблица1[Кредитный рейтинг]-$AA$7)/($AA$8-$AA$7)</f>
        <v>0.92276964047936083</v>
      </c>
      <c r="T997" s="3">
        <f>(Таблица1[Срок с последнего нарушения кредитного договора (мес,)]-$AA$12)/($AA$13-$AA$12)</f>
        <v>0.19318181818181818</v>
      </c>
      <c r="U997" s="3">
        <f>(Таблица1[Количество кредитных карт]-$AA$18)/($AA$19-$AA$18)</f>
        <v>0.33333333333333331</v>
      </c>
      <c r="V997" s="3">
        <f>(Таблица1[Число нарушений кредитных договоров]-$AA$23)/($AA$24-$AA$23)</f>
        <v>0</v>
      </c>
      <c r="W997" s="3">
        <f>Таблица1[[#This Row],[Годовой доход]]/12</f>
        <v>117052.66666666667</v>
      </c>
      <c r="X997" s="3">
        <f>Таблица1[[#This Row],[Ежемесячный платеж]]/Таблица1[[#This Row],[Ежем доход]]</f>
        <v>0.20700032464019044</v>
      </c>
      <c r="Y997" s="3"/>
      <c r="Z997" s="3"/>
      <c r="AA997" s="3"/>
      <c r="AB997" s="3"/>
    </row>
    <row r="998" spans="1:28" x14ac:dyDescent="0.2">
      <c r="A998">
        <v>412</v>
      </c>
      <c r="B998" t="s">
        <v>454</v>
      </c>
      <c r="C998" t="s">
        <v>18</v>
      </c>
      <c r="D998" t="s">
        <v>19</v>
      </c>
      <c r="E998" t="s">
        <v>24</v>
      </c>
      <c r="F998" t="s">
        <v>21</v>
      </c>
      <c r="G998" t="s">
        <v>25</v>
      </c>
      <c r="H998" s="1">
        <v>251196</v>
      </c>
      <c r="I998" s="3">
        <v>740</v>
      </c>
      <c r="J998" s="3">
        <v>1051536</v>
      </c>
      <c r="K998" s="3">
        <v>23133.83</v>
      </c>
      <c r="L998" s="2">
        <v>48.7</v>
      </c>
      <c r="M998" s="11">
        <v>20</v>
      </c>
      <c r="N998" s="3">
        <v>16</v>
      </c>
      <c r="O998" s="3">
        <v>300295</v>
      </c>
      <c r="P998" s="3">
        <v>452716</v>
      </c>
      <c r="Q998" s="10">
        <v>0</v>
      </c>
      <c r="R998" s="3">
        <f>(Таблица1[Размер кредита]-$AA$2)/$AA$3</f>
        <v>-0.33247920384919322</v>
      </c>
      <c r="S998" s="3">
        <f>(Таблица1[Кредитный рейтинг]-$AA$7)/($AA$8-$AA$7)</f>
        <v>0.98535286284953394</v>
      </c>
      <c r="T998" s="3">
        <f>(Таблица1[Срок с последнего нарушения кредитного договора (мес,)]-$AA$12)/($AA$13-$AA$12)</f>
        <v>0.22727272727272727</v>
      </c>
      <c r="U998" s="3">
        <f>(Таблица1[Количество кредитных карт]-$AA$18)/($AA$19-$AA$18)</f>
        <v>0.35714285714285715</v>
      </c>
      <c r="V998" s="3">
        <f>(Таблица1[Число нарушений кредитных договоров]-$AA$23)/($AA$24-$AA$23)</f>
        <v>0</v>
      </c>
      <c r="W998" s="3">
        <f>Таблица1[[#This Row],[Годовой доход]]/12</f>
        <v>87628</v>
      </c>
      <c r="X998" s="3">
        <f>Таблица1[[#This Row],[Ежемесячный платеж]]/Таблица1[[#This Row],[Ежем доход]]</f>
        <v>0.26400043365134435</v>
      </c>
      <c r="Y998" s="3"/>
      <c r="Z998" s="3"/>
      <c r="AA998" s="3"/>
      <c r="AB998" s="3"/>
    </row>
    <row r="999" spans="1:28" x14ac:dyDescent="0.2">
      <c r="A999">
        <v>1705</v>
      </c>
      <c r="B999" t="s">
        <v>1743</v>
      </c>
      <c r="C999" t="s">
        <v>18</v>
      </c>
      <c r="D999" t="s">
        <v>29</v>
      </c>
      <c r="E999" t="s">
        <v>24</v>
      </c>
      <c r="F999" t="s">
        <v>21</v>
      </c>
      <c r="G999" t="s">
        <v>25</v>
      </c>
      <c r="H999" s="1">
        <v>396792</v>
      </c>
      <c r="I999" s="3">
        <v>0</v>
      </c>
      <c r="J999" s="3">
        <v>1168044</v>
      </c>
      <c r="K999" s="3">
        <v>15627.88</v>
      </c>
      <c r="L999" s="2">
        <v>13.9</v>
      </c>
      <c r="M999" s="11">
        <v>35.265240640000002</v>
      </c>
      <c r="N999" s="3">
        <v>5</v>
      </c>
      <c r="O999" s="3">
        <v>347852</v>
      </c>
      <c r="P999" s="3">
        <v>452034</v>
      </c>
      <c r="Q999" s="10">
        <v>0</v>
      </c>
      <c r="R999" s="3">
        <f>(Таблица1[Размер кредита]-$AA$2)/$AA$3</f>
        <v>0.4964397224919842</v>
      </c>
      <c r="S999" s="3">
        <f>(Таблица1[Кредитный рейтинг]-$AA$7)/($AA$8-$AA$7)</f>
        <v>0</v>
      </c>
      <c r="T999" s="3">
        <f>(Таблица1[Срок с последнего нарушения кредитного договора (мес,)]-$AA$12)/($AA$13-$AA$12)</f>
        <v>0.40074137090909095</v>
      </c>
      <c r="U999" s="3">
        <f>(Таблица1[Количество кредитных карт]-$AA$18)/($AA$19-$AA$18)</f>
        <v>9.5238095238095233E-2</v>
      </c>
      <c r="V999" s="3">
        <f>(Таблица1[Число нарушений кредитных договоров]-$AA$23)/($AA$24-$AA$23)</f>
        <v>0</v>
      </c>
      <c r="W999" s="3">
        <f>Таблица1[[#This Row],[Годовой доход]]/12</f>
        <v>97337</v>
      </c>
      <c r="X999" s="3">
        <f>Таблица1[[#This Row],[Ежемесячный платеж]]/Таблица1[[#This Row],[Ежем доход]]</f>
        <v>0.16055436267811829</v>
      </c>
      <c r="Y999" s="3"/>
      <c r="Z999" s="3"/>
      <c r="AA999" s="3"/>
      <c r="AB999" s="3"/>
    </row>
    <row r="1000" spans="1:28" x14ac:dyDescent="0.2">
      <c r="A1000">
        <v>574</v>
      </c>
      <c r="B1000" t="s">
        <v>615</v>
      </c>
      <c r="C1000" t="s">
        <v>18</v>
      </c>
      <c r="D1000" t="s">
        <v>19</v>
      </c>
      <c r="E1000" t="s">
        <v>63</v>
      </c>
      <c r="F1000" t="s">
        <v>33</v>
      </c>
      <c r="G1000" t="s">
        <v>25</v>
      </c>
      <c r="H1000" s="1">
        <v>263318</v>
      </c>
      <c r="I1000" s="3">
        <v>738</v>
      </c>
      <c r="J1000" s="3">
        <v>707085</v>
      </c>
      <c r="K1000" s="3">
        <v>12962.94</v>
      </c>
      <c r="L1000" s="2">
        <v>14.8</v>
      </c>
      <c r="M1000" s="11">
        <v>18</v>
      </c>
      <c r="N1000" s="3">
        <v>10</v>
      </c>
      <c r="O1000" s="3">
        <v>232940</v>
      </c>
      <c r="P1000" s="3">
        <v>451770</v>
      </c>
      <c r="Q1000" s="10">
        <v>0</v>
      </c>
      <c r="R1000" s="3">
        <f>(Таблица1[Размер кредита]-$AA$2)/$AA$3</f>
        <v>-0.26346525274402721</v>
      </c>
      <c r="S1000" s="3">
        <f>(Таблица1[Кредитный рейтинг]-$AA$7)/($AA$8-$AA$7)</f>
        <v>0.9826897470039947</v>
      </c>
      <c r="T1000" s="3">
        <f>(Таблица1[Срок с последнего нарушения кредитного договора (мес,)]-$AA$12)/($AA$13-$AA$12)</f>
        <v>0.20454545454545456</v>
      </c>
      <c r="U1000" s="3">
        <f>(Таблица1[Количество кредитных карт]-$AA$18)/($AA$19-$AA$18)</f>
        <v>0.21428571428571427</v>
      </c>
      <c r="V1000" s="3">
        <f>(Таблица1[Число нарушений кредитных договоров]-$AA$23)/($AA$24-$AA$23)</f>
        <v>0</v>
      </c>
      <c r="W1000" s="3">
        <f>Таблица1[[#This Row],[Годовой доход]]/12</f>
        <v>58923.75</v>
      </c>
      <c r="X1000" s="3">
        <f>Таблица1[[#This Row],[Ежемесячный платеж]]/Таблица1[[#This Row],[Ежем доход]]</f>
        <v>0.21999516324062879</v>
      </c>
      <c r="Y1000" s="3"/>
      <c r="Z1000" s="3"/>
      <c r="AA1000" s="3"/>
      <c r="AB1000" s="3"/>
    </row>
    <row r="1001" spans="1:28" x14ac:dyDescent="0.2">
      <c r="A1001">
        <v>622</v>
      </c>
      <c r="B1001" t="s">
        <v>663</v>
      </c>
      <c r="C1001" t="s">
        <v>18</v>
      </c>
      <c r="D1001" t="s">
        <v>29</v>
      </c>
      <c r="E1001" t="s">
        <v>52</v>
      </c>
      <c r="F1001" t="s">
        <v>21</v>
      </c>
      <c r="G1001" t="s">
        <v>25</v>
      </c>
      <c r="H1001" s="1">
        <v>755062</v>
      </c>
      <c r="I1001" s="3">
        <v>681</v>
      </c>
      <c r="J1001" s="3">
        <v>1769983</v>
      </c>
      <c r="K1001" s="3">
        <v>27729.74</v>
      </c>
      <c r="L1001" s="2">
        <v>25</v>
      </c>
      <c r="M1001" s="11">
        <v>46</v>
      </c>
      <c r="N1001" s="3">
        <v>15</v>
      </c>
      <c r="O1001" s="3">
        <v>228266</v>
      </c>
      <c r="P1001" s="3">
        <v>451044</v>
      </c>
      <c r="Q1001" s="10">
        <v>0</v>
      </c>
      <c r="R1001" s="3">
        <f>(Таблица1[Размер кредита]-$AA$2)/$AA$3</f>
        <v>2.5361714715802397</v>
      </c>
      <c r="S1001" s="3">
        <f>(Таблица1[Кредитный рейтинг]-$AA$7)/($AA$8-$AA$7)</f>
        <v>0.90679094540612515</v>
      </c>
      <c r="T1001" s="3">
        <f>(Таблица1[Срок с последнего нарушения кредитного договора (мес,)]-$AA$12)/($AA$13-$AA$12)</f>
        <v>0.52272727272727271</v>
      </c>
      <c r="U1001" s="3">
        <f>(Таблица1[Количество кредитных карт]-$AA$18)/($AA$19-$AA$18)</f>
        <v>0.33333333333333331</v>
      </c>
      <c r="V1001" s="3">
        <f>(Таблица1[Число нарушений кредитных договоров]-$AA$23)/($AA$24-$AA$23)</f>
        <v>0</v>
      </c>
      <c r="W1001" s="3">
        <f>Таблица1[[#This Row],[Годовой доход]]/12</f>
        <v>147498.58333333334</v>
      </c>
      <c r="X1001" s="3">
        <f>Таблица1[[#This Row],[Ежемесячный платеж]]/Таблица1[[#This Row],[Ежем доход]]</f>
        <v>0.1880000429382655</v>
      </c>
      <c r="Y1001" s="3"/>
      <c r="Z1001" s="3"/>
      <c r="AA1001" s="3"/>
      <c r="AB1001" s="3"/>
    </row>
    <row r="1002" spans="1:28" x14ac:dyDescent="0.2">
      <c r="A1002">
        <v>1062</v>
      </c>
      <c r="B1002" t="s">
        <v>1101</v>
      </c>
      <c r="C1002" t="s">
        <v>18</v>
      </c>
      <c r="D1002" t="s">
        <v>19</v>
      </c>
      <c r="E1002" t="s">
        <v>24</v>
      </c>
      <c r="F1002" t="s">
        <v>33</v>
      </c>
      <c r="G1002" t="s">
        <v>98</v>
      </c>
      <c r="H1002" s="1">
        <v>40524</v>
      </c>
      <c r="I1002" s="3">
        <v>719</v>
      </c>
      <c r="J1002" s="3">
        <v>671194</v>
      </c>
      <c r="K1002" s="3">
        <v>10515.17</v>
      </c>
      <c r="L1002" s="2">
        <v>11</v>
      </c>
      <c r="M1002" s="11">
        <v>35.265240640000002</v>
      </c>
      <c r="N1002" s="3">
        <v>14</v>
      </c>
      <c r="O1002" s="3">
        <v>380</v>
      </c>
      <c r="P1002" s="3">
        <v>450296</v>
      </c>
      <c r="Q1002" s="10">
        <v>1</v>
      </c>
      <c r="R1002" s="3">
        <f>(Таблица1[Размер кредита]-$AA$2)/$AA$3</f>
        <v>-1.5318940782286303</v>
      </c>
      <c r="S1002" s="3">
        <f>(Таблица1[Кредитный рейтинг]-$AA$7)/($AA$8-$AA$7)</f>
        <v>0.95739014647137155</v>
      </c>
      <c r="T1002" s="3">
        <f>(Таблица1[Срок с последнего нарушения кредитного договора (мес,)]-$AA$12)/($AA$13-$AA$12)</f>
        <v>0.40074137090909095</v>
      </c>
      <c r="U1002" s="3">
        <f>(Таблица1[Количество кредитных карт]-$AA$18)/($AA$19-$AA$18)</f>
        <v>0.30952380952380953</v>
      </c>
      <c r="V1002" s="3">
        <f>(Таблица1[Число нарушений кредитных договоров]-$AA$23)/($AA$24-$AA$23)</f>
        <v>0.14285714285714285</v>
      </c>
      <c r="W1002" s="3">
        <f>Таблица1[[#This Row],[Годовой доход]]/12</f>
        <v>55932.833333333336</v>
      </c>
      <c r="X1002" s="3">
        <f>Таблица1[[#This Row],[Ежемесячный платеж]]/Таблица1[[#This Row],[Ежем доход]]</f>
        <v>0.18799637660646548</v>
      </c>
      <c r="Y1002" s="3"/>
      <c r="Z1002" s="3"/>
      <c r="AA1002" s="3"/>
      <c r="AB1002" s="3"/>
    </row>
    <row r="1003" spans="1:28" x14ac:dyDescent="0.2">
      <c r="A1003">
        <v>404</v>
      </c>
      <c r="B1003" t="s">
        <v>446</v>
      </c>
      <c r="C1003" t="s">
        <v>18</v>
      </c>
      <c r="D1003" t="s">
        <v>19</v>
      </c>
      <c r="E1003" t="s">
        <v>47</v>
      </c>
      <c r="F1003" t="s">
        <v>21</v>
      </c>
      <c r="G1003" t="s">
        <v>22</v>
      </c>
      <c r="H1003" s="1">
        <v>449724</v>
      </c>
      <c r="I1003" s="3">
        <v>720</v>
      </c>
      <c r="J1003" s="3">
        <v>925946</v>
      </c>
      <c r="K1003" s="3">
        <v>6643.54</v>
      </c>
      <c r="L1003" s="2">
        <v>9.1999999999999993</v>
      </c>
      <c r="M1003" s="11">
        <v>35.265240640000002</v>
      </c>
      <c r="N1003" s="3">
        <v>10</v>
      </c>
      <c r="O1003" s="3">
        <v>170069</v>
      </c>
      <c r="P1003" s="3">
        <v>449570</v>
      </c>
      <c r="Q1003" s="10">
        <v>2</v>
      </c>
      <c r="R1003" s="3">
        <f>(Таблица1[Размер кредита]-$AA$2)/$AA$3</f>
        <v>0.79779646724521369</v>
      </c>
      <c r="S1003" s="3">
        <f>(Таблица1[Кредитный рейтинг]-$AA$7)/($AA$8-$AA$7)</f>
        <v>0.95872170439414117</v>
      </c>
      <c r="T1003" s="3">
        <f>(Таблица1[Срок с последнего нарушения кредитного договора (мес,)]-$AA$12)/($AA$13-$AA$12)</f>
        <v>0.40074137090909095</v>
      </c>
      <c r="U1003" s="3">
        <f>(Таблица1[Количество кредитных карт]-$AA$18)/($AA$19-$AA$18)</f>
        <v>0.21428571428571427</v>
      </c>
      <c r="V1003" s="3">
        <f>(Таблица1[Число нарушений кредитных договоров]-$AA$23)/($AA$24-$AA$23)</f>
        <v>0.2857142857142857</v>
      </c>
      <c r="W1003" s="3">
        <f>Таблица1[[#This Row],[Годовой доход]]/12</f>
        <v>77162.166666666672</v>
      </c>
      <c r="X1003" s="3">
        <f>Таблица1[[#This Row],[Ежемесячный платеж]]/Таблица1[[#This Row],[Ежем доход]]</f>
        <v>8.6098411786432461E-2</v>
      </c>
      <c r="Y1003" s="3"/>
      <c r="Z1003" s="3"/>
      <c r="AA1003" s="3"/>
      <c r="AB1003" s="3"/>
    </row>
    <row r="1004" spans="1:28" x14ac:dyDescent="0.2">
      <c r="A1004">
        <v>73</v>
      </c>
      <c r="B1004" t="s">
        <v>115</v>
      </c>
      <c r="C1004" t="s">
        <v>18</v>
      </c>
      <c r="D1004" t="s">
        <v>19</v>
      </c>
      <c r="E1004" t="s">
        <v>32</v>
      </c>
      <c r="F1004" t="s">
        <v>21</v>
      </c>
      <c r="G1004" t="s">
        <v>25</v>
      </c>
      <c r="H1004" s="1">
        <v>309594.52439999999</v>
      </c>
      <c r="I1004" s="3">
        <v>699</v>
      </c>
      <c r="J1004" s="3">
        <v>2770162</v>
      </c>
      <c r="K1004" s="3">
        <v>48708.4</v>
      </c>
      <c r="L1004" s="2">
        <v>25.6</v>
      </c>
      <c r="M1004" s="11">
        <v>25</v>
      </c>
      <c r="N1004" s="3">
        <v>13</v>
      </c>
      <c r="O1004" s="3">
        <v>348802</v>
      </c>
      <c r="P1004" s="3">
        <v>449262</v>
      </c>
      <c r="Q1004" s="10">
        <v>0</v>
      </c>
      <c r="R1004" s="3">
        <f>(Таблица1[Размер кредита]-$AA$2)/$AA$3</f>
        <v>-1.2411115481956205E-10</v>
      </c>
      <c r="S1004" s="3">
        <f>(Таблица1[Кредитный рейтинг]-$AA$7)/($AA$8-$AA$7)</f>
        <v>0.93075898801597867</v>
      </c>
      <c r="T1004" s="3">
        <f>(Таблица1[Срок с последнего нарушения кредитного договора (мес,)]-$AA$12)/($AA$13-$AA$12)</f>
        <v>0.28409090909090912</v>
      </c>
      <c r="U1004" s="3">
        <f>(Таблица1[Количество кредитных карт]-$AA$18)/($AA$19-$AA$18)</f>
        <v>0.2857142857142857</v>
      </c>
      <c r="V1004" s="3">
        <f>(Таблица1[Число нарушений кредитных договоров]-$AA$23)/($AA$24-$AA$23)</f>
        <v>0</v>
      </c>
      <c r="W1004" s="3">
        <f>Таблица1[[#This Row],[Годовой доход]]/12</f>
        <v>230846.83333333334</v>
      </c>
      <c r="X1004" s="3">
        <f>Таблица1[[#This Row],[Ежемесячный платеж]]/Таблица1[[#This Row],[Ежем доход]]</f>
        <v>0.21099877913277273</v>
      </c>
      <c r="Y1004" s="3"/>
      <c r="Z1004" s="3"/>
      <c r="AA1004" s="3"/>
      <c r="AB1004" s="3"/>
    </row>
    <row r="1005" spans="1:28" x14ac:dyDescent="0.2">
      <c r="A1005">
        <v>1788</v>
      </c>
      <c r="B1005" t="s">
        <v>1826</v>
      </c>
      <c r="C1005" t="s">
        <v>35</v>
      </c>
      <c r="D1005" t="s">
        <v>19</v>
      </c>
      <c r="E1005" t="s">
        <v>24</v>
      </c>
      <c r="F1005" t="s">
        <v>21</v>
      </c>
      <c r="G1005" t="s">
        <v>22</v>
      </c>
      <c r="H1005" s="1">
        <v>297330</v>
      </c>
      <c r="I1005" s="3">
        <v>732</v>
      </c>
      <c r="J1005" s="3">
        <v>803035</v>
      </c>
      <c r="K1005" s="3">
        <v>9034.1200000000008</v>
      </c>
      <c r="L1005" s="2">
        <v>11.1</v>
      </c>
      <c r="M1005" s="11">
        <v>35.265240640000002</v>
      </c>
      <c r="N1005" s="3">
        <v>9</v>
      </c>
      <c r="O1005" s="3">
        <v>213237</v>
      </c>
      <c r="P1005" s="3">
        <v>447282</v>
      </c>
      <c r="Q1005" s="10">
        <v>0</v>
      </c>
      <c r="R1005" s="3">
        <f>(Таблица1[Размер кредита]-$AA$2)/$AA$3</f>
        <v>-6.9825382673996933E-2</v>
      </c>
      <c r="S1005" s="3">
        <f>(Таблица1[Кредитный рейтинг]-$AA$7)/($AA$8-$AA$7)</f>
        <v>0.97470039946737685</v>
      </c>
      <c r="T1005" s="3">
        <f>(Таблица1[Срок с последнего нарушения кредитного договора (мес,)]-$AA$12)/($AA$13-$AA$12)</f>
        <v>0.40074137090909095</v>
      </c>
      <c r="U1005" s="3">
        <f>(Таблица1[Количество кредитных карт]-$AA$18)/($AA$19-$AA$18)</f>
        <v>0.19047619047619047</v>
      </c>
      <c r="V1005" s="3">
        <f>(Таблица1[Число нарушений кредитных договоров]-$AA$23)/($AA$24-$AA$23)</f>
        <v>0</v>
      </c>
      <c r="W1005" s="3">
        <f>Таблица1[[#This Row],[Годовой доход]]/12</f>
        <v>66919.583333333328</v>
      </c>
      <c r="X1005" s="3">
        <f>Таблица1[[#This Row],[Ежемесячный платеж]]/Таблица1[[#This Row],[Ежем доход]]</f>
        <v>0.13499964509641549</v>
      </c>
      <c r="Y1005" s="3"/>
      <c r="Z1005" s="3"/>
      <c r="AA1005" s="3"/>
      <c r="AB1005" s="3"/>
    </row>
    <row r="1006" spans="1:28" x14ac:dyDescent="0.2">
      <c r="A1006">
        <v>1496</v>
      </c>
      <c r="B1006" s="4" t="s">
        <v>1535</v>
      </c>
      <c r="C1006" t="s">
        <v>18</v>
      </c>
      <c r="D1006" t="s">
        <v>19</v>
      </c>
      <c r="E1006" t="s">
        <v>32</v>
      </c>
      <c r="F1006" t="s">
        <v>33</v>
      </c>
      <c r="G1006" t="s">
        <v>25</v>
      </c>
      <c r="H1006" s="1">
        <v>446028</v>
      </c>
      <c r="I1006" s="3">
        <v>693</v>
      </c>
      <c r="J1006" s="3">
        <v>2118633</v>
      </c>
      <c r="K1006" s="3">
        <v>16083.88</v>
      </c>
      <c r="L1006" s="2">
        <v>16.8</v>
      </c>
      <c r="M1006" s="11">
        <v>35.265240640000002</v>
      </c>
      <c r="N1006" s="3">
        <v>6</v>
      </c>
      <c r="O1006" s="3">
        <v>381976</v>
      </c>
      <c r="P1006" s="3">
        <v>446292</v>
      </c>
      <c r="Q1006" s="10">
        <v>0</v>
      </c>
      <c r="R1006" s="3">
        <f>(Таблица1[Размер кредита]-$AA$2)/$AA$3</f>
        <v>0.77675410102803055</v>
      </c>
      <c r="S1006" s="3">
        <f>(Таблица1[Кредитный рейтинг]-$AA$7)/($AA$8-$AA$7)</f>
        <v>0.92276964047936083</v>
      </c>
      <c r="T1006" s="3">
        <f>(Таблица1[Срок с последнего нарушения кредитного договора (мес,)]-$AA$12)/($AA$13-$AA$12)</f>
        <v>0.40074137090909095</v>
      </c>
      <c r="U1006" s="3">
        <f>(Таблица1[Количество кредитных карт]-$AA$18)/($AA$19-$AA$18)</f>
        <v>0.11904761904761904</v>
      </c>
      <c r="V1006" s="3">
        <f>(Таблица1[Число нарушений кредитных договоров]-$AA$23)/($AA$24-$AA$23)</f>
        <v>0</v>
      </c>
      <c r="W1006" s="3">
        <f>Таблица1[[#This Row],[Годовой доход]]/12</f>
        <v>176552.75</v>
      </c>
      <c r="X1006" s="3">
        <f>Таблица1[[#This Row],[Ежемесячный платеж]]/Таблица1[[#This Row],[Ежем доход]]</f>
        <v>9.1099572224165301E-2</v>
      </c>
      <c r="Y1006" s="3"/>
      <c r="Z1006" s="3"/>
      <c r="AA1006" s="3"/>
      <c r="AB1006" s="3"/>
    </row>
    <row r="1007" spans="1:28" x14ac:dyDescent="0.2">
      <c r="A1007">
        <v>1653</v>
      </c>
      <c r="B1007" t="s">
        <v>1691</v>
      </c>
      <c r="C1007" t="s">
        <v>18</v>
      </c>
      <c r="D1007" t="s">
        <v>19</v>
      </c>
      <c r="E1007" t="s">
        <v>50</v>
      </c>
      <c r="F1007" t="s">
        <v>33</v>
      </c>
      <c r="G1007" t="s">
        <v>25</v>
      </c>
      <c r="H1007" s="1">
        <v>356422</v>
      </c>
      <c r="I1007" s="3">
        <v>723</v>
      </c>
      <c r="J1007" s="3">
        <v>1303932</v>
      </c>
      <c r="K1007" s="3">
        <v>15321.22</v>
      </c>
      <c r="L1007" s="2">
        <v>21.1</v>
      </c>
      <c r="M1007" s="11">
        <v>35.265240640000002</v>
      </c>
      <c r="N1007" s="3">
        <v>10</v>
      </c>
      <c r="O1007" s="3">
        <v>323323</v>
      </c>
      <c r="P1007" s="3">
        <v>446226</v>
      </c>
      <c r="Q1007" s="10">
        <v>0</v>
      </c>
      <c r="R1007" s="3">
        <f>(Таблица1[Размер кредита]-$AA$2)/$AA$3</f>
        <v>0.26660197244120443</v>
      </c>
      <c r="S1007" s="3">
        <f>(Таблица1[Кредитный рейтинг]-$AA$7)/($AA$8-$AA$7)</f>
        <v>0.96271637816245004</v>
      </c>
      <c r="T1007" s="3">
        <f>(Таблица1[Срок с последнего нарушения кредитного договора (мес,)]-$AA$12)/($AA$13-$AA$12)</f>
        <v>0.40074137090909095</v>
      </c>
      <c r="U1007" s="3">
        <f>(Таблица1[Количество кредитных карт]-$AA$18)/($AA$19-$AA$18)</f>
        <v>0.21428571428571427</v>
      </c>
      <c r="V1007" s="3">
        <f>(Таблица1[Число нарушений кредитных договоров]-$AA$23)/($AA$24-$AA$23)</f>
        <v>0</v>
      </c>
      <c r="W1007" s="3">
        <f>Таблица1[[#This Row],[Годовой доход]]/12</f>
        <v>108661</v>
      </c>
      <c r="X1007" s="3">
        <f>Таблица1[[#This Row],[Ежемесячный платеж]]/Таблица1[[#This Row],[Ежем доход]]</f>
        <v>0.14100017485574401</v>
      </c>
      <c r="Y1007" s="3"/>
      <c r="Z1007" s="3"/>
      <c r="AA1007" s="3"/>
      <c r="AB1007" s="3"/>
    </row>
    <row r="1008" spans="1:28" x14ac:dyDescent="0.2">
      <c r="A1008">
        <v>1422</v>
      </c>
      <c r="B1008" t="s">
        <v>1461</v>
      </c>
      <c r="C1008" t="s">
        <v>35</v>
      </c>
      <c r="D1008" t="s">
        <v>19</v>
      </c>
      <c r="E1008" t="s">
        <v>30</v>
      </c>
      <c r="F1008" t="s">
        <v>21</v>
      </c>
      <c r="G1008" t="s">
        <v>25</v>
      </c>
      <c r="H1008" s="1">
        <v>272866</v>
      </c>
      <c r="I1008" s="3">
        <v>0</v>
      </c>
      <c r="J1008" s="3">
        <v>1168044</v>
      </c>
      <c r="K1008" s="3">
        <v>11670.75</v>
      </c>
      <c r="L1008" s="2">
        <v>21.5</v>
      </c>
      <c r="M1008" s="11">
        <v>35.265240640000002</v>
      </c>
      <c r="N1008" s="3">
        <v>9</v>
      </c>
      <c r="O1008" s="3">
        <v>211204</v>
      </c>
      <c r="P1008" s="3">
        <v>445456</v>
      </c>
      <c r="Q1008" s="10">
        <v>0</v>
      </c>
      <c r="R1008" s="3">
        <f>(Таблица1[Размер кредита]-$AA$2)/$AA$3</f>
        <v>-0.20910580668297082</v>
      </c>
      <c r="S1008" s="3">
        <f>(Таблица1[Кредитный рейтинг]-$AA$7)/($AA$8-$AA$7)</f>
        <v>0</v>
      </c>
      <c r="T1008" s="3">
        <f>(Таблица1[Срок с последнего нарушения кредитного договора (мес,)]-$AA$12)/($AA$13-$AA$12)</f>
        <v>0.40074137090909095</v>
      </c>
      <c r="U1008" s="3">
        <f>(Таблица1[Количество кредитных карт]-$AA$18)/($AA$19-$AA$18)</f>
        <v>0.19047619047619047</v>
      </c>
      <c r="V1008" s="3">
        <f>(Таблица1[Число нарушений кредитных договоров]-$AA$23)/($AA$24-$AA$23)</f>
        <v>0</v>
      </c>
      <c r="W1008" s="3">
        <f>Таблица1[[#This Row],[Годовой доход]]/12</f>
        <v>97337</v>
      </c>
      <c r="X1008" s="3">
        <f>Таблица1[[#This Row],[Ежемесячный платеж]]/Таблица1[[#This Row],[Ежем доход]]</f>
        <v>0.11990044895569002</v>
      </c>
      <c r="Y1008" s="3"/>
      <c r="Z1008" s="3"/>
      <c r="AA1008" s="3"/>
      <c r="AB1008" s="3"/>
    </row>
    <row r="1009" spans="1:28" x14ac:dyDescent="0.2">
      <c r="A1009">
        <v>1585</v>
      </c>
      <c r="B1009" t="s">
        <v>1624</v>
      </c>
      <c r="C1009" t="s">
        <v>35</v>
      </c>
      <c r="D1009" t="s">
        <v>29</v>
      </c>
      <c r="E1009" t="s">
        <v>69</v>
      </c>
      <c r="F1009" t="s">
        <v>21</v>
      </c>
      <c r="G1009" t="s">
        <v>25</v>
      </c>
      <c r="H1009" s="1">
        <v>757152</v>
      </c>
      <c r="I1009" s="3">
        <v>0</v>
      </c>
      <c r="J1009" s="3">
        <v>1168044</v>
      </c>
      <c r="K1009" s="3">
        <v>26778.41</v>
      </c>
      <c r="L1009" s="2">
        <v>32.5</v>
      </c>
      <c r="M1009" s="11">
        <v>13</v>
      </c>
      <c r="N1009" s="3">
        <v>11</v>
      </c>
      <c r="O1009" s="3">
        <v>131879</v>
      </c>
      <c r="P1009" s="3">
        <v>445192</v>
      </c>
      <c r="Q1009" s="10">
        <v>1</v>
      </c>
      <c r="R1009" s="3">
        <f>(Таблица1[Размер кредита]-$AA$2)/$AA$3</f>
        <v>2.5480704286673372</v>
      </c>
      <c r="S1009" s="3">
        <f>(Таблица1[Кредитный рейтинг]-$AA$7)/($AA$8-$AA$7)</f>
        <v>0</v>
      </c>
      <c r="T1009" s="3">
        <f>(Таблица1[Срок с последнего нарушения кредитного договора (мес,)]-$AA$12)/($AA$13-$AA$12)</f>
        <v>0.14772727272727273</v>
      </c>
      <c r="U1009" s="3">
        <f>(Таблица1[Количество кредитных карт]-$AA$18)/($AA$19-$AA$18)</f>
        <v>0.23809523809523808</v>
      </c>
      <c r="V1009" s="3">
        <f>(Таблица1[Число нарушений кредитных договоров]-$AA$23)/($AA$24-$AA$23)</f>
        <v>0.14285714285714285</v>
      </c>
      <c r="W1009" s="3">
        <f>Таблица1[[#This Row],[Годовой доход]]/12</f>
        <v>97337</v>
      </c>
      <c r="X1009" s="3">
        <f>Таблица1[[#This Row],[Ежемесячный платеж]]/Таблица1[[#This Row],[Ежем доход]]</f>
        <v>0.27511028694124534</v>
      </c>
      <c r="Y1009" s="3"/>
      <c r="Z1009" s="3"/>
      <c r="AA1009" s="3"/>
      <c r="AB1009" s="3"/>
    </row>
    <row r="1010" spans="1:28" x14ac:dyDescent="0.2">
      <c r="A1010">
        <v>1860</v>
      </c>
      <c r="B1010" t="s">
        <v>1897</v>
      </c>
      <c r="C1010" t="s">
        <v>18</v>
      </c>
      <c r="D1010" t="s">
        <v>19</v>
      </c>
      <c r="E1010" t="s">
        <v>47</v>
      </c>
      <c r="F1010" t="s">
        <v>21</v>
      </c>
      <c r="G1010" t="s">
        <v>25</v>
      </c>
      <c r="H1010" s="1">
        <v>295966</v>
      </c>
      <c r="I1010" s="3">
        <v>0</v>
      </c>
      <c r="J1010" s="3">
        <v>1168044</v>
      </c>
      <c r="K1010" s="3">
        <v>6380.01</v>
      </c>
      <c r="L1010" s="2">
        <v>29</v>
      </c>
      <c r="M1010" s="11">
        <v>35.265240640000002</v>
      </c>
      <c r="N1010" s="3">
        <v>6</v>
      </c>
      <c r="O1010" s="3">
        <v>263644</v>
      </c>
      <c r="P1010" s="3">
        <v>444356</v>
      </c>
      <c r="Q1010" s="10">
        <v>0</v>
      </c>
      <c r="R1010" s="3">
        <f>(Таблица1[Размер кредита]-$AA$2)/$AA$3</f>
        <v>-7.7591017825576411E-2</v>
      </c>
      <c r="S1010" s="3">
        <f>(Таблица1[Кредитный рейтинг]-$AA$7)/($AA$8-$AA$7)</f>
        <v>0</v>
      </c>
      <c r="T1010" s="3">
        <f>(Таблица1[Срок с последнего нарушения кредитного договора (мес,)]-$AA$12)/($AA$13-$AA$12)</f>
        <v>0.40074137090909095</v>
      </c>
      <c r="U1010" s="3">
        <f>(Таблица1[Количество кредитных карт]-$AA$18)/($AA$19-$AA$18)</f>
        <v>0.11904761904761904</v>
      </c>
      <c r="V1010" s="3">
        <f>(Таблица1[Число нарушений кредитных договоров]-$AA$23)/($AA$24-$AA$23)</f>
        <v>0</v>
      </c>
      <c r="W1010" s="3">
        <f>Таблица1[[#This Row],[Годовой доход]]/12</f>
        <v>97337</v>
      </c>
      <c r="X1010" s="3">
        <f>Таблица1[[#This Row],[Ежемесячный платеж]]/Таблица1[[#This Row],[Ежем доход]]</f>
        <v>6.5545578762443879E-2</v>
      </c>
      <c r="Y1010" s="3"/>
      <c r="Z1010" s="3"/>
      <c r="AA1010" s="3"/>
      <c r="AB1010" s="3"/>
    </row>
    <row r="1011" spans="1:28" x14ac:dyDescent="0.2">
      <c r="A1011">
        <v>522</v>
      </c>
      <c r="B1011" t="s">
        <v>563</v>
      </c>
      <c r="C1011" t="s">
        <v>18</v>
      </c>
      <c r="D1011" t="s">
        <v>19</v>
      </c>
      <c r="E1011" t="s">
        <v>63</v>
      </c>
      <c r="F1011" t="s">
        <v>33</v>
      </c>
      <c r="G1011" t="s">
        <v>25</v>
      </c>
      <c r="H1011" s="1">
        <v>444400</v>
      </c>
      <c r="I1011" s="3">
        <v>0</v>
      </c>
      <c r="J1011" s="3">
        <v>1168044</v>
      </c>
      <c r="K1011" s="3">
        <v>1367.24</v>
      </c>
      <c r="L1011" s="2">
        <v>9</v>
      </c>
      <c r="M1011" s="11">
        <v>35.265240640000002</v>
      </c>
      <c r="N1011" s="3">
        <v>7</v>
      </c>
      <c r="O1011" s="3">
        <v>57494</v>
      </c>
      <c r="P1011" s="3">
        <v>443806</v>
      </c>
      <c r="Q1011" s="10">
        <v>0</v>
      </c>
      <c r="R1011" s="3">
        <f>(Таблица1[Размер кредита]-$AA$2)/$AA$3</f>
        <v>0.76748543971808092</v>
      </c>
      <c r="S1011" s="3">
        <f>(Таблица1[Кредитный рейтинг]-$AA$7)/($AA$8-$AA$7)</f>
        <v>0</v>
      </c>
      <c r="T1011" s="3">
        <f>(Таблица1[Срок с последнего нарушения кредитного договора (мес,)]-$AA$12)/($AA$13-$AA$12)</f>
        <v>0.40074137090909095</v>
      </c>
      <c r="U1011" s="3">
        <f>(Таблица1[Количество кредитных карт]-$AA$18)/($AA$19-$AA$18)</f>
        <v>0.14285714285714285</v>
      </c>
      <c r="V1011" s="3">
        <f>(Таблица1[Число нарушений кредитных договоров]-$AA$23)/($AA$24-$AA$23)</f>
        <v>0</v>
      </c>
      <c r="W1011" s="3">
        <f>Таблица1[[#This Row],[Годовой доход]]/12</f>
        <v>97337</v>
      </c>
      <c r="X1011" s="3">
        <f>Таблица1[[#This Row],[Ежемесячный платеж]]/Таблица1[[#This Row],[Ежем доход]]</f>
        <v>1.4046457154011321E-2</v>
      </c>
      <c r="Y1011" s="3"/>
      <c r="Z1011" s="3"/>
      <c r="AA1011" s="3"/>
      <c r="AB1011" s="3"/>
    </row>
    <row r="1012" spans="1:28" x14ac:dyDescent="0.2">
      <c r="A1012">
        <v>1941</v>
      </c>
      <c r="B1012" s="4" t="s">
        <v>1977</v>
      </c>
      <c r="C1012" t="s">
        <v>18</v>
      </c>
      <c r="D1012" t="s">
        <v>29</v>
      </c>
      <c r="E1012" t="s">
        <v>50</v>
      </c>
      <c r="F1012" t="s">
        <v>21</v>
      </c>
      <c r="G1012" t="s">
        <v>22</v>
      </c>
      <c r="H1012" s="1">
        <v>346478</v>
      </c>
      <c r="I1012" s="3">
        <v>744</v>
      </c>
      <c r="J1012" s="3">
        <v>2094598</v>
      </c>
      <c r="K1012" s="3">
        <v>13806.92</v>
      </c>
      <c r="L1012" s="2">
        <v>20.5</v>
      </c>
      <c r="M1012" s="11">
        <v>59</v>
      </c>
      <c r="N1012" s="3">
        <v>16</v>
      </c>
      <c r="O1012" s="3">
        <v>220704</v>
      </c>
      <c r="P1012" s="3">
        <v>443652</v>
      </c>
      <c r="Q1012" s="10">
        <v>4</v>
      </c>
      <c r="R1012" s="3">
        <f>(Таблица1[Размер кредита]-$AA$2)/$AA$3</f>
        <v>0.20998798714259273</v>
      </c>
      <c r="S1012" s="3">
        <f>(Таблица1[Кредитный рейтинг]-$AA$7)/($AA$8-$AA$7)</f>
        <v>0.99067909454061254</v>
      </c>
      <c r="T1012" s="3">
        <f>(Таблица1[Срок с последнего нарушения кредитного договора (мес,)]-$AA$12)/($AA$13-$AA$12)</f>
        <v>0.67045454545454541</v>
      </c>
      <c r="U1012" s="3">
        <f>(Таблица1[Количество кредитных карт]-$AA$18)/($AA$19-$AA$18)</f>
        <v>0.35714285714285715</v>
      </c>
      <c r="V1012" s="3">
        <f>(Таблица1[Число нарушений кредитных договоров]-$AA$23)/($AA$24-$AA$23)</f>
        <v>0.5714285714285714</v>
      </c>
      <c r="W1012" s="3">
        <f>Таблица1[[#This Row],[Годовой доход]]/12</f>
        <v>174549.83333333334</v>
      </c>
      <c r="X1012" s="3">
        <f>Таблица1[[#This Row],[Ежемесячный платеж]]/Таблица1[[#This Row],[Ежем доход]]</f>
        <v>7.9100161462963295E-2</v>
      </c>
      <c r="Y1012" s="3"/>
      <c r="Z1012" s="3"/>
      <c r="AA1012" s="3"/>
      <c r="AB1012" s="3"/>
    </row>
    <row r="1013" spans="1:28" x14ac:dyDescent="0.2">
      <c r="A1013">
        <v>167</v>
      </c>
      <c r="B1013" t="s">
        <v>209</v>
      </c>
      <c r="C1013" t="s">
        <v>18</v>
      </c>
      <c r="D1013" t="s">
        <v>19</v>
      </c>
      <c r="E1013" t="s">
        <v>30</v>
      </c>
      <c r="F1013" t="s">
        <v>27</v>
      </c>
      <c r="G1013" t="s">
        <v>67</v>
      </c>
      <c r="H1013" s="1">
        <v>174460</v>
      </c>
      <c r="I1013" s="3">
        <v>723</v>
      </c>
      <c r="J1013" s="3">
        <v>1318429</v>
      </c>
      <c r="K1013" s="3">
        <v>10547.47</v>
      </c>
      <c r="L1013" s="2">
        <v>15</v>
      </c>
      <c r="M1013" s="11">
        <v>55</v>
      </c>
      <c r="N1013" s="3">
        <v>14</v>
      </c>
      <c r="O1013" s="3">
        <v>55176</v>
      </c>
      <c r="P1013" s="3">
        <v>443586</v>
      </c>
      <c r="Q1013" s="10">
        <v>0</v>
      </c>
      <c r="R1013" s="3">
        <f>(Таблица1[Размер кредита]-$AA$2)/$AA$3</f>
        <v>-0.76935880721547112</v>
      </c>
      <c r="S1013" s="3">
        <f>(Таблица1[Кредитный рейтинг]-$AA$7)/($AA$8-$AA$7)</f>
        <v>0.96271637816245004</v>
      </c>
      <c r="T1013" s="3">
        <f>(Таблица1[Срок с последнего нарушения кредитного договора (мес,)]-$AA$12)/($AA$13-$AA$12)</f>
        <v>0.625</v>
      </c>
      <c r="U1013" s="3">
        <f>(Таблица1[Количество кредитных карт]-$AA$18)/($AA$19-$AA$18)</f>
        <v>0.30952380952380953</v>
      </c>
      <c r="V1013" s="3">
        <f>(Таблица1[Число нарушений кредитных договоров]-$AA$23)/($AA$24-$AA$23)</f>
        <v>0</v>
      </c>
      <c r="W1013" s="3">
        <f>Таблица1[[#This Row],[Годовой доход]]/12</f>
        <v>109869.08333333333</v>
      </c>
      <c r="X1013" s="3">
        <f>Таблица1[[#This Row],[Ежемесячный платеж]]/Таблица1[[#This Row],[Ежем доход]]</f>
        <v>9.6000345866178616E-2</v>
      </c>
      <c r="Y1013" s="3"/>
      <c r="Z1013" s="3"/>
      <c r="AA1013" s="3"/>
      <c r="AB1013" s="3"/>
    </row>
    <row r="1014" spans="1:28" x14ac:dyDescent="0.2">
      <c r="A1014">
        <v>809</v>
      </c>
      <c r="B1014" t="s">
        <v>850</v>
      </c>
      <c r="C1014" t="s">
        <v>18</v>
      </c>
      <c r="D1014" t="s">
        <v>29</v>
      </c>
      <c r="E1014" t="s">
        <v>24</v>
      </c>
      <c r="F1014" t="s">
        <v>21</v>
      </c>
      <c r="G1014" t="s">
        <v>25</v>
      </c>
      <c r="H1014" s="1">
        <v>330792</v>
      </c>
      <c r="I1014" s="3">
        <v>733</v>
      </c>
      <c r="J1014" s="3">
        <v>1885522</v>
      </c>
      <c r="K1014" s="3">
        <v>20897.72</v>
      </c>
      <c r="L1014" s="2">
        <v>31.4</v>
      </c>
      <c r="M1014" s="11">
        <v>35.265240640000002</v>
      </c>
      <c r="N1014" s="3">
        <v>13</v>
      </c>
      <c r="O1014" s="3">
        <v>138130</v>
      </c>
      <c r="P1014" s="3">
        <v>443058</v>
      </c>
      <c r="Q1014" s="10">
        <v>1</v>
      </c>
      <c r="R1014" s="3">
        <f>(Таблица1[Размер кредита]-$AA$2)/$AA$3</f>
        <v>0.12068318289942871</v>
      </c>
      <c r="S1014" s="3">
        <f>(Таблица1[Кредитный рейтинг]-$AA$7)/($AA$8-$AA$7)</f>
        <v>0.97603195739014648</v>
      </c>
      <c r="T1014" s="3">
        <f>(Таблица1[Срок с последнего нарушения кредитного договора (мес,)]-$AA$12)/($AA$13-$AA$12)</f>
        <v>0.40074137090909095</v>
      </c>
      <c r="U1014" s="3">
        <f>(Таблица1[Количество кредитных карт]-$AA$18)/($AA$19-$AA$18)</f>
        <v>0.2857142857142857</v>
      </c>
      <c r="V1014" s="3">
        <f>(Таблица1[Число нарушений кредитных договоров]-$AA$23)/($AA$24-$AA$23)</f>
        <v>0.14285714285714285</v>
      </c>
      <c r="W1014" s="3">
        <f>Таблица1[[#This Row],[Годовой доход]]/12</f>
        <v>157126.83333333334</v>
      </c>
      <c r="X1014" s="3">
        <f>Таблица1[[#This Row],[Ежемесячный платеж]]/Таблица1[[#This Row],[Ежем доход]]</f>
        <v>0.13299905278220037</v>
      </c>
      <c r="Y1014" s="3"/>
      <c r="Z1014" s="3"/>
      <c r="AA1014" s="3"/>
      <c r="AB1014" s="3"/>
    </row>
    <row r="1015" spans="1:28" x14ac:dyDescent="0.2">
      <c r="A1015">
        <v>899</v>
      </c>
      <c r="B1015" t="s">
        <v>940</v>
      </c>
      <c r="C1015" t="s">
        <v>18</v>
      </c>
      <c r="D1015" t="s">
        <v>19</v>
      </c>
      <c r="E1015" t="s">
        <v>50</v>
      </c>
      <c r="F1015" t="s">
        <v>33</v>
      </c>
      <c r="G1015" t="s">
        <v>25</v>
      </c>
      <c r="H1015" s="1">
        <v>293744</v>
      </c>
      <c r="I1015" s="3">
        <v>686</v>
      </c>
      <c r="J1015" s="3">
        <v>743318</v>
      </c>
      <c r="K1015" s="3">
        <v>11211.71</v>
      </c>
      <c r="L1015" s="2">
        <v>16.8</v>
      </c>
      <c r="M1015" s="11">
        <v>35.265240640000002</v>
      </c>
      <c r="N1015" s="3">
        <v>4</v>
      </c>
      <c r="O1015" s="3">
        <v>351842</v>
      </c>
      <c r="P1015" s="3">
        <v>442332</v>
      </c>
      <c r="Q1015" s="10">
        <v>1</v>
      </c>
      <c r="R1015" s="3">
        <f>(Таблица1[Размер кредита]-$AA$2)/$AA$3</f>
        <v>-9.0241487991859104E-2</v>
      </c>
      <c r="S1015" s="3">
        <f>(Таблица1[Кредитный рейтинг]-$AA$7)/($AA$8-$AA$7)</f>
        <v>0.91344873501997337</v>
      </c>
      <c r="T1015" s="3">
        <f>(Таблица1[Срок с последнего нарушения кредитного договора (мес,)]-$AA$12)/($AA$13-$AA$12)</f>
        <v>0.40074137090909095</v>
      </c>
      <c r="U1015" s="3">
        <f>(Таблица1[Количество кредитных карт]-$AA$18)/($AA$19-$AA$18)</f>
        <v>7.1428571428571425E-2</v>
      </c>
      <c r="V1015" s="3">
        <f>(Таблица1[Число нарушений кредитных договоров]-$AA$23)/($AA$24-$AA$23)</f>
        <v>0.14285714285714285</v>
      </c>
      <c r="W1015" s="3">
        <f>Таблица1[[#This Row],[Годовой доход]]/12</f>
        <v>61943.166666666664</v>
      </c>
      <c r="X1015" s="3">
        <f>Таблица1[[#This Row],[Ежемесячный платеж]]/Таблица1[[#This Row],[Ежем доход]]</f>
        <v>0.18099994887786922</v>
      </c>
      <c r="Y1015" s="3"/>
      <c r="Z1015" s="3"/>
      <c r="AA1015" s="3"/>
      <c r="AB1015" s="3"/>
    </row>
    <row r="1016" spans="1:28" x14ac:dyDescent="0.2">
      <c r="A1016">
        <v>232</v>
      </c>
      <c r="B1016" t="s">
        <v>274</v>
      </c>
      <c r="C1016" t="s">
        <v>35</v>
      </c>
      <c r="D1016" t="s">
        <v>29</v>
      </c>
      <c r="E1016" t="s">
        <v>30</v>
      </c>
      <c r="F1016" t="s">
        <v>27</v>
      </c>
      <c r="G1016" t="s">
        <v>2039</v>
      </c>
      <c r="H1016" s="1">
        <v>551980</v>
      </c>
      <c r="I1016" s="3">
        <v>720</v>
      </c>
      <c r="J1016" s="3">
        <v>1906840</v>
      </c>
      <c r="K1016" s="3">
        <v>33528.54</v>
      </c>
      <c r="L1016" s="2">
        <v>22.6</v>
      </c>
      <c r="M1016" s="11">
        <v>35.265240640000002</v>
      </c>
      <c r="N1016" s="3">
        <v>6</v>
      </c>
      <c r="O1016" s="3">
        <v>334780</v>
      </c>
      <c r="P1016" s="3">
        <v>441518</v>
      </c>
      <c r="Q1016" s="10">
        <v>0</v>
      </c>
      <c r="R1016" s="3">
        <f>(Таблица1[Размер кредита]-$AA$2)/$AA$3</f>
        <v>1.3799685992539463</v>
      </c>
      <c r="S1016" s="3">
        <f>(Таблица1[Кредитный рейтинг]-$AA$7)/($AA$8-$AA$7)</f>
        <v>0.95872170439414117</v>
      </c>
      <c r="T1016" s="3">
        <f>(Таблица1[Срок с последнего нарушения кредитного договора (мес,)]-$AA$12)/($AA$13-$AA$12)</f>
        <v>0.40074137090909095</v>
      </c>
      <c r="U1016" s="3">
        <f>(Таблица1[Количество кредитных карт]-$AA$18)/($AA$19-$AA$18)</f>
        <v>0.11904761904761904</v>
      </c>
      <c r="V1016" s="3">
        <f>(Таблица1[Число нарушений кредитных договоров]-$AA$23)/($AA$24-$AA$23)</f>
        <v>0</v>
      </c>
      <c r="W1016" s="3">
        <f>Таблица1[[#This Row],[Годовой доход]]/12</f>
        <v>158903.33333333334</v>
      </c>
      <c r="X1016" s="3">
        <f>Таблица1[[#This Row],[Ежемесячный платеж]]/Таблица1[[#This Row],[Ежем доход]]</f>
        <v>0.21099960143483459</v>
      </c>
      <c r="Y1016" s="3"/>
      <c r="Z1016" s="3"/>
      <c r="AA1016" s="3"/>
      <c r="AB1016" s="3"/>
    </row>
    <row r="1017" spans="1:28" x14ac:dyDescent="0.2">
      <c r="A1017">
        <v>1451</v>
      </c>
      <c r="B1017" t="s">
        <v>1490</v>
      </c>
      <c r="C1017" t="s">
        <v>18</v>
      </c>
      <c r="D1017" t="s">
        <v>19</v>
      </c>
      <c r="E1017" t="s">
        <v>24</v>
      </c>
      <c r="F1017" t="s">
        <v>21</v>
      </c>
      <c r="G1017" t="s">
        <v>25</v>
      </c>
      <c r="H1017" s="1">
        <v>270116</v>
      </c>
      <c r="I1017" s="3">
        <v>746</v>
      </c>
      <c r="J1017" s="3">
        <v>1652468</v>
      </c>
      <c r="K1017" s="3">
        <v>16937.740000000002</v>
      </c>
      <c r="L1017" s="2">
        <v>14.7</v>
      </c>
      <c r="M1017" s="11">
        <v>35.265240640000002</v>
      </c>
      <c r="N1017" s="3">
        <v>7</v>
      </c>
      <c r="O1017" s="3">
        <v>261402</v>
      </c>
      <c r="P1017" s="3">
        <v>441232</v>
      </c>
      <c r="Q1017" s="10">
        <v>0</v>
      </c>
      <c r="R1017" s="3">
        <f>(Таблица1[Размер кредита]-$AA$2)/$AA$3</f>
        <v>-0.22476232916599398</v>
      </c>
      <c r="S1017" s="3">
        <f>(Таблица1[Кредитный рейтинг]-$AA$7)/($AA$8-$AA$7)</f>
        <v>0.99334221038615178</v>
      </c>
      <c r="T1017" s="3">
        <f>(Таблица1[Срок с последнего нарушения кредитного договора (мес,)]-$AA$12)/($AA$13-$AA$12)</f>
        <v>0.40074137090909095</v>
      </c>
      <c r="U1017" s="3">
        <f>(Таблица1[Количество кредитных карт]-$AA$18)/($AA$19-$AA$18)</f>
        <v>0.14285714285714285</v>
      </c>
      <c r="V1017" s="3">
        <f>(Таблица1[Число нарушений кредитных договоров]-$AA$23)/($AA$24-$AA$23)</f>
        <v>0</v>
      </c>
      <c r="W1017" s="3">
        <f>Таблица1[[#This Row],[Годовой доход]]/12</f>
        <v>137705.66666666666</v>
      </c>
      <c r="X1017" s="3">
        <f>Таблица1[[#This Row],[Ежемесячный платеж]]/Таблица1[[#This Row],[Ежем доход]]</f>
        <v>0.1229995860736789</v>
      </c>
      <c r="Y1017" s="3"/>
      <c r="Z1017" s="3"/>
      <c r="AA1017" s="3"/>
      <c r="AB1017" s="3"/>
    </row>
    <row r="1018" spans="1:28" x14ac:dyDescent="0.2">
      <c r="A1018">
        <v>527</v>
      </c>
      <c r="B1018" t="s">
        <v>568</v>
      </c>
      <c r="C1018" t="s">
        <v>35</v>
      </c>
      <c r="D1018" t="s">
        <v>29</v>
      </c>
      <c r="E1018" t="s">
        <v>24</v>
      </c>
      <c r="F1018" t="s">
        <v>33</v>
      </c>
      <c r="G1018" t="s">
        <v>25</v>
      </c>
      <c r="H1018" s="1">
        <v>259754</v>
      </c>
      <c r="I1018" s="3">
        <v>0</v>
      </c>
      <c r="J1018" s="3">
        <v>1168044</v>
      </c>
      <c r="K1018" s="3">
        <v>21872.04</v>
      </c>
      <c r="L1018" s="2">
        <v>13.1</v>
      </c>
      <c r="M1018" s="11">
        <v>11</v>
      </c>
      <c r="N1018" s="3">
        <v>13</v>
      </c>
      <c r="O1018" s="3">
        <v>209551</v>
      </c>
      <c r="P1018" s="3">
        <v>441144</v>
      </c>
      <c r="Q1018" s="10">
        <v>0</v>
      </c>
      <c r="R1018" s="3">
        <f>(Таблица1[Размер кредита]-$AA$2)/$AA$3</f>
        <v>-0.28375610588202521</v>
      </c>
      <c r="S1018" s="3">
        <f>(Таблица1[Кредитный рейтинг]-$AA$7)/($AA$8-$AA$7)</f>
        <v>0</v>
      </c>
      <c r="T1018" s="3">
        <f>(Таблица1[Срок с последнего нарушения кредитного договора (мес,)]-$AA$12)/($AA$13-$AA$12)</f>
        <v>0.125</v>
      </c>
      <c r="U1018" s="3">
        <f>(Таблица1[Количество кредитных карт]-$AA$18)/($AA$19-$AA$18)</f>
        <v>0.2857142857142857</v>
      </c>
      <c r="V1018" s="3">
        <f>(Таблица1[Число нарушений кредитных договоров]-$AA$23)/($AA$24-$AA$23)</f>
        <v>0</v>
      </c>
      <c r="W1018" s="3">
        <f>Таблица1[[#This Row],[Годовой доход]]/12</f>
        <v>97337</v>
      </c>
      <c r="X1018" s="3">
        <f>Таблица1[[#This Row],[Ежемесячный платеж]]/Таблица1[[#This Row],[Ежем доход]]</f>
        <v>0.22470427483896155</v>
      </c>
      <c r="Y1018" s="3"/>
      <c r="Z1018" s="3"/>
      <c r="AA1018" s="3"/>
      <c r="AB1018" s="3"/>
    </row>
    <row r="1019" spans="1:28" x14ac:dyDescent="0.2">
      <c r="A1019">
        <v>799</v>
      </c>
      <c r="B1019" t="s">
        <v>840</v>
      </c>
      <c r="C1019" t="s">
        <v>18</v>
      </c>
      <c r="D1019" t="s">
        <v>29</v>
      </c>
      <c r="E1019" t="s">
        <v>24</v>
      </c>
      <c r="F1019" t="s">
        <v>27</v>
      </c>
      <c r="G1019" t="s">
        <v>25</v>
      </c>
      <c r="H1019" s="1">
        <v>270402</v>
      </c>
      <c r="I1019" s="3">
        <v>690</v>
      </c>
      <c r="J1019" s="3">
        <v>1044373</v>
      </c>
      <c r="K1019" s="3">
        <v>17928.21</v>
      </c>
      <c r="L1019" s="2">
        <v>21</v>
      </c>
      <c r="M1019" s="11">
        <v>35.265240640000002</v>
      </c>
      <c r="N1019" s="3">
        <v>12</v>
      </c>
      <c r="O1019" s="3">
        <v>258305</v>
      </c>
      <c r="P1019" s="3">
        <v>441144</v>
      </c>
      <c r="Q1019" s="10">
        <v>0</v>
      </c>
      <c r="R1019" s="3">
        <f>(Таблица1[Размер кредита]-$AA$2)/$AA$3</f>
        <v>-0.22313405082775956</v>
      </c>
      <c r="S1019" s="3">
        <f>(Таблица1[Кредитный рейтинг]-$AA$7)/($AA$8-$AA$7)</f>
        <v>0.91877496671105197</v>
      </c>
      <c r="T1019" s="3">
        <f>(Таблица1[Срок с последнего нарушения кредитного договора (мес,)]-$AA$12)/($AA$13-$AA$12)</f>
        <v>0.40074137090909095</v>
      </c>
      <c r="U1019" s="3">
        <f>(Таблица1[Количество кредитных карт]-$AA$18)/($AA$19-$AA$18)</f>
        <v>0.26190476190476192</v>
      </c>
      <c r="V1019" s="3">
        <f>(Таблица1[Число нарушений кредитных договоров]-$AA$23)/($AA$24-$AA$23)</f>
        <v>0</v>
      </c>
      <c r="W1019" s="3">
        <f>Таблица1[[#This Row],[Годовой доход]]/12</f>
        <v>87031.083333333328</v>
      </c>
      <c r="X1019" s="3">
        <f>Таблица1[[#This Row],[Ежемесячный платеж]]/Таблица1[[#This Row],[Ежем доход]]</f>
        <v>0.20599778048647371</v>
      </c>
      <c r="Y1019" s="3"/>
      <c r="Z1019" s="3"/>
      <c r="AA1019" s="3"/>
      <c r="AB1019" s="3"/>
    </row>
    <row r="1020" spans="1:28" x14ac:dyDescent="0.2">
      <c r="A1020">
        <v>1495</v>
      </c>
      <c r="B1020" t="s">
        <v>1534</v>
      </c>
      <c r="C1020" t="s">
        <v>18</v>
      </c>
      <c r="D1020" t="s">
        <v>29</v>
      </c>
      <c r="E1020" t="s">
        <v>37</v>
      </c>
      <c r="F1020" t="s">
        <v>33</v>
      </c>
      <c r="G1020" t="s">
        <v>25</v>
      </c>
      <c r="H1020" s="1">
        <v>607926</v>
      </c>
      <c r="I1020" s="3">
        <v>647</v>
      </c>
      <c r="J1020" s="3">
        <v>1807166</v>
      </c>
      <c r="K1020" s="3">
        <v>23643.79</v>
      </c>
      <c r="L1020" s="2">
        <v>16.2</v>
      </c>
      <c r="M1020" s="11">
        <v>35.265240640000002</v>
      </c>
      <c r="N1020" s="3">
        <v>8</v>
      </c>
      <c r="O1020" s="3">
        <v>306888</v>
      </c>
      <c r="P1020" s="3">
        <v>440330</v>
      </c>
      <c r="Q1020" s="10">
        <v>1</v>
      </c>
      <c r="R1020" s="3">
        <f>(Таблица1[Размер кредита]-$AA$2)/$AA$3</f>
        <v>1.6984848926485692</v>
      </c>
      <c r="S1020" s="3">
        <f>(Таблица1[Кредитный рейтинг]-$AA$7)/($AA$8-$AA$7)</f>
        <v>0.86151797603195734</v>
      </c>
      <c r="T1020" s="3">
        <f>(Таблица1[Срок с последнего нарушения кредитного договора (мес,)]-$AA$12)/($AA$13-$AA$12)</f>
        <v>0.40074137090909095</v>
      </c>
      <c r="U1020" s="3">
        <f>(Таблица1[Количество кредитных карт]-$AA$18)/($AA$19-$AA$18)</f>
        <v>0.16666666666666666</v>
      </c>
      <c r="V1020" s="3">
        <f>(Таблица1[Число нарушений кредитных договоров]-$AA$23)/($AA$24-$AA$23)</f>
        <v>0.14285714285714285</v>
      </c>
      <c r="W1020" s="3">
        <f>Таблица1[[#This Row],[Годовой доход]]/12</f>
        <v>150597.16666666666</v>
      </c>
      <c r="X1020" s="3">
        <f>Таблица1[[#This Row],[Ежемесячный платеж]]/Таблица1[[#This Row],[Ежем доход]]</f>
        <v>0.15700023130138571</v>
      </c>
      <c r="Y1020" s="3"/>
      <c r="Z1020" s="3"/>
      <c r="AA1020" s="3"/>
      <c r="AB1020" s="3"/>
    </row>
    <row r="1021" spans="1:28" x14ac:dyDescent="0.2">
      <c r="A1021">
        <v>763</v>
      </c>
      <c r="B1021" t="s">
        <v>804</v>
      </c>
      <c r="C1021" t="s">
        <v>18</v>
      </c>
      <c r="D1021" t="s">
        <v>19</v>
      </c>
      <c r="E1021" t="s">
        <v>24</v>
      </c>
      <c r="F1021" t="s">
        <v>21</v>
      </c>
      <c r="G1021" t="s">
        <v>25</v>
      </c>
      <c r="H1021" s="1">
        <v>441364</v>
      </c>
      <c r="I1021" s="3">
        <v>691</v>
      </c>
      <c r="J1021" s="3">
        <v>1315066</v>
      </c>
      <c r="K1021" s="3">
        <v>16986.189999999999</v>
      </c>
      <c r="L1021" s="2">
        <v>22.6</v>
      </c>
      <c r="M1021" s="11">
        <v>9</v>
      </c>
      <c r="N1021" s="3">
        <v>12</v>
      </c>
      <c r="O1021" s="3">
        <v>233035</v>
      </c>
      <c r="P1021" s="3">
        <v>439472</v>
      </c>
      <c r="Q1021" s="10">
        <v>0</v>
      </c>
      <c r="R1021" s="3">
        <f>(Таблица1[Размер кредита]-$AA$2)/$AA$3</f>
        <v>0.75020063889682331</v>
      </c>
      <c r="S1021" s="3">
        <f>(Таблица1[Кредитный рейтинг]-$AA$7)/($AA$8-$AA$7)</f>
        <v>0.92010652463382159</v>
      </c>
      <c r="T1021" s="3">
        <f>(Таблица1[Срок с последнего нарушения кредитного договора (мес,)]-$AA$12)/($AA$13-$AA$12)</f>
        <v>0.10227272727272728</v>
      </c>
      <c r="U1021" s="3">
        <f>(Таблица1[Количество кредитных карт]-$AA$18)/($AA$19-$AA$18)</f>
        <v>0.26190476190476192</v>
      </c>
      <c r="V1021" s="3">
        <f>(Таблица1[Число нарушений кредитных договоров]-$AA$23)/($AA$24-$AA$23)</f>
        <v>0</v>
      </c>
      <c r="W1021" s="3">
        <f>Таблица1[[#This Row],[Годовой доход]]/12</f>
        <v>109588.83333333333</v>
      </c>
      <c r="X1021" s="3">
        <f>Таблица1[[#This Row],[Ежемесячный платеж]]/Таблица1[[#This Row],[Ежем доход]]</f>
        <v>0.15499927760279711</v>
      </c>
      <c r="Y1021" s="3"/>
      <c r="Z1021" s="3"/>
      <c r="AA1021" s="3"/>
      <c r="AB1021" s="3"/>
    </row>
    <row r="1022" spans="1:28" x14ac:dyDescent="0.2">
      <c r="A1022">
        <v>1869</v>
      </c>
      <c r="B1022" t="s">
        <v>1906</v>
      </c>
      <c r="C1022" t="s">
        <v>18</v>
      </c>
      <c r="D1022" t="s">
        <v>19</v>
      </c>
      <c r="E1022" t="s">
        <v>30</v>
      </c>
      <c r="F1022" t="s">
        <v>33</v>
      </c>
      <c r="G1022" t="s">
        <v>25</v>
      </c>
      <c r="H1022" s="1">
        <v>649374</v>
      </c>
      <c r="I1022" s="3">
        <v>675</v>
      </c>
      <c r="J1022" s="3">
        <v>1682469</v>
      </c>
      <c r="K1022" s="3">
        <v>33088.5</v>
      </c>
      <c r="L1022" s="2">
        <v>18</v>
      </c>
      <c r="M1022" s="11">
        <v>40</v>
      </c>
      <c r="N1022" s="3">
        <v>20</v>
      </c>
      <c r="O1022" s="3">
        <v>261098</v>
      </c>
      <c r="P1022" s="3">
        <v>439428</v>
      </c>
      <c r="Q1022" s="10">
        <v>0</v>
      </c>
      <c r="R1022" s="3">
        <f>(Таблица1[Размер кредита]-$AA$2)/$AA$3</f>
        <v>1.9344599995126941</v>
      </c>
      <c r="S1022" s="3">
        <f>(Таблица1[Кредитный рейтинг]-$AA$7)/($AA$8-$AA$7)</f>
        <v>0.89880159786950731</v>
      </c>
      <c r="T1022" s="3">
        <f>(Таблица1[Срок с последнего нарушения кредитного договора (мес,)]-$AA$12)/($AA$13-$AA$12)</f>
        <v>0.45454545454545453</v>
      </c>
      <c r="U1022" s="3">
        <f>(Таблица1[Количество кредитных карт]-$AA$18)/($AA$19-$AA$18)</f>
        <v>0.45238095238095238</v>
      </c>
      <c r="V1022" s="3">
        <f>(Таблица1[Число нарушений кредитных договоров]-$AA$23)/($AA$24-$AA$23)</f>
        <v>0</v>
      </c>
      <c r="W1022" s="3">
        <f>Таблица1[[#This Row],[Годовой доход]]/12</f>
        <v>140205.75</v>
      </c>
      <c r="X1022" s="3">
        <f>Таблица1[[#This Row],[Ежемесячный платеж]]/Таблица1[[#This Row],[Ежем доход]]</f>
        <v>0.23599959345461938</v>
      </c>
      <c r="Y1022" s="3"/>
      <c r="Z1022" s="3"/>
      <c r="AA1022" s="3"/>
      <c r="AB1022" s="3"/>
    </row>
    <row r="1023" spans="1:28" x14ac:dyDescent="0.2">
      <c r="A1023">
        <v>1527</v>
      </c>
      <c r="B1023" s="4" t="s">
        <v>1566</v>
      </c>
      <c r="C1023" t="s">
        <v>18</v>
      </c>
      <c r="D1023" t="s">
        <v>19</v>
      </c>
      <c r="E1023" t="s">
        <v>52</v>
      </c>
      <c r="F1023" t="s">
        <v>21</v>
      </c>
      <c r="G1023" t="s">
        <v>25</v>
      </c>
      <c r="H1023" s="1">
        <v>479490</v>
      </c>
      <c r="I1023" s="3">
        <v>747</v>
      </c>
      <c r="J1023" s="3">
        <v>1223524</v>
      </c>
      <c r="K1023" s="3">
        <v>28344.77</v>
      </c>
      <c r="L1023" s="2">
        <v>25.9</v>
      </c>
      <c r="M1023" s="11">
        <v>78</v>
      </c>
      <c r="N1023" s="3">
        <v>9</v>
      </c>
      <c r="O1023" s="3">
        <v>277134</v>
      </c>
      <c r="P1023" s="3">
        <v>438372</v>
      </c>
      <c r="Q1023" s="10">
        <v>0</v>
      </c>
      <c r="R1023" s="3">
        <f>(Таблица1[Размер кредита]-$AA$2)/$AA$3</f>
        <v>0.96726266660145621</v>
      </c>
      <c r="S1023" s="3">
        <f>(Таблица1[Кредитный рейтинг]-$AA$7)/($AA$8-$AA$7)</f>
        <v>0.9946737683089214</v>
      </c>
      <c r="T1023" s="3">
        <f>(Таблица1[Срок с последнего нарушения кредитного договора (мес,)]-$AA$12)/($AA$13-$AA$12)</f>
        <v>0.88636363636363635</v>
      </c>
      <c r="U1023" s="3">
        <f>(Таблица1[Количество кредитных карт]-$AA$18)/($AA$19-$AA$18)</f>
        <v>0.19047619047619047</v>
      </c>
      <c r="V1023" s="3">
        <f>(Таблица1[Число нарушений кредитных договоров]-$AA$23)/($AA$24-$AA$23)</f>
        <v>0</v>
      </c>
      <c r="W1023" s="3">
        <f>Таблица1[[#This Row],[Годовой доход]]/12</f>
        <v>101960.33333333333</v>
      </c>
      <c r="X1023" s="3">
        <f>Таблица1[[#This Row],[Ежемесячный платеж]]/Таблица1[[#This Row],[Ежем доход]]</f>
        <v>0.27799801229890059</v>
      </c>
      <c r="Y1023" s="3"/>
      <c r="Z1023" s="3"/>
      <c r="AA1023" s="3"/>
      <c r="AB1023" s="3"/>
    </row>
    <row r="1024" spans="1:28" x14ac:dyDescent="0.2">
      <c r="A1024">
        <v>1481</v>
      </c>
      <c r="B1024" t="s">
        <v>1520</v>
      </c>
      <c r="C1024" t="s">
        <v>18</v>
      </c>
      <c r="D1024" t="s">
        <v>19</v>
      </c>
      <c r="E1024" t="s">
        <v>24</v>
      </c>
      <c r="F1024" t="s">
        <v>21</v>
      </c>
      <c r="G1024" t="s">
        <v>25</v>
      </c>
      <c r="H1024" s="1">
        <v>240966</v>
      </c>
      <c r="I1024" s="3">
        <v>0</v>
      </c>
      <c r="J1024" s="3">
        <v>1168044</v>
      </c>
      <c r="K1024" s="3">
        <v>25311.42</v>
      </c>
      <c r="L1024" s="2">
        <v>16</v>
      </c>
      <c r="M1024" s="11">
        <v>27</v>
      </c>
      <c r="N1024" s="3">
        <v>15</v>
      </c>
      <c r="O1024" s="3">
        <v>306432</v>
      </c>
      <c r="P1024" s="3">
        <v>438064</v>
      </c>
      <c r="Q1024" s="10">
        <v>0</v>
      </c>
      <c r="R1024" s="3">
        <f>(Таблица1[Размер кредита]-$AA$2)/$AA$3</f>
        <v>-0.39072146748603931</v>
      </c>
      <c r="S1024" s="3">
        <f>(Таблица1[Кредитный рейтинг]-$AA$7)/($AA$8-$AA$7)</f>
        <v>0</v>
      </c>
      <c r="T1024" s="3">
        <f>(Таблица1[Срок с последнего нарушения кредитного договора (мес,)]-$AA$12)/($AA$13-$AA$12)</f>
        <v>0.30681818181818182</v>
      </c>
      <c r="U1024" s="3">
        <f>(Таблица1[Количество кредитных карт]-$AA$18)/($AA$19-$AA$18)</f>
        <v>0.33333333333333331</v>
      </c>
      <c r="V1024" s="3">
        <f>(Таблица1[Число нарушений кредитных договоров]-$AA$23)/($AA$24-$AA$23)</f>
        <v>0</v>
      </c>
      <c r="W1024" s="3">
        <f>Таблица1[[#This Row],[Годовой доход]]/12</f>
        <v>97337</v>
      </c>
      <c r="X1024" s="3">
        <f>Таблица1[[#This Row],[Ежемесячный платеж]]/Таблица1[[#This Row],[Ежем доход]]</f>
        <v>0.26003903962521957</v>
      </c>
      <c r="Y1024" s="3"/>
      <c r="Z1024" s="3"/>
      <c r="AA1024" s="3"/>
      <c r="AB1024" s="3"/>
    </row>
    <row r="1025" spans="1:28" x14ac:dyDescent="0.2">
      <c r="A1025">
        <v>1732</v>
      </c>
      <c r="B1025" t="s">
        <v>1770</v>
      </c>
      <c r="C1025" t="s">
        <v>18</v>
      </c>
      <c r="D1025" t="s">
        <v>19</v>
      </c>
      <c r="E1025" t="s">
        <v>41</v>
      </c>
      <c r="F1025" t="s">
        <v>33</v>
      </c>
      <c r="G1025" t="s">
        <v>25</v>
      </c>
      <c r="H1025" s="1">
        <v>335786</v>
      </c>
      <c r="I1025" s="3">
        <v>704</v>
      </c>
      <c r="J1025" s="3">
        <v>1159950</v>
      </c>
      <c r="K1025" s="3">
        <v>18462.490000000002</v>
      </c>
      <c r="L1025" s="2">
        <v>15.3</v>
      </c>
      <c r="M1025" s="11">
        <v>35.265240640000002</v>
      </c>
      <c r="N1025" s="3">
        <v>9</v>
      </c>
      <c r="O1025" s="3">
        <v>227810</v>
      </c>
      <c r="P1025" s="3">
        <v>436722</v>
      </c>
      <c r="Q1025" s="10">
        <v>2</v>
      </c>
      <c r="R1025" s="3">
        <f>(Таблица1[Размер кредита]-$AA$2)/$AA$3</f>
        <v>0.14911542772859873</v>
      </c>
      <c r="S1025" s="3">
        <f>(Таблица1[Кредитный рейтинг]-$AA$7)/($AA$8-$AA$7)</f>
        <v>0.93741677762982689</v>
      </c>
      <c r="T1025" s="3">
        <f>(Таблица1[Срок с последнего нарушения кредитного договора (мес,)]-$AA$12)/($AA$13-$AA$12)</f>
        <v>0.40074137090909095</v>
      </c>
      <c r="U1025" s="3">
        <f>(Таблица1[Количество кредитных карт]-$AA$18)/($AA$19-$AA$18)</f>
        <v>0.19047619047619047</v>
      </c>
      <c r="V1025" s="3">
        <f>(Таблица1[Число нарушений кредитных договоров]-$AA$23)/($AA$24-$AA$23)</f>
        <v>0.2857142857142857</v>
      </c>
      <c r="W1025" s="3">
        <f>Таблица1[[#This Row],[Годовой доход]]/12</f>
        <v>96662.5</v>
      </c>
      <c r="X1025" s="3">
        <f>Таблица1[[#This Row],[Ежемесячный платеж]]/Таблица1[[#This Row],[Ежем доход]]</f>
        <v>0.19099950859950862</v>
      </c>
      <c r="Y1025" s="3"/>
      <c r="Z1025" s="3"/>
      <c r="AA1025" s="3"/>
      <c r="AB1025" s="3"/>
    </row>
    <row r="1026" spans="1:28" x14ac:dyDescent="0.2">
      <c r="A1026">
        <v>735</v>
      </c>
      <c r="B1026" t="s">
        <v>776</v>
      </c>
      <c r="C1026" t="s">
        <v>18</v>
      </c>
      <c r="D1026" t="s">
        <v>29</v>
      </c>
      <c r="E1026" t="s">
        <v>47</v>
      </c>
      <c r="F1026" t="s">
        <v>21</v>
      </c>
      <c r="G1026" t="s">
        <v>22</v>
      </c>
      <c r="H1026" s="1">
        <v>560010</v>
      </c>
      <c r="I1026" s="3">
        <v>719</v>
      </c>
      <c r="J1026" s="3">
        <v>5701140</v>
      </c>
      <c r="K1026" s="3">
        <v>24942.44</v>
      </c>
      <c r="L1026" s="2">
        <v>8.4</v>
      </c>
      <c r="M1026" s="11">
        <v>35.265240640000002</v>
      </c>
      <c r="N1026" s="3">
        <v>9</v>
      </c>
      <c r="O1026" s="3">
        <v>76893</v>
      </c>
      <c r="P1026" s="3">
        <v>436414</v>
      </c>
      <c r="Q1026" s="10">
        <v>0</v>
      </c>
      <c r="R1026" s="3">
        <f>(Таблица1[Размер кредита]-$AA$2)/$AA$3</f>
        <v>1.425685644904374</v>
      </c>
      <c r="S1026" s="3">
        <f>(Таблица1[Кредитный рейтинг]-$AA$7)/($AA$8-$AA$7)</f>
        <v>0.95739014647137155</v>
      </c>
      <c r="T1026" s="3">
        <f>(Таблица1[Срок с последнего нарушения кредитного договора (мес,)]-$AA$12)/($AA$13-$AA$12)</f>
        <v>0.40074137090909095</v>
      </c>
      <c r="U1026" s="3">
        <f>(Таблица1[Количество кредитных карт]-$AA$18)/($AA$19-$AA$18)</f>
        <v>0.19047619047619047</v>
      </c>
      <c r="V1026" s="3">
        <f>(Таблица1[Число нарушений кредитных договоров]-$AA$23)/($AA$24-$AA$23)</f>
        <v>0</v>
      </c>
      <c r="W1026" s="3">
        <f>Таблица1[[#This Row],[Годовой доход]]/12</f>
        <v>475095</v>
      </c>
      <c r="X1026" s="3">
        <f>Таблица1[[#This Row],[Ежемесячный платеж]]/Таблица1[[#This Row],[Ежем доход]]</f>
        <v>5.2499900019996E-2</v>
      </c>
      <c r="Y1026" s="3"/>
      <c r="Z1026" s="3"/>
      <c r="AA1026" s="3"/>
      <c r="AB1026" s="3"/>
    </row>
    <row r="1027" spans="1:28" x14ac:dyDescent="0.2">
      <c r="A1027">
        <v>974</v>
      </c>
      <c r="B1027" t="s">
        <v>1014</v>
      </c>
      <c r="C1027" t="s">
        <v>18</v>
      </c>
      <c r="D1027" t="s">
        <v>19</v>
      </c>
      <c r="E1027" t="s">
        <v>41</v>
      </c>
      <c r="F1027" t="s">
        <v>33</v>
      </c>
      <c r="G1027" t="s">
        <v>25</v>
      </c>
      <c r="H1027" s="1">
        <v>183348</v>
      </c>
      <c r="I1027" s="3">
        <v>0</v>
      </c>
      <c r="J1027" s="3">
        <v>1168044</v>
      </c>
      <c r="K1027" s="3">
        <v>8708.65</v>
      </c>
      <c r="L1027" s="2">
        <v>19.399999999999999</v>
      </c>
      <c r="M1027" s="11">
        <v>35.265240640000002</v>
      </c>
      <c r="N1027" s="3">
        <v>5</v>
      </c>
      <c r="O1027" s="3">
        <v>154470</v>
      </c>
      <c r="P1027" s="3">
        <v>436260</v>
      </c>
      <c r="Q1027" s="10">
        <v>0</v>
      </c>
      <c r="R1027" s="3">
        <f>(Таблица1[Размер кредита]-$AA$2)/$AA$3</f>
        <v>-0.71875692655034029</v>
      </c>
      <c r="S1027" s="3">
        <f>(Таблица1[Кредитный рейтинг]-$AA$7)/($AA$8-$AA$7)</f>
        <v>0</v>
      </c>
      <c r="T1027" s="3">
        <f>(Таблица1[Срок с последнего нарушения кредитного договора (мес,)]-$AA$12)/($AA$13-$AA$12)</f>
        <v>0.40074137090909095</v>
      </c>
      <c r="U1027" s="3">
        <f>(Таблица1[Количество кредитных карт]-$AA$18)/($AA$19-$AA$18)</f>
        <v>9.5238095238095233E-2</v>
      </c>
      <c r="V1027" s="3">
        <f>(Таблица1[Число нарушений кредитных договоров]-$AA$23)/($AA$24-$AA$23)</f>
        <v>0</v>
      </c>
      <c r="W1027" s="3">
        <f>Таблица1[[#This Row],[Годовой доход]]/12</f>
        <v>97337</v>
      </c>
      <c r="X1027" s="3">
        <f>Таблица1[[#This Row],[Ежемесячный платеж]]/Таблица1[[#This Row],[Ежем доход]]</f>
        <v>8.9469061097013469E-2</v>
      </c>
      <c r="Y1027" s="3"/>
      <c r="Z1027" s="3"/>
      <c r="AA1027" s="3"/>
      <c r="AB1027" s="3"/>
    </row>
    <row r="1028" spans="1:28" x14ac:dyDescent="0.2">
      <c r="A1028">
        <v>558</v>
      </c>
      <c r="B1028" t="s">
        <v>599</v>
      </c>
      <c r="C1028" t="s">
        <v>18</v>
      </c>
      <c r="D1028" t="s">
        <v>19</v>
      </c>
      <c r="E1028" t="s">
        <v>47</v>
      </c>
      <c r="F1028" t="s">
        <v>21</v>
      </c>
      <c r="G1028" t="s">
        <v>22</v>
      </c>
      <c r="H1028" s="1">
        <v>130152</v>
      </c>
      <c r="I1028" s="3">
        <v>0</v>
      </c>
      <c r="J1028" s="3">
        <v>1168044</v>
      </c>
      <c r="K1028" s="3">
        <v>9727.6200000000008</v>
      </c>
      <c r="L1028" s="2">
        <v>21.3</v>
      </c>
      <c r="M1028" s="11">
        <v>35.265240640000002</v>
      </c>
      <c r="N1028" s="3">
        <v>6</v>
      </c>
      <c r="O1028" s="3">
        <v>109972</v>
      </c>
      <c r="P1028" s="3">
        <v>436084</v>
      </c>
      <c r="Q1028" s="10">
        <v>0</v>
      </c>
      <c r="R1028" s="3">
        <f>(Таблица1[Размер кредита]-$AA$2)/$AA$3</f>
        <v>-1.0216166974619401</v>
      </c>
      <c r="S1028" s="3">
        <f>(Таблица1[Кредитный рейтинг]-$AA$7)/($AA$8-$AA$7)</f>
        <v>0</v>
      </c>
      <c r="T1028" s="3">
        <f>(Таблица1[Срок с последнего нарушения кредитного договора (мес,)]-$AA$12)/($AA$13-$AA$12)</f>
        <v>0.40074137090909095</v>
      </c>
      <c r="U1028" s="3">
        <f>(Таблица1[Количество кредитных карт]-$AA$18)/($AA$19-$AA$18)</f>
        <v>0.11904761904761904</v>
      </c>
      <c r="V1028" s="3">
        <f>(Таблица1[Число нарушений кредитных договоров]-$AA$23)/($AA$24-$AA$23)</f>
        <v>0</v>
      </c>
      <c r="W1028" s="3">
        <f>Таблица1[[#This Row],[Годовой доход]]/12</f>
        <v>97337</v>
      </c>
      <c r="X1028" s="3">
        <f>Таблица1[[#This Row],[Ежемесячный платеж]]/Таблица1[[#This Row],[Ежем доход]]</f>
        <v>9.9937536599648658E-2</v>
      </c>
      <c r="Y1028" s="3"/>
      <c r="Z1028" s="3"/>
      <c r="AA1028" s="3"/>
      <c r="AB1028" s="3"/>
    </row>
    <row r="1029" spans="1:28" x14ac:dyDescent="0.2">
      <c r="A1029">
        <v>1052</v>
      </c>
      <c r="B1029" t="s">
        <v>1091</v>
      </c>
      <c r="C1029" t="s">
        <v>35</v>
      </c>
      <c r="D1029" t="s">
        <v>19</v>
      </c>
      <c r="E1029" t="s">
        <v>41</v>
      </c>
      <c r="F1029" t="s">
        <v>33</v>
      </c>
      <c r="G1029" t="s">
        <v>25</v>
      </c>
      <c r="H1029" s="1">
        <v>382690</v>
      </c>
      <c r="I1029" s="3">
        <v>730</v>
      </c>
      <c r="J1029" s="3">
        <v>756504</v>
      </c>
      <c r="K1029" s="3">
        <v>17147.5</v>
      </c>
      <c r="L1029" s="2">
        <v>13</v>
      </c>
      <c r="M1029" s="11">
        <v>78</v>
      </c>
      <c r="N1029" s="3">
        <v>10</v>
      </c>
      <c r="O1029" s="3">
        <v>165699</v>
      </c>
      <c r="P1029" s="3">
        <v>436018</v>
      </c>
      <c r="Q1029" s="10">
        <v>1</v>
      </c>
      <c r="R1029" s="3">
        <f>(Таблица1[Размер кредита]-$AA$2)/$AA$3</f>
        <v>0.41615307519904149</v>
      </c>
      <c r="S1029" s="3">
        <f>(Таблица1[Кредитный рейтинг]-$AA$7)/($AA$8-$AA$7)</f>
        <v>0.9720372836218375</v>
      </c>
      <c r="T1029" s="3">
        <f>(Таблица1[Срок с последнего нарушения кредитного договора (мес,)]-$AA$12)/($AA$13-$AA$12)</f>
        <v>0.88636363636363635</v>
      </c>
      <c r="U1029" s="3">
        <f>(Таблица1[Количество кредитных карт]-$AA$18)/($AA$19-$AA$18)</f>
        <v>0.21428571428571427</v>
      </c>
      <c r="V1029" s="3">
        <f>(Таблица1[Число нарушений кредитных договоров]-$AA$23)/($AA$24-$AA$23)</f>
        <v>0.14285714285714285</v>
      </c>
      <c r="W1029" s="3">
        <f>Таблица1[[#This Row],[Годовой доход]]/12</f>
        <v>63042</v>
      </c>
      <c r="X1029" s="3">
        <f>Таблица1[[#This Row],[Ежемесячный платеж]]/Таблица1[[#This Row],[Ежем доход]]</f>
        <v>0.27200120554550933</v>
      </c>
      <c r="Y1029" s="3"/>
      <c r="Z1029" s="3"/>
      <c r="AA1029" s="3"/>
      <c r="AB1029" s="3"/>
    </row>
    <row r="1030" spans="1:28" x14ac:dyDescent="0.2">
      <c r="A1030">
        <v>851</v>
      </c>
      <c r="B1030" t="s">
        <v>892</v>
      </c>
      <c r="C1030" t="s">
        <v>18</v>
      </c>
      <c r="D1030" t="s">
        <v>19</v>
      </c>
      <c r="E1030" t="s">
        <v>24</v>
      </c>
      <c r="F1030" t="s">
        <v>33</v>
      </c>
      <c r="G1030" t="s">
        <v>67</v>
      </c>
      <c r="H1030" s="1">
        <v>227722</v>
      </c>
      <c r="I1030" s="3">
        <v>673</v>
      </c>
      <c r="J1030" s="3">
        <v>578892</v>
      </c>
      <c r="K1030" s="3">
        <v>13314.63</v>
      </c>
      <c r="L1030" s="2">
        <v>22.3</v>
      </c>
      <c r="M1030" s="11">
        <v>35.265240640000002</v>
      </c>
      <c r="N1030" s="3">
        <v>11</v>
      </c>
      <c r="O1030" s="3">
        <v>167124</v>
      </c>
      <c r="P1030" s="3">
        <v>435798</v>
      </c>
      <c r="Q1030" s="10">
        <v>0</v>
      </c>
      <c r="R1030" s="3">
        <f>(Таблица1[Размер кредита]-$AA$2)/$AA$3</f>
        <v>-0.46612327976427881</v>
      </c>
      <c r="S1030" s="3">
        <f>(Таблица1[Кредитный рейтинг]-$AA$7)/($AA$8-$AA$7)</f>
        <v>0.89613848202396806</v>
      </c>
      <c r="T1030" s="3">
        <f>(Таблица1[Срок с последнего нарушения кредитного договора (мес,)]-$AA$12)/($AA$13-$AA$12)</f>
        <v>0.40074137090909095</v>
      </c>
      <c r="U1030" s="3">
        <f>(Таблица1[Количество кредитных карт]-$AA$18)/($AA$19-$AA$18)</f>
        <v>0.23809523809523808</v>
      </c>
      <c r="V1030" s="3">
        <f>(Таблица1[Число нарушений кредитных договоров]-$AA$23)/($AA$24-$AA$23)</f>
        <v>0</v>
      </c>
      <c r="W1030" s="3">
        <f>Таблица1[[#This Row],[Годовой доход]]/12</f>
        <v>48241</v>
      </c>
      <c r="X1030" s="3">
        <f>Таблица1[[#This Row],[Ежемесячный платеж]]/Таблица1[[#This Row],[Ежем доход]]</f>
        <v>0.27600236313509252</v>
      </c>
      <c r="Y1030" s="3"/>
      <c r="Z1030" s="3"/>
      <c r="AA1030" s="3"/>
      <c r="AB1030" s="3"/>
    </row>
    <row r="1031" spans="1:28" x14ac:dyDescent="0.2">
      <c r="A1031">
        <v>1885</v>
      </c>
      <c r="B1031" t="s">
        <v>1921</v>
      </c>
      <c r="C1031" t="s">
        <v>18</v>
      </c>
      <c r="D1031" t="s">
        <v>19</v>
      </c>
      <c r="E1031" t="s">
        <v>24</v>
      </c>
      <c r="F1031" t="s">
        <v>33</v>
      </c>
      <c r="G1031" t="s">
        <v>25</v>
      </c>
      <c r="H1031" s="1">
        <v>337040</v>
      </c>
      <c r="I1031" s="3">
        <v>724</v>
      </c>
      <c r="J1031" s="3">
        <v>1086667</v>
      </c>
      <c r="K1031" s="3">
        <v>9598.99</v>
      </c>
      <c r="L1031" s="2">
        <v>13.6</v>
      </c>
      <c r="M1031" s="11">
        <v>35.265240640000002</v>
      </c>
      <c r="N1031" s="3">
        <v>5</v>
      </c>
      <c r="O1031" s="3">
        <v>344014</v>
      </c>
      <c r="P1031" s="3">
        <v>435798</v>
      </c>
      <c r="Q1031" s="10">
        <v>0</v>
      </c>
      <c r="R1031" s="3">
        <f>(Таблица1[Размер кредита]-$AA$2)/$AA$3</f>
        <v>0.15625480198085728</v>
      </c>
      <c r="S1031" s="3">
        <f>(Таблица1[Кредитный рейтинг]-$AA$7)/($AA$8-$AA$7)</f>
        <v>0.96404793608521966</v>
      </c>
      <c r="T1031" s="3">
        <f>(Таблица1[Срок с последнего нарушения кредитного договора (мес,)]-$AA$12)/($AA$13-$AA$12)</f>
        <v>0.40074137090909095</v>
      </c>
      <c r="U1031" s="3">
        <f>(Таблица1[Количество кредитных карт]-$AA$18)/($AA$19-$AA$18)</f>
        <v>9.5238095238095233E-2</v>
      </c>
      <c r="V1031" s="3">
        <f>(Таблица1[Число нарушений кредитных договоров]-$AA$23)/($AA$24-$AA$23)</f>
        <v>0</v>
      </c>
      <c r="W1031" s="3">
        <f>Таблица1[[#This Row],[Годовой доход]]/12</f>
        <v>90555.583333333328</v>
      </c>
      <c r="X1031" s="3">
        <f>Таблица1[[#This Row],[Ежемесячный платеж]]/Таблица1[[#This Row],[Ежем доход]]</f>
        <v>0.10600108404874722</v>
      </c>
      <c r="Y1031" s="3"/>
      <c r="Z1031" s="3"/>
      <c r="AA1031" s="3"/>
      <c r="AB1031" s="3"/>
    </row>
    <row r="1032" spans="1:28" x14ac:dyDescent="0.2">
      <c r="A1032">
        <v>451</v>
      </c>
      <c r="B1032" t="s">
        <v>492</v>
      </c>
      <c r="C1032" t="s">
        <v>18</v>
      </c>
      <c r="D1032" t="s">
        <v>19</v>
      </c>
      <c r="E1032" t="s">
        <v>24</v>
      </c>
      <c r="F1032" t="s">
        <v>33</v>
      </c>
      <c r="G1032" t="s">
        <v>25</v>
      </c>
      <c r="H1032" s="1">
        <v>375650</v>
      </c>
      <c r="I1032" s="3">
        <v>724</v>
      </c>
      <c r="J1032" s="3">
        <v>768398</v>
      </c>
      <c r="K1032" s="3">
        <v>12857.68</v>
      </c>
      <c r="L1032" s="2">
        <v>19</v>
      </c>
      <c r="M1032" s="11">
        <v>35.265240640000002</v>
      </c>
      <c r="N1032" s="3">
        <v>10</v>
      </c>
      <c r="O1032" s="3">
        <v>254391</v>
      </c>
      <c r="P1032" s="3">
        <v>435072</v>
      </c>
      <c r="Q1032" s="10">
        <v>0</v>
      </c>
      <c r="R1032" s="3">
        <f>(Таблица1[Размер кредита]-$AA$2)/$AA$3</f>
        <v>0.37607237764250223</v>
      </c>
      <c r="S1032" s="3">
        <f>(Таблица1[Кредитный рейтинг]-$AA$7)/($AA$8-$AA$7)</f>
        <v>0.96404793608521966</v>
      </c>
      <c r="T1032" s="3">
        <f>(Таблица1[Срок с последнего нарушения кредитного договора (мес,)]-$AA$12)/($AA$13-$AA$12)</f>
        <v>0.40074137090909095</v>
      </c>
      <c r="U1032" s="3">
        <f>(Таблица1[Количество кредитных карт]-$AA$18)/($AA$19-$AA$18)</f>
        <v>0.21428571428571427</v>
      </c>
      <c r="V1032" s="3">
        <f>(Таблица1[Число нарушений кредитных договоров]-$AA$23)/($AA$24-$AA$23)</f>
        <v>0</v>
      </c>
      <c r="W1032" s="3">
        <f>Таблица1[[#This Row],[Годовой доход]]/12</f>
        <v>64033.166666666664</v>
      </c>
      <c r="X1032" s="3">
        <f>Таблица1[[#This Row],[Ежемесячный платеж]]/Таблица1[[#This Row],[Ежем доход]]</f>
        <v>0.20079719103901886</v>
      </c>
      <c r="Y1032" s="3"/>
      <c r="Z1032" s="3"/>
      <c r="AA1032" s="3"/>
      <c r="AB1032" s="3"/>
    </row>
    <row r="1033" spans="1:28" x14ac:dyDescent="0.2">
      <c r="A1033">
        <v>481</v>
      </c>
      <c r="B1033" t="s">
        <v>522</v>
      </c>
      <c r="C1033" t="s">
        <v>18</v>
      </c>
      <c r="D1033" t="s">
        <v>19</v>
      </c>
      <c r="E1033" t="s">
        <v>24</v>
      </c>
      <c r="F1033" t="s">
        <v>27</v>
      </c>
      <c r="G1033" t="s">
        <v>25</v>
      </c>
      <c r="H1033" s="1">
        <v>309594.52439999999</v>
      </c>
      <c r="I1033" s="3">
        <v>729</v>
      </c>
      <c r="J1033" s="3">
        <v>594301</v>
      </c>
      <c r="K1033" s="3">
        <v>8468.8700000000008</v>
      </c>
      <c r="L1033" s="2">
        <v>35.9</v>
      </c>
      <c r="M1033" s="11">
        <v>20</v>
      </c>
      <c r="N1033" s="3">
        <v>12</v>
      </c>
      <c r="O1033" s="3">
        <v>220001</v>
      </c>
      <c r="P1033" s="3">
        <v>434698</v>
      </c>
      <c r="Q1033" s="10">
        <v>3</v>
      </c>
      <c r="R1033" s="3">
        <f>(Таблица1[Размер кредита]-$AA$2)/$AA$3</f>
        <v>-1.2411115481956205E-10</v>
      </c>
      <c r="S1033" s="3">
        <f>(Таблица1[Кредитный рейтинг]-$AA$7)/($AA$8-$AA$7)</f>
        <v>0.97070572569906788</v>
      </c>
      <c r="T1033" s="3">
        <f>(Таблица1[Срок с последнего нарушения кредитного договора (мес,)]-$AA$12)/($AA$13-$AA$12)</f>
        <v>0.22727272727272727</v>
      </c>
      <c r="U1033" s="3">
        <f>(Таблица1[Количество кредитных карт]-$AA$18)/($AA$19-$AA$18)</f>
        <v>0.26190476190476192</v>
      </c>
      <c r="V1033" s="3">
        <f>(Таблица1[Число нарушений кредитных договоров]-$AA$23)/($AA$24-$AA$23)</f>
        <v>0.42857142857142855</v>
      </c>
      <c r="W1033" s="3">
        <f>Таблица1[[#This Row],[Годовой доход]]/12</f>
        <v>49525.083333333336</v>
      </c>
      <c r="X1033" s="3">
        <f>Таблица1[[#This Row],[Ежемесячный платеж]]/Таблица1[[#This Row],[Ежем доход]]</f>
        <v>0.17100163048690817</v>
      </c>
      <c r="Y1033" s="3"/>
      <c r="Z1033" s="3"/>
      <c r="AA1033" s="3"/>
      <c r="AB1033" s="3"/>
    </row>
    <row r="1034" spans="1:28" x14ac:dyDescent="0.2">
      <c r="A1034">
        <v>72</v>
      </c>
      <c r="B1034" t="s">
        <v>114</v>
      </c>
      <c r="C1034" t="s">
        <v>18</v>
      </c>
      <c r="D1034" t="s">
        <v>19</v>
      </c>
      <c r="E1034" t="s">
        <v>24</v>
      </c>
      <c r="F1034" t="s">
        <v>33</v>
      </c>
      <c r="G1034" t="s">
        <v>25</v>
      </c>
      <c r="H1034" s="1">
        <v>162360</v>
      </c>
      <c r="I1034" s="3">
        <v>720</v>
      </c>
      <c r="J1034" s="3">
        <v>486875</v>
      </c>
      <c r="K1034" s="3">
        <v>8560.83</v>
      </c>
      <c r="L1034" s="2">
        <v>15.1</v>
      </c>
      <c r="M1034" s="11">
        <v>46</v>
      </c>
      <c r="N1034" s="3">
        <v>16</v>
      </c>
      <c r="O1034" s="3">
        <v>129504</v>
      </c>
      <c r="P1034" s="3">
        <v>434654</v>
      </c>
      <c r="Q1034" s="10">
        <v>0</v>
      </c>
      <c r="R1034" s="3">
        <f>(Таблица1[Размер кредита]-$AA$2)/$AA$3</f>
        <v>-0.83824750614077292</v>
      </c>
      <c r="S1034" s="3">
        <f>(Таблица1[Кредитный рейтинг]-$AA$7)/($AA$8-$AA$7)</f>
        <v>0.95872170439414117</v>
      </c>
      <c r="T1034" s="3">
        <f>(Таблица1[Срок с последнего нарушения кредитного договора (мес,)]-$AA$12)/($AA$13-$AA$12)</f>
        <v>0.52272727272727271</v>
      </c>
      <c r="U1034" s="3">
        <f>(Таблица1[Количество кредитных карт]-$AA$18)/($AA$19-$AA$18)</f>
        <v>0.35714285714285715</v>
      </c>
      <c r="V1034" s="3">
        <f>(Таблица1[Число нарушений кредитных договоров]-$AA$23)/($AA$24-$AA$23)</f>
        <v>0</v>
      </c>
      <c r="W1034" s="3">
        <f>Таблица1[[#This Row],[Годовой доход]]/12</f>
        <v>40572.916666666664</v>
      </c>
      <c r="X1034" s="3">
        <f>Таблица1[[#This Row],[Ежемесячный платеж]]/Таблица1[[#This Row],[Ежем доход]]</f>
        <v>0.21099863414634148</v>
      </c>
      <c r="Y1034" s="3"/>
      <c r="Z1034" s="3"/>
      <c r="AA1034" s="3"/>
      <c r="AB1034" s="3"/>
    </row>
    <row r="1035" spans="1:28" x14ac:dyDescent="0.2">
      <c r="A1035">
        <v>1072</v>
      </c>
      <c r="B1035" t="s">
        <v>1111</v>
      </c>
      <c r="C1035" t="s">
        <v>18</v>
      </c>
      <c r="D1035" t="s">
        <v>19</v>
      </c>
      <c r="E1035" t="s">
        <v>24</v>
      </c>
      <c r="F1035" t="s">
        <v>33</v>
      </c>
      <c r="G1035" t="s">
        <v>25</v>
      </c>
      <c r="H1035" s="1">
        <v>268840</v>
      </c>
      <c r="I1035" s="3">
        <v>738</v>
      </c>
      <c r="J1035" s="3">
        <v>1528474</v>
      </c>
      <c r="K1035" s="3">
        <v>30187.200000000001</v>
      </c>
      <c r="L1035" s="2">
        <v>27.4</v>
      </c>
      <c r="M1035" s="11">
        <v>59</v>
      </c>
      <c r="N1035" s="3">
        <v>11</v>
      </c>
      <c r="O1035" s="3">
        <v>250268</v>
      </c>
      <c r="P1035" s="3">
        <v>434456</v>
      </c>
      <c r="Q1035" s="10">
        <v>2</v>
      </c>
      <c r="R1035" s="3">
        <f>(Таблица1[Размер кредита]-$AA$2)/$AA$3</f>
        <v>-0.2320269555981167</v>
      </c>
      <c r="S1035" s="3">
        <f>(Таблица1[Кредитный рейтинг]-$AA$7)/($AA$8-$AA$7)</f>
        <v>0.9826897470039947</v>
      </c>
      <c r="T1035" s="3">
        <f>(Таблица1[Срок с последнего нарушения кредитного договора (мес,)]-$AA$12)/($AA$13-$AA$12)</f>
        <v>0.67045454545454541</v>
      </c>
      <c r="U1035" s="3">
        <f>(Таблица1[Количество кредитных карт]-$AA$18)/($AA$19-$AA$18)</f>
        <v>0.23809523809523808</v>
      </c>
      <c r="V1035" s="3">
        <f>(Таблица1[Число нарушений кредитных договоров]-$AA$23)/($AA$24-$AA$23)</f>
        <v>0.2857142857142857</v>
      </c>
      <c r="W1035" s="3">
        <f>Таблица1[[#This Row],[Годовой доход]]/12</f>
        <v>127372.83333333333</v>
      </c>
      <c r="X1035" s="3">
        <f>Таблица1[[#This Row],[Ежемесячный платеж]]/Таблица1[[#This Row],[Ежем доход]]</f>
        <v>0.23699873206871691</v>
      </c>
      <c r="Y1035" s="3"/>
      <c r="Z1035" s="3"/>
      <c r="AA1035" s="3"/>
      <c r="AB1035" s="3"/>
    </row>
    <row r="1036" spans="1:28" x14ac:dyDescent="0.2">
      <c r="A1036">
        <v>328</v>
      </c>
      <c r="B1036" t="s">
        <v>370</v>
      </c>
      <c r="C1036" t="s">
        <v>18</v>
      </c>
      <c r="D1036" t="s">
        <v>29</v>
      </c>
      <c r="E1036" t="s">
        <v>37</v>
      </c>
      <c r="F1036" t="s">
        <v>27</v>
      </c>
      <c r="G1036" t="s">
        <v>25</v>
      </c>
      <c r="H1036" s="1">
        <v>616902</v>
      </c>
      <c r="I1036" s="3">
        <v>647</v>
      </c>
      <c r="J1036" s="3">
        <v>1405772</v>
      </c>
      <c r="K1036" s="3">
        <v>18626.27</v>
      </c>
      <c r="L1036" s="2">
        <v>17.899999999999999</v>
      </c>
      <c r="M1036" s="11">
        <v>64</v>
      </c>
      <c r="N1036" s="3">
        <v>4</v>
      </c>
      <c r="O1036" s="3">
        <v>317338</v>
      </c>
      <c r="P1036" s="3">
        <v>433818</v>
      </c>
      <c r="Q1036" s="10">
        <v>0</v>
      </c>
      <c r="R1036" s="3">
        <f>(Таблица1[Размер кредита]-$AA$2)/$AA$3</f>
        <v>1.7495877820331567</v>
      </c>
      <c r="S1036" s="3">
        <f>(Таблица1[Кредитный рейтинг]-$AA$7)/($AA$8-$AA$7)</f>
        <v>0.86151797603195734</v>
      </c>
      <c r="T1036" s="3">
        <f>(Таблица1[Срок с последнего нарушения кредитного договора (мес,)]-$AA$12)/($AA$13-$AA$12)</f>
        <v>0.72727272727272729</v>
      </c>
      <c r="U1036" s="3">
        <f>(Таблица1[Количество кредитных карт]-$AA$18)/($AA$19-$AA$18)</f>
        <v>7.1428571428571425E-2</v>
      </c>
      <c r="V1036" s="3">
        <f>(Таблица1[Число нарушений кредитных договоров]-$AA$23)/($AA$24-$AA$23)</f>
        <v>0</v>
      </c>
      <c r="W1036" s="3">
        <f>Таблица1[[#This Row],[Годовой доход]]/12</f>
        <v>117147.66666666667</v>
      </c>
      <c r="X1036" s="3">
        <f>Таблица1[[#This Row],[Ежемесячный платеж]]/Таблица1[[#This Row],[Ежем доход]]</f>
        <v>0.15899821592690705</v>
      </c>
      <c r="Y1036" s="3"/>
      <c r="Z1036" s="3"/>
      <c r="AA1036" s="3"/>
      <c r="AB1036" s="3"/>
    </row>
    <row r="1037" spans="1:28" x14ac:dyDescent="0.2">
      <c r="A1037">
        <v>1253</v>
      </c>
      <c r="B1037" t="s">
        <v>1292</v>
      </c>
      <c r="C1037" t="s">
        <v>18</v>
      </c>
      <c r="D1037" t="s">
        <v>19</v>
      </c>
      <c r="E1037" t="s">
        <v>37</v>
      </c>
      <c r="F1037" t="s">
        <v>21</v>
      </c>
      <c r="G1037" t="s">
        <v>25</v>
      </c>
      <c r="H1037" s="1">
        <v>309594.52439999999</v>
      </c>
      <c r="I1037" s="3">
        <v>738</v>
      </c>
      <c r="J1037" s="3">
        <v>1147524</v>
      </c>
      <c r="K1037" s="3">
        <v>27731.83</v>
      </c>
      <c r="L1037" s="2">
        <v>11.4</v>
      </c>
      <c r="M1037" s="11">
        <v>3</v>
      </c>
      <c r="N1037" s="3">
        <v>16</v>
      </c>
      <c r="O1037" s="3">
        <v>143488</v>
      </c>
      <c r="P1037" s="3">
        <v>433752</v>
      </c>
      <c r="Q1037" s="10">
        <v>0</v>
      </c>
      <c r="R1037" s="3">
        <f>(Таблица1[Размер кредита]-$AA$2)/$AA$3</f>
        <v>-1.2411115481956205E-10</v>
      </c>
      <c r="S1037" s="3">
        <f>(Таблица1[Кредитный рейтинг]-$AA$7)/($AA$8-$AA$7)</f>
        <v>0.9826897470039947</v>
      </c>
      <c r="T1037" s="3">
        <f>(Таблица1[Срок с последнего нарушения кредитного договора (мес,)]-$AA$12)/($AA$13-$AA$12)</f>
        <v>3.4090909090909088E-2</v>
      </c>
      <c r="U1037" s="3">
        <f>(Таблица1[Количество кредитных карт]-$AA$18)/($AA$19-$AA$18)</f>
        <v>0.35714285714285715</v>
      </c>
      <c r="V1037" s="3">
        <f>(Таблица1[Число нарушений кредитных договоров]-$AA$23)/($AA$24-$AA$23)</f>
        <v>0</v>
      </c>
      <c r="W1037" s="3">
        <f>Таблица1[[#This Row],[Годовой доход]]/12</f>
        <v>95627</v>
      </c>
      <c r="X1037" s="3">
        <f>Таблица1[[#This Row],[Ежемесячный платеж]]/Таблица1[[#This Row],[Ежем доход]]</f>
        <v>0.29000000000000004</v>
      </c>
      <c r="Y1037" s="3"/>
      <c r="Z1037" s="3"/>
      <c r="AA1037" s="3"/>
      <c r="AB1037" s="3"/>
    </row>
    <row r="1038" spans="1:28" x14ac:dyDescent="0.2">
      <c r="A1038">
        <v>86</v>
      </c>
      <c r="B1038" t="s">
        <v>128</v>
      </c>
      <c r="C1038" t="s">
        <v>18</v>
      </c>
      <c r="D1038" t="s">
        <v>29</v>
      </c>
      <c r="E1038" t="s">
        <v>30</v>
      </c>
      <c r="F1038" t="s">
        <v>33</v>
      </c>
      <c r="G1038" t="s">
        <v>67</v>
      </c>
      <c r="H1038" s="1">
        <v>498586</v>
      </c>
      <c r="I1038" s="3">
        <v>666</v>
      </c>
      <c r="J1038" s="3">
        <v>1351679</v>
      </c>
      <c r="K1038" s="3">
        <v>32214.880000000001</v>
      </c>
      <c r="L1038" s="2">
        <v>12.2</v>
      </c>
      <c r="M1038" s="11">
        <v>35.265240640000002</v>
      </c>
      <c r="N1038" s="3">
        <v>15</v>
      </c>
      <c r="O1038" s="3">
        <v>205637</v>
      </c>
      <c r="P1038" s="3">
        <v>433686</v>
      </c>
      <c r="Q1038" s="10">
        <v>0</v>
      </c>
      <c r="R1038" s="3">
        <f>(Таблица1[Размер кредита]-$AA$2)/$AA$3</f>
        <v>1.075981558723569</v>
      </c>
      <c r="S1038" s="3">
        <f>(Таблица1[Кредитный рейтинг]-$AA$7)/($AA$8-$AA$7)</f>
        <v>0.8868175765645806</v>
      </c>
      <c r="T1038" s="3">
        <f>(Таблица1[Срок с последнего нарушения кредитного договора (мес,)]-$AA$12)/($AA$13-$AA$12)</f>
        <v>0.40074137090909095</v>
      </c>
      <c r="U1038" s="3">
        <f>(Таблица1[Количество кредитных карт]-$AA$18)/($AA$19-$AA$18)</f>
        <v>0.33333333333333331</v>
      </c>
      <c r="V1038" s="3">
        <f>(Таблица1[Число нарушений кредитных договоров]-$AA$23)/($AA$24-$AA$23)</f>
        <v>0</v>
      </c>
      <c r="W1038" s="3">
        <f>Таблица1[[#This Row],[Годовой доход]]/12</f>
        <v>112639.91666666667</v>
      </c>
      <c r="X1038" s="3">
        <f>Таблица1[[#This Row],[Ежемесячный платеж]]/Таблица1[[#This Row],[Ежем доход]]</f>
        <v>0.28599879113310184</v>
      </c>
      <c r="Y1038" s="3"/>
      <c r="Z1038" s="3"/>
      <c r="AA1038" s="3"/>
      <c r="AB1038" s="3"/>
    </row>
    <row r="1039" spans="1:28" x14ac:dyDescent="0.2">
      <c r="A1039">
        <v>942</v>
      </c>
      <c r="B1039" t="s">
        <v>983</v>
      </c>
      <c r="C1039" t="s">
        <v>18</v>
      </c>
      <c r="D1039" t="s">
        <v>19</v>
      </c>
      <c r="E1039" t="s">
        <v>24</v>
      </c>
      <c r="F1039" t="s">
        <v>21</v>
      </c>
      <c r="G1039" t="s">
        <v>25</v>
      </c>
      <c r="H1039" s="1">
        <v>375298</v>
      </c>
      <c r="I1039" s="3">
        <v>728</v>
      </c>
      <c r="J1039" s="3">
        <v>926041</v>
      </c>
      <c r="K1039" s="3">
        <v>17054.59</v>
      </c>
      <c r="L1039" s="2">
        <v>27.9</v>
      </c>
      <c r="M1039" s="11">
        <v>17</v>
      </c>
      <c r="N1039" s="3">
        <v>12</v>
      </c>
      <c r="O1039" s="3">
        <v>319751</v>
      </c>
      <c r="P1039" s="3">
        <v>433532</v>
      </c>
      <c r="Q1039" s="10">
        <v>0</v>
      </c>
      <c r="R1039" s="3">
        <f>(Таблица1[Размер кредита]-$AA$2)/$AA$3</f>
        <v>0.37406834276467532</v>
      </c>
      <c r="S1039" s="3">
        <f>(Таблица1[Кредитный рейтинг]-$AA$7)/($AA$8-$AA$7)</f>
        <v>0.96937416777629826</v>
      </c>
      <c r="T1039" s="3">
        <f>(Таблица1[Срок с последнего нарушения кредитного договора (мес,)]-$AA$12)/($AA$13-$AA$12)</f>
        <v>0.19318181818181818</v>
      </c>
      <c r="U1039" s="3">
        <f>(Таблица1[Количество кредитных карт]-$AA$18)/($AA$19-$AA$18)</f>
        <v>0.26190476190476192</v>
      </c>
      <c r="V1039" s="3">
        <f>(Таблица1[Число нарушений кредитных договоров]-$AA$23)/($AA$24-$AA$23)</f>
        <v>0</v>
      </c>
      <c r="W1039" s="3">
        <f>Таблица1[[#This Row],[Годовой доход]]/12</f>
        <v>77170.083333333328</v>
      </c>
      <c r="X1039" s="3">
        <f>Таблица1[[#This Row],[Ежемесячный платеж]]/Таблица1[[#This Row],[Ежем доход]]</f>
        <v>0.2210000205174501</v>
      </c>
      <c r="Y1039" s="3"/>
      <c r="Z1039" s="3"/>
      <c r="AA1039" s="3"/>
      <c r="AB1039" s="3"/>
    </row>
    <row r="1040" spans="1:28" x14ac:dyDescent="0.2">
      <c r="A1040">
        <v>396</v>
      </c>
      <c r="B1040" t="s">
        <v>438</v>
      </c>
      <c r="C1040" t="s">
        <v>18</v>
      </c>
      <c r="D1040" t="s">
        <v>19</v>
      </c>
      <c r="E1040" t="s">
        <v>24</v>
      </c>
      <c r="F1040" t="s">
        <v>33</v>
      </c>
      <c r="G1040" t="s">
        <v>25</v>
      </c>
      <c r="H1040" s="1">
        <v>294580</v>
      </c>
      <c r="I1040" s="3">
        <v>744</v>
      </c>
      <c r="J1040" s="3">
        <v>1734624</v>
      </c>
      <c r="K1040" s="3">
        <v>8051.63</v>
      </c>
      <c r="L1040" s="2">
        <v>17.8</v>
      </c>
      <c r="M1040" s="11">
        <v>6</v>
      </c>
      <c r="N1040" s="3">
        <v>12</v>
      </c>
      <c r="O1040" s="3">
        <v>229007</v>
      </c>
      <c r="P1040" s="3">
        <v>433290</v>
      </c>
      <c r="Q1040" s="10">
        <v>0</v>
      </c>
      <c r="R1040" s="3">
        <f>(Таблица1[Размер кредита]-$AA$2)/$AA$3</f>
        <v>-8.5481905157020074E-2</v>
      </c>
      <c r="S1040" s="3">
        <f>(Таблица1[Кредитный рейтинг]-$AA$7)/($AA$8-$AA$7)</f>
        <v>0.99067909454061254</v>
      </c>
      <c r="T1040" s="3">
        <f>(Таблица1[Срок с последнего нарушения кредитного договора (мес,)]-$AA$12)/($AA$13-$AA$12)</f>
        <v>6.8181818181818177E-2</v>
      </c>
      <c r="U1040" s="3">
        <f>(Таблица1[Количество кредитных карт]-$AA$18)/($AA$19-$AA$18)</f>
        <v>0.26190476190476192</v>
      </c>
      <c r="V1040" s="3">
        <f>(Таблица1[Число нарушений кредитных договоров]-$AA$23)/($AA$24-$AA$23)</f>
        <v>0</v>
      </c>
      <c r="W1040" s="3">
        <f>Таблица1[[#This Row],[Годовой доход]]/12</f>
        <v>144552</v>
      </c>
      <c r="X1040" s="3">
        <f>Таблица1[[#This Row],[Ежемесячный платеж]]/Таблица1[[#This Row],[Ежем доход]]</f>
        <v>5.5700578338590954E-2</v>
      </c>
      <c r="Y1040" s="3"/>
      <c r="Z1040" s="3"/>
      <c r="AA1040" s="3"/>
      <c r="AB1040" s="3"/>
    </row>
    <row r="1041" spans="1:28" x14ac:dyDescent="0.2">
      <c r="A1041">
        <v>858</v>
      </c>
      <c r="B1041" t="s">
        <v>899</v>
      </c>
      <c r="C1041" t="s">
        <v>35</v>
      </c>
      <c r="D1041" t="s">
        <v>19</v>
      </c>
      <c r="E1041" t="s">
        <v>32</v>
      </c>
      <c r="F1041" t="s">
        <v>33</v>
      </c>
      <c r="G1041" t="s">
        <v>25</v>
      </c>
      <c r="H1041" s="1">
        <v>391314</v>
      </c>
      <c r="I1041" s="3">
        <v>0</v>
      </c>
      <c r="J1041" s="3">
        <v>1168044</v>
      </c>
      <c r="K1041" s="3">
        <v>19341.05</v>
      </c>
      <c r="L1041" s="2">
        <v>12.4</v>
      </c>
      <c r="M1041" s="11">
        <v>35.265240640000002</v>
      </c>
      <c r="N1041" s="3">
        <v>18</v>
      </c>
      <c r="O1041" s="3">
        <v>349771</v>
      </c>
      <c r="P1041" s="3">
        <v>433136</v>
      </c>
      <c r="Q1041" s="10">
        <v>0</v>
      </c>
      <c r="R1041" s="3">
        <f>(Таблица1[Размер кредита]-$AA$2)/$AA$3</f>
        <v>0.46525192970580209</v>
      </c>
      <c r="S1041" s="3">
        <f>(Таблица1[Кредитный рейтинг]-$AA$7)/($AA$8-$AA$7)</f>
        <v>0</v>
      </c>
      <c r="T1041" s="3">
        <f>(Таблица1[Срок с последнего нарушения кредитного договора (мес,)]-$AA$12)/($AA$13-$AA$12)</f>
        <v>0.40074137090909095</v>
      </c>
      <c r="U1041" s="3">
        <f>(Таблица1[Количество кредитных карт]-$AA$18)/($AA$19-$AA$18)</f>
        <v>0.40476190476190477</v>
      </c>
      <c r="V1041" s="3">
        <f>(Таблица1[Число нарушений кредитных договоров]-$AA$23)/($AA$24-$AA$23)</f>
        <v>0</v>
      </c>
      <c r="W1041" s="3">
        <f>Таблица1[[#This Row],[Годовой доход]]/12</f>
        <v>97337</v>
      </c>
      <c r="X1041" s="3">
        <f>Таблица1[[#This Row],[Ежемесячный платеж]]/Таблица1[[#This Row],[Ежем доход]]</f>
        <v>0.19870193246144835</v>
      </c>
      <c r="Y1041" s="3"/>
      <c r="Z1041" s="3"/>
      <c r="AA1041" s="3"/>
      <c r="AB1041" s="3"/>
    </row>
    <row r="1042" spans="1:28" x14ac:dyDescent="0.2">
      <c r="A1042">
        <v>950</v>
      </c>
      <c r="B1042" t="s">
        <v>991</v>
      </c>
      <c r="C1042" t="s">
        <v>35</v>
      </c>
      <c r="D1042" t="s">
        <v>29</v>
      </c>
      <c r="E1042" t="s">
        <v>24</v>
      </c>
      <c r="F1042" t="s">
        <v>21</v>
      </c>
      <c r="G1042" t="s">
        <v>22</v>
      </c>
      <c r="H1042" s="1">
        <v>391248</v>
      </c>
      <c r="I1042" s="3">
        <v>669</v>
      </c>
      <c r="J1042" s="3">
        <v>1392719</v>
      </c>
      <c r="K1042" s="3">
        <v>33773.26</v>
      </c>
      <c r="L1042" s="2">
        <v>14.9</v>
      </c>
      <c r="M1042" s="11">
        <v>35.265240640000002</v>
      </c>
      <c r="N1042" s="3">
        <v>18</v>
      </c>
      <c r="O1042" s="3">
        <v>336775</v>
      </c>
      <c r="P1042" s="3">
        <v>432784</v>
      </c>
      <c r="Q1042" s="10">
        <v>0</v>
      </c>
      <c r="R1042" s="3">
        <f>(Таблица1[Размер кредита]-$AA$2)/$AA$3</f>
        <v>0.46487617316620955</v>
      </c>
      <c r="S1042" s="3">
        <f>(Таблица1[Кредитный рейтинг]-$AA$7)/($AA$8-$AA$7)</f>
        <v>0.89081225033288947</v>
      </c>
      <c r="T1042" s="3">
        <f>(Таблица1[Срок с последнего нарушения кредитного договора (мес,)]-$AA$12)/($AA$13-$AA$12)</f>
        <v>0.40074137090909095</v>
      </c>
      <c r="U1042" s="3">
        <f>(Таблица1[Количество кредитных карт]-$AA$18)/($AA$19-$AA$18)</f>
        <v>0.40476190476190477</v>
      </c>
      <c r="V1042" s="3">
        <f>(Таблица1[Число нарушений кредитных договоров]-$AA$23)/($AA$24-$AA$23)</f>
        <v>0</v>
      </c>
      <c r="W1042" s="3">
        <f>Таблица1[[#This Row],[Годовой доход]]/12</f>
        <v>116059.91666666667</v>
      </c>
      <c r="X1042" s="3">
        <f>Таблица1[[#This Row],[Ежемесячный платеж]]/Таблица1[[#This Row],[Ежем доход]]</f>
        <v>0.29099848569596598</v>
      </c>
      <c r="Y1042" s="3"/>
      <c r="Z1042" s="3"/>
      <c r="AA1042" s="3"/>
      <c r="AB1042" s="3"/>
    </row>
    <row r="1043" spans="1:28" x14ac:dyDescent="0.2">
      <c r="A1043">
        <v>752</v>
      </c>
      <c r="B1043" t="s">
        <v>793</v>
      </c>
      <c r="C1043" t="s">
        <v>18</v>
      </c>
      <c r="D1043" t="s">
        <v>29</v>
      </c>
      <c r="E1043" t="s">
        <v>32</v>
      </c>
      <c r="F1043" t="s">
        <v>21</v>
      </c>
      <c r="G1043" t="s">
        <v>25</v>
      </c>
      <c r="H1043" s="1">
        <v>540364</v>
      </c>
      <c r="I1043" s="3">
        <v>723</v>
      </c>
      <c r="J1043" s="3">
        <v>3387244</v>
      </c>
      <c r="K1043" s="3">
        <v>29920.82</v>
      </c>
      <c r="L1043" s="2">
        <v>12.6</v>
      </c>
      <c r="M1043" s="11">
        <v>39</v>
      </c>
      <c r="N1043" s="3">
        <v>6</v>
      </c>
      <c r="O1043" s="3">
        <v>255987</v>
      </c>
      <c r="P1043" s="3">
        <v>432080</v>
      </c>
      <c r="Q1043" s="10">
        <v>0</v>
      </c>
      <c r="R1043" s="3">
        <f>(Таблица1[Размер кредита]-$AA$2)/$AA$3</f>
        <v>1.3138354482856567</v>
      </c>
      <c r="S1043" s="3">
        <f>(Таблица1[Кредитный рейтинг]-$AA$7)/($AA$8-$AA$7)</f>
        <v>0.96271637816245004</v>
      </c>
      <c r="T1043" s="3">
        <f>(Таблица1[Срок с последнего нарушения кредитного договора (мес,)]-$AA$12)/($AA$13-$AA$12)</f>
        <v>0.44318181818181818</v>
      </c>
      <c r="U1043" s="3">
        <f>(Таблица1[Количество кредитных карт]-$AA$18)/($AA$19-$AA$18)</f>
        <v>0.11904761904761904</v>
      </c>
      <c r="V1043" s="3">
        <f>(Таблица1[Число нарушений кредитных договоров]-$AA$23)/($AA$24-$AA$23)</f>
        <v>0</v>
      </c>
      <c r="W1043" s="3">
        <f>Таблица1[[#This Row],[Годовой доход]]/12</f>
        <v>282270.33333333331</v>
      </c>
      <c r="X1043" s="3">
        <f>Таблица1[[#This Row],[Ежемесячный платеж]]/Таблица1[[#This Row],[Ежем доход]]</f>
        <v>0.10600058336511926</v>
      </c>
      <c r="Y1043" s="3"/>
      <c r="Z1043" s="3"/>
      <c r="AA1043" s="3"/>
      <c r="AB1043" s="3"/>
    </row>
    <row r="1044" spans="1:28" x14ac:dyDescent="0.2">
      <c r="A1044">
        <v>1853</v>
      </c>
      <c r="B1044" t="s">
        <v>1890</v>
      </c>
      <c r="C1044" t="s">
        <v>18</v>
      </c>
      <c r="D1044" t="s">
        <v>19</v>
      </c>
      <c r="E1044" t="s">
        <v>52</v>
      </c>
      <c r="F1044" t="s">
        <v>21</v>
      </c>
      <c r="G1044" t="s">
        <v>25</v>
      </c>
      <c r="H1044" s="1">
        <v>309594.52439999999</v>
      </c>
      <c r="I1044" s="3">
        <v>749</v>
      </c>
      <c r="J1044" s="3">
        <v>1025981</v>
      </c>
      <c r="K1044" s="3">
        <v>19151.62</v>
      </c>
      <c r="L1044" s="2">
        <v>13.1</v>
      </c>
      <c r="M1044" s="11">
        <v>35.265240640000002</v>
      </c>
      <c r="N1044" s="3">
        <v>8</v>
      </c>
      <c r="O1044" s="3">
        <v>144267</v>
      </c>
      <c r="P1044" s="3">
        <v>431640</v>
      </c>
      <c r="Q1044" s="10">
        <v>0</v>
      </c>
      <c r="R1044" s="3">
        <f>(Таблица1[Размер кредита]-$AA$2)/$AA$3</f>
        <v>-1.2411115481956205E-10</v>
      </c>
      <c r="S1044" s="3">
        <f>(Таблица1[Кредитный рейтинг]-$AA$7)/($AA$8-$AA$7)</f>
        <v>0.99733688415446076</v>
      </c>
      <c r="T1044" s="3">
        <f>(Таблица1[Срок с последнего нарушения кредитного договора (мес,)]-$AA$12)/($AA$13-$AA$12)</f>
        <v>0.40074137090909095</v>
      </c>
      <c r="U1044" s="3">
        <f>(Таблица1[Количество кредитных карт]-$AA$18)/($AA$19-$AA$18)</f>
        <v>0.16666666666666666</v>
      </c>
      <c r="V1044" s="3">
        <f>(Таблица1[Число нарушений кредитных договоров]-$AA$23)/($AA$24-$AA$23)</f>
        <v>0</v>
      </c>
      <c r="W1044" s="3">
        <f>Таблица1[[#This Row],[Годовой доход]]/12</f>
        <v>85498.416666666672</v>
      </c>
      <c r="X1044" s="3">
        <f>Таблица1[[#This Row],[Ежемесячный платеж]]/Таблица1[[#This Row],[Ежем доход]]</f>
        <v>0.22399970369821662</v>
      </c>
      <c r="Y1044" s="3"/>
      <c r="Z1044" s="3"/>
      <c r="AA1044" s="3"/>
      <c r="AB1044" s="3"/>
    </row>
    <row r="1045" spans="1:28" x14ac:dyDescent="0.2">
      <c r="A1045">
        <v>1151</v>
      </c>
      <c r="B1045" t="s">
        <v>1190</v>
      </c>
      <c r="C1045" t="s">
        <v>18</v>
      </c>
      <c r="D1045" t="s">
        <v>19</v>
      </c>
      <c r="E1045" t="s">
        <v>47</v>
      </c>
      <c r="F1045" t="s">
        <v>33</v>
      </c>
      <c r="G1045" t="s">
        <v>25</v>
      </c>
      <c r="H1045" s="1">
        <v>287408</v>
      </c>
      <c r="I1045" s="3">
        <v>747</v>
      </c>
      <c r="J1045" s="3">
        <v>754566</v>
      </c>
      <c r="K1045" s="3">
        <v>5652.88</v>
      </c>
      <c r="L1045" s="2">
        <v>15.4</v>
      </c>
      <c r="M1045" s="11">
        <v>35.265240640000002</v>
      </c>
      <c r="N1045" s="3">
        <v>6</v>
      </c>
      <c r="O1045" s="3">
        <v>217493</v>
      </c>
      <c r="P1045" s="3">
        <v>431222</v>
      </c>
      <c r="Q1045" s="10">
        <v>0</v>
      </c>
      <c r="R1045" s="3">
        <f>(Таблица1[Размер кредита]-$AA$2)/$AA$3</f>
        <v>-0.12631411579274443</v>
      </c>
      <c r="S1045" s="3">
        <f>(Таблица1[Кредитный рейтинг]-$AA$7)/($AA$8-$AA$7)</f>
        <v>0.9946737683089214</v>
      </c>
      <c r="T1045" s="3">
        <f>(Таблица1[Срок с последнего нарушения кредитного договора (мес,)]-$AA$12)/($AA$13-$AA$12)</f>
        <v>0.40074137090909095</v>
      </c>
      <c r="U1045" s="3">
        <f>(Таблица1[Количество кредитных карт]-$AA$18)/($AA$19-$AA$18)</f>
        <v>0.11904761904761904</v>
      </c>
      <c r="V1045" s="3">
        <f>(Таблица1[Число нарушений кредитных договоров]-$AA$23)/($AA$24-$AA$23)</f>
        <v>0</v>
      </c>
      <c r="W1045" s="3">
        <f>Таблица1[[#This Row],[Годовой доход]]/12</f>
        <v>62880.5</v>
      </c>
      <c r="X1045" s="3">
        <f>Таблица1[[#This Row],[Ежемесячный платеж]]/Таблица1[[#This Row],[Ежем доход]]</f>
        <v>8.9898776250188855E-2</v>
      </c>
      <c r="Y1045" s="3"/>
      <c r="Z1045" s="3"/>
      <c r="AA1045" s="3"/>
      <c r="AB1045" s="3"/>
    </row>
    <row r="1046" spans="1:28" x14ac:dyDescent="0.2">
      <c r="A1046">
        <v>1699</v>
      </c>
      <c r="B1046" t="s">
        <v>1737</v>
      </c>
      <c r="C1046" t="s">
        <v>18</v>
      </c>
      <c r="D1046" t="s">
        <v>19</v>
      </c>
      <c r="E1046" t="s">
        <v>30</v>
      </c>
      <c r="F1046" t="s">
        <v>21</v>
      </c>
      <c r="G1046" t="s">
        <v>25</v>
      </c>
      <c r="H1046" s="1">
        <v>225280</v>
      </c>
      <c r="I1046" s="3">
        <v>743</v>
      </c>
      <c r="J1046" s="3">
        <v>778240</v>
      </c>
      <c r="K1046" s="3">
        <v>7717.61</v>
      </c>
      <c r="L1046" s="2">
        <v>24</v>
      </c>
      <c r="M1046" s="11">
        <v>15</v>
      </c>
      <c r="N1046" s="3">
        <v>9</v>
      </c>
      <c r="O1046" s="3">
        <v>253232</v>
      </c>
      <c r="P1046" s="3">
        <v>430584</v>
      </c>
      <c r="Q1046" s="10">
        <v>0</v>
      </c>
      <c r="R1046" s="3">
        <f>(Таблица1[Размер кредита]-$AA$2)/$AA$3</f>
        <v>-0.48002627172920331</v>
      </c>
      <c r="S1046" s="3">
        <f>(Таблица1[Кредитный рейтинг]-$AA$7)/($AA$8-$AA$7)</f>
        <v>0.98934753661784292</v>
      </c>
      <c r="T1046" s="3">
        <f>(Таблица1[Срок с последнего нарушения кредитного договора (мес,)]-$AA$12)/($AA$13-$AA$12)</f>
        <v>0.17045454545454544</v>
      </c>
      <c r="U1046" s="3">
        <f>(Таблица1[Количество кредитных карт]-$AA$18)/($AA$19-$AA$18)</f>
        <v>0.19047619047619047</v>
      </c>
      <c r="V1046" s="3">
        <f>(Таблица1[Число нарушений кредитных договоров]-$AA$23)/($AA$24-$AA$23)</f>
        <v>0</v>
      </c>
      <c r="W1046" s="3">
        <f>Таблица1[[#This Row],[Годовой доход]]/12</f>
        <v>64853.333333333336</v>
      </c>
      <c r="X1046" s="3">
        <f>Таблица1[[#This Row],[Ежемесячный платеж]]/Таблица1[[#This Row],[Ежем доход]]</f>
        <v>0.11900097656249999</v>
      </c>
      <c r="Y1046" s="3"/>
      <c r="Z1046" s="3"/>
      <c r="AA1046" s="3"/>
      <c r="AB1046" s="3"/>
    </row>
    <row r="1047" spans="1:28" x14ac:dyDescent="0.2">
      <c r="A1047">
        <v>523</v>
      </c>
      <c r="B1047" t="s">
        <v>564</v>
      </c>
      <c r="C1047" t="s">
        <v>18</v>
      </c>
      <c r="D1047" t="s">
        <v>19</v>
      </c>
      <c r="E1047" t="s">
        <v>63</v>
      </c>
      <c r="F1047" t="s">
        <v>33</v>
      </c>
      <c r="G1047" t="s">
        <v>25</v>
      </c>
      <c r="H1047" s="1">
        <v>387288</v>
      </c>
      <c r="I1047" s="3">
        <v>740</v>
      </c>
      <c r="J1047" s="3">
        <v>2489988</v>
      </c>
      <c r="K1047" s="3">
        <v>18571.169999999998</v>
      </c>
      <c r="L1047" s="2">
        <v>11.1</v>
      </c>
      <c r="M1047" s="11">
        <v>35.265240640000002</v>
      </c>
      <c r="N1047" s="3">
        <v>12</v>
      </c>
      <c r="O1047" s="3">
        <v>167276</v>
      </c>
      <c r="P1047" s="3">
        <v>430408</v>
      </c>
      <c r="Q1047" s="10">
        <v>0</v>
      </c>
      <c r="R1047" s="3">
        <f>(Таблица1[Размер кредита]-$AA$2)/$AA$3</f>
        <v>0.44233078079065619</v>
      </c>
      <c r="S1047" s="3">
        <f>(Таблица1[Кредитный рейтинг]-$AA$7)/($AA$8-$AA$7)</f>
        <v>0.98535286284953394</v>
      </c>
      <c r="T1047" s="3">
        <f>(Таблица1[Срок с последнего нарушения кредитного договора (мес,)]-$AA$12)/($AA$13-$AA$12)</f>
        <v>0.40074137090909095</v>
      </c>
      <c r="U1047" s="3">
        <f>(Таблица1[Количество кредитных карт]-$AA$18)/($AA$19-$AA$18)</f>
        <v>0.26190476190476192</v>
      </c>
      <c r="V1047" s="3">
        <f>(Таблица1[Число нарушений кредитных договоров]-$AA$23)/($AA$24-$AA$23)</f>
        <v>0</v>
      </c>
      <c r="W1047" s="3">
        <f>Таблица1[[#This Row],[Годовой доход]]/12</f>
        <v>207499</v>
      </c>
      <c r="X1047" s="3">
        <f>Таблица1[[#This Row],[Ежемесячный платеж]]/Таблица1[[#This Row],[Ежем доход]]</f>
        <v>8.950004578335316E-2</v>
      </c>
      <c r="Y1047" s="3"/>
      <c r="Z1047" s="3"/>
      <c r="AA1047" s="3"/>
      <c r="AB1047" s="3"/>
    </row>
    <row r="1048" spans="1:28" x14ac:dyDescent="0.2">
      <c r="A1048">
        <v>1844</v>
      </c>
      <c r="B1048" t="s">
        <v>1881</v>
      </c>
      <c r="C1048" t="s">
        <v>18</v>
      </c>
      <c r="D1048" t="s">
        <v>19</v>
      </c>
      <c r="E1048" t="s">
        <v>24</v>
      </c>
      <c r="F1048" t="s">
        <v>27</v>
      </c>
      <c r="G1048" t="s">
        <v>25</v>
      </c>
      <c r="H1048" s="1">
        <v>133100</v>
      </c>
      <c r="I1048" s="3">
        <v>0</v>
      </c>
      <c r="J1048" s="3">
        <v>1168044</v>
      </c>
      <c r="K1048" s="3">
        <v>7548.89</v>
      </c>
      <c r="L1048" s="2">
        <v>28.1</v>
      </c>
      <c r="M1048" s="11">
        <v>35.265240640000002</v>
      </c>
      <c r="N1048" s="3">
        <v>7</v>
      </c>
      <c r="O1048" s="3">
        <v>195111</v>
      </c>
      <c r="P1048" s="3">
        <v>430298</v>
      </c>
      <c r="Q1048" s="10">
        <v>0</v>
      </c>
      <c r="R1048" s="3">
        <f>(Таблица1[Размер кредита]-$AA$2)/$AA$3</f>
        <v>-1.0048329053601393</v>
      </c>
      <c r="S1048" s="3">
        <f>(Таблица1[Кредитный рейтинг]-$AA$7)/($AA$8-$AA$7)</f>
        <v>0</v>
      </c>
      <c r="T1048" s="3">
        <f>(Таблица1[Срок с последнего нарушения кредитного договора (мес,)]-$AA$12)/($AA$13-$AA$12)</f>
        <v>0.40074137090909095</v>
      </c>
      <c r="U1048" s="3">
        <f>(Таблица1[Количество кредитных карт]-$AA$18)/($AA$19-$AA$18)</f>
        <v>0.14285714285714285</v>
      </c>
      <c r="V1048" s="3">
        <f>(Таблица1[Число нарушений кредитных договоров]-$AA$23)/($AA$24-$AA$23)</f>
        <v>0</v>
      </c>
      <c r="W1048" s="3">
        <f>Таблица1[[#This Row],[Годовой доход]]/12</f>
        <v>97337</v>
      </c>
      <c r="X1048" s="3">
        <f>Таблица1[[#This Row],[Ежемесячный платеж]]/Таблица1[[#This Row],[Ежем доход]]</f>
        <v>7.7554167479992192E-2</v>
      </c>
      <c r="Y1048" s="3"/>
      <c r="Z1048" s="3"/>
      <c r="AA1048" s="3"/>
      <c r="AB1048" s="3"/>
    </row>
    <row r="1049" spans="1:28" x14ac:dyDescent="0.2">
      <c r="A1049">
        <v>1023</v>
      </c>
      <c r="B1049" t="s">
        <v>1062</v>
      </c>
      <c r="C1049" t="s">
        <v>18</v>
      </c>
      <c r="D1049" t="s">
        <v>19</v>
      </c>
      <c r="E1049" t="s">
        <v>24</v>
      </c>
      <c r="F1049" t="s">
        <v>21</v>
      </c>
      <c r="G1049" t="s">
        <v>22</v>
      </c>
      <c r="H1049" s="1">
        <v>98252</v>
      </c>
      <c r="I1049" s="3">
        <v>725</v>
      </c>
      <c r="J1049" s="3">
        <v>1602897</v>
      </c>
      <c r="K1049" s="3">
        <v>34328.629999999997</v>
      </c>
      <c r="L1049" s="2">
        <v>34.299999999999997</v>
      </c>
      <c r="M1049" s="11">
        <v>35.265240640000002</v>
      </c>
      <c r="N1049" s="3">
        <v>15</v>
      </c>
      <c r="O1049" s="3">
        <v>335825</v>
      </c>
      <c r="P1049" s="3">
        <v>430144</v>
      </c>
      <c r="Q1049" s="10">
        <v>0</v>
      </c>
      <c r="R1049" s="3">
        <f>(Таблица1[Размер кредита]-$AA$2)/$AA$3</f>
        <v>-1.2032323582650084</v>
      </c>
      <c r="S1049" s="3">
        <f>(Таблица1[Кредитный рейтинг]-$AA$7)/($AA$8-$AA$7)</f>
        <v>0.96537949400798939</v>
      </c>
      <c r="T1049" s="3">
        <f>(Таблица1[Срок с последнего нарушения кредитного договора (мес,)]-$AA$12)/($AA$13-$AA$12)</f>
        <v>0.40074137090909095</v>
      </c>
      <c r="U1049" s="3">
        <f>(Таблица1[Количество кредитных карт]-$AA$18)/($AA$19-$AA$18)</f>
        <v>0.33333333333333331</v>
      </c>
      <c r="V1049" s="3">
        <f>(Таблица1[Число нарушений кредитных договоров]-$AA$23)/($AA$24-$AA$23)</f>
        <v>0</v>
      </c>
      <c r="W1049" s="3">
        <f>Таблица1[[#This Row],[Годовой доход]]/12</f>
        <v>133574.75</v>
      </c>
      <c r="X1049" s="3">
        <f>Таблица1[[#This Row],[Ежемесячный платеж]]/Таблица1[[#This Row],[Ежем доход]]</f>
        <v>0.2569993954695779</v>
      </c>
      <c r="Y1049" s="3"/>
      <c r="Z1049" s="3"/>
      <c r="AA1049" s="3"/>
      <c r="AB1049" s="3"/>
    </row>
    <row r="1050" spans="1:28" x14ac:dyDescent="0.2">
      <c r="A1050">
        <v>1820</v>
      </c>
      <c r="B1050" t="s">
        <v>1858</v>
      </c>
      <c r="C1050" t="s">
        <v>35</v>
      </c>
      <c r="D1050" t="s">
        <v>19</v>
      </c>
      <c r="E1050" t="s">
        <v>37</v>
      </c>
      <c r="F1050" t="s">
        <v>33</v>
      </c>
      <c r="G1050" t="s">
        <v>25</v>
      </c>
      <c r="H1050" s="1">
        <v>301576</v>
      </c>
      <c r="I1050" s="3">
        <v>727</v>
      </c>
      <c r="J1050" s="3">
        <v>525160</v>
      </c>
      <c r="K1050" s="3">
        <v>11816.29</v>
      </c>
      <c r="L1050" s="2">
        <v>18</v>
      </c>
      <c r="M1050" s="11">
        <v>18</v>
      </c>
      <c r="N1050" s="3">
        <v>17</v>
      </c>
      <c r="O1050" s="3">
        <v>178600</v>
      </c>
      <c r="P1050" s="3">
        <v>429924</v>
      </c>
      <c r="Q1050" s="10">
        <v>0</v>
      </c>
      <c r="R1050" s="3">
        <f>(Таблица1[Размер кредита]-$AA$2)/$AA$3</f>
        <v>-4.5651711960209188E-2</v>
      </c>
      <c r="S1050" s="3">
        <f>(Таблица1[Кредитный рейтинг]-$AA$7)/($AA$8-$AA$7)</f>
        <v>0.96804260985352863</v>
      </c>
      <c r="T1050" s="3">
        <f>(Таблица1[Срок с последнего нарушения кредитного договора (мес,)]-$AA$12)/($AA$13-$AA$12)</f>
        <v>0.20454545454545456</v>
      </c>
      <c r="U1050" s="3">
        <f>(Таблица1[Количество кредитных карт]-$AA$18)/($AA$19-$AA$18)</f>
        <v>0.38095238095238093</v>
      </c>
      <c r="V1050" s="3">
        <f>(Таблица1[Число нарушений кредитных договоров]-$AA$23)/($AA$24-$AA$23)</f>
        <v>0</v>
      </c>
      <c r="W1050" s="3">
        <f>Таблица1[[#This Row],[Годовой доход]]/12</f>
        <v>43763.333333333336</v>
      </c>
      <c r="X1050" s="3">
        <f>Таблица1[[#This Row],[Ежемесячный платеж]]/Таблица1[[#This Row],[Ежем доход]]</f>
        <v>0.27000434153400871</v>
      </c>
      <c r="Y1050" s="3"/>
      <c r="Z1050" s="3"/>
      <c r="AA1050" s="3"/>
      <c r="AB1050" s="3"/>
    </row>
    <row r="1051" spans="1:28" x14ac:dyDescent="0.2">
      <c r="A1051">
        <v>1568</v>
      </c>
      <c r="B1051" t="s">
        <v>1607</v>
      </c>
      <c r="C1051" t="s">
        <v>18</v>
      </c>
      <c r="D1051" t="s">
        <v>19</v>
      </c>
      <c r="E1051" t="s">
        <v>24</v>
      </c>
      <c r="F1051" t="s">
        <v>33</v>
      </c>
      <c r="G1051" t="s">
        <v>22</v>
      </c>
      <c r="H1051" s="1">
        <v>309594.52439999999</v>
      </c>
      <c r="I1051" s="3">
        <v>743</v>
      </c>
      <c r="J1051" s="3">
        <v>920626</v>
      </c>
      <c r="K1051" s="3">
        <v>10126.81</v>
      </c>
      <c r="L1051" s="2">
        <v>30.2</v>
      </c>
      <c r="M1051" s="11">
        <v>35.265240640000002</v>
      </c>
      <c r="N1051" s="3">
        <v>5</v>
      </c>
      <c r="O1051" s="3">
        <v>197752</v>
      </c>
      <c r="P1051" s="3">
        <v>429616</v>
      </c>
      <c r="Q1051" s="10">
        <v>0</v>
      </c>
      <c r="R1051" s="3">
        <f>(Таблица1[Размер кредита]-$AA$2)/$AA$3</f>
        <v>-1.2411115481956205E-10</v>
      </c>
      <c r="S1051" s="3">
        <f>(Таблица1[Кредитный рейтинг]-$AA$7)/($AA$8-$AA$7)</f>
        <v>0.98934753661784292</v>
      </c>
      <c r="T1051" s="3">
        <f>(Таблица1[Срок с последнего нарушения кредитного договора (мес,)]-$AA$12)/($AA$13-$AA$12)</f>
        <v>0.40074137090909095</v>
      </c>
      <c r="U1051" s="3">
        <f>(Таблица1[Количество кредитных карт]-$AA$18)/($AA$19-$AA$18)</f>
        <v>9.5238095238095233E-2</v>
      </c>
      <c r="V1051" s="3">
        <f>(Таблица1[Число нарушений кредитных договоров]-$AA$23)/($AA$24-$AA$23)</f>
        <v>0</v>
      </c>
      <c r="W1051" s="3">
        <f>Таблица1[[#This Row],[Годовой доход]]/12</f>
        <v>76718.833333333328</v>
      </c>
      <c r="X1051" s="3">
        <f>Таблица1[[#This Row],[Ежемесячный платеж]]/Таблица1[[#This Row],[Ежем доход]]</f>
        <v>0.13199900936971148</v>
      </c>
      <c r="Y1051" s="3"/>
      <c r="Z1051" s="3"/>
      <c r="AA1051" s="3"/>
      <c r="AB1051" s="3"/>
    </row>
    <row r="1052" spans="1:28" x14ac:dyDescent="0.2">
      <c r="A1052">
        <v>204</v>
      </c>
      <c r="B1052" t="s">
        <v>246</v>
      </c>
      <c r="C1052" t="s">
        <v>18</v>
      </c>
      <c r="D1052" t="s">
        <v>19</v>
      </c>
      <c r="E1052" t="s">
        <v>32</v>
      </c>
      <c r="F1052" t="s">
        <v>33</v>
      </c>
      <c r="G1052" t="s">
        <v>25</v>
      </c>
      <c r="H1052" s="1">
        <v>268268</v>
      </c>
      <c r="I1052" s="3">
        <v>0</v>
      </c>
      <c r="J1052" s="3">
        <v>1168044</v>
      </c>
      <c r="K1052" s="3">
        <v>6896.62</v>
      </c>
      <c r="L1052" s="2">
        <v>16</v>
      </c>
      <c r="M1052" s="11">
        <v>35.265240640000002</v>
      </c>
      <c r="N1052" s="3">
        <v>10</v>
      </c>
      <c r="O1052" s="3">
        <v>207860</v>
      </c>
      <c r="P1052" s="3">
        <v>429044</v>
      </c>
      <c r="Q1052" s="10">
        <v>0</v>
      </c>
      <c r="R1052" s="3">
        <f>(Таблица1[Размер кредита]-$AA$2)/$AA$3</f>
        <v>-0.23528351227458552</v>
      </c>
      <c r="S1052" s="3">
        <f>(Таблица1[Кредитный рейтинг]-$AA$7)/($AA$8-$AA$7)</f>
        <v>0</v>
      </c>
      <c r="T1052" s="3">
        <f>(Таблица1[Срок с последнего нарушения кредитного договора (мес,)]-$AA$12)/($AA$13-$AA$12)</f>
        <v>0.40074137090909095</v>
      </c>
      <c r="U1052" s="3">
        <f>(Таблица1[Количество кредитных карт]-$AA$18)/($AA$19-$AA$18)</f>
        <v>0.21428571428571427</v>
      </c>
      <c r="V1052" s="3">
        <f>(Таблица1[Число нарушений кредитных договоров]-$AA$23)/($AA$24-$AA$23)</f>
        <v>0</v>
      </c>
      <c r="W1052" s="3">
        <f>Таблица1[[#This Row],[Годовой доход]]/12</f>
        <v>97337</v>
      </c>
      <c r="X1052" s="3">
        <f>Таблица1[[#This Row],[Ежемесячный платеж]]/Таблица1[[#This Row],[Ежем доход]]</f>
        <v>7.0853015811048206E-2</v>
      </c>
      <c r="Y1052" s="3"/>
      <c r="Z1052" s="3"/>
      <c r="AA1052" s="3"/>
      <c r="AB1052" s="3"/>
    </row>
    <row r="1053" spans="1:28" x14ac:dyDescent="0.2">
      <c r="A1053">
        <v>16</v>
      </c>
      <c r="B1053" t="s">
        <v>49</v>
      </c>
      <c r="C1053" t="s">
        <v>18</v>
      </c>
      <c r="D1053" t="s">
        <v>29</v>
      </c>
      <c r="E1053" t="s">
        <v>50</v>
      </c>
      <c r="F1053" t="s">
        <v>27</v>
      </c>
      <c r="G1053" t="s">
        <v>25</v>
      </c>
      <c r="H1053" s="1">
        <v>449020</v>
      </c>
      <c r="I1053" s="3">
        <v>0</v>
      </c>
      <c r="J1053" s="3">
        <v>1168044</v>
      </c>
      <c r="K1053" s="3">
        <v>18904.810000000001</v>
      </c>
      <c r="L1053" s="2">
        <v>19.399999999999999</v>
      </c>
      <c r="M1053" s="11">
        <v>35.265240640000002</v>
      </c>
      <c r="N1053" s="3">
        <v>8</v>
      </c>
      <c r="O1053" s="3">
        <v>334533</v>
      </c>
      <c r="P1053" s="3">
        <v>428956</v>
      </c>
      <c r="Q1053" s="10">
        <v>0</v>
      </c>
      <c r="R1053" s="3">
        <f>(Таблица1[Размер кредита]-$AA$2)/$AA$3</f>
        <v>0.79378839748955976</v>
      </c>
      <c r="S1053" s="3">
        <f>(Таблица1[Кредитный рейтинг]-$AA$7)/($AA$8-$AA$7)</f>
        <v>0</v>
      </c>
      <c r="T1053" s="3">
        <f>(Таблица1[Срок с последнего нарушения кредитного договора (мес,)]-$AA$12)/($AA$13-$AA$12)</f>
        <v>0.40074137090909095</v>
      </c>
      <c r="U1053" s="3">
        <f>(Таблица1[Количество кредитных карт]-$AA$18)/($AA$19-$AA$18)</f>
        <v>0.16666666666666666</v>
      </c>
      <c r="V1053" s="3">
        <f>(Таблица1[Число нарушений кредитных договоров]-$AA$23)/($AA$24-$AA$23)</f>
        <v>0</v>
      </c>
      <c r="W1053" s="3">
        <f>Таблица1[[#This Row],[Годовой доход]]/12</f>
        <v>97337</v>
      </c>
      <c r="X1053" s="3">
        <f>Таблица1[[#This Row],[Ежемесячный платеж]]/Таблица1[[#This Row],[Ежем доход]]</f>
        <v>0.19422018348623854</v>
      </c>
      <c r="Y1053" s="3"/>
      <c r="Z1053" s="3"/>
      <c r="AA1053" s="3"/>
      <c r="AB1053" s="3"/>
    </row>
    <row r="1054" spans="1:28" x14ac:dyDescent="0.2">
      <c r="A1054">
        <v>973</v>
      </c>
      <c r="B1054" t="s">
        <v>1013</v>
      </c>
      <c r="C1054" t="s">
        <v>18</v>
      </c>
      <c r="D1054" t="s">
        <v>19</v>
      </c>
      <c r="E1054" t="s">
        <v>50</v>
      </c>
      <c r="F1054" t="s">
        <v>33</v>
      </c>
      <c r="G1054" t="s">
        <v>25</v>
      </c>
      <c r="H1054" s="1">
        <v>143506</v>
      </c>
      <c r="I1054" s="3">
        <v>739</v>
      </c>
      <c r="J1054" s="3">
        <v>896135</v>
      </c>
      <c r="K1054" s="3">
        <v>13740.61</v>
      </c>
      <c r="L1054" s="2">
        <v>10.4</v>
      </c>
      <c r="M1054" s="11">
        <v>35.265240640000002</v>
      </c>
      <c r="N1054" s="3">
        <v>12</v>
      </c>
      <c r="O1054" s="3">
        <v>148504</v>
      </c>
      <c r="P1054" s="3">
        <v>428824</v>
      </c>
      <c r="Q1054" s="10">
        <v>1</v>
      </c>
      <c r="R1054" s="3">
        <f>(Таблица1[Размер кредита]-$AA$2)/$AA$3</f>
        <v>-0.94558862428437962</v>
      </c>
      <c r="S1054" s="3">
        <f>(Таблица1[Кредитный рейтинг]-$AA$7)/($AA$8-$AA$7)</f>
        <v>0.98402130492676432</v>
      </c>
      <c r="T1054" s="3">
        <f>(Таблица1[Срок с последнего нарушения кредитного договора (мес,)]-$AA$12)/($AA$13-$AA$12)</f>
        <v>0.40074137090909095</v>
      </c>
      <c r="U1054" s="3">
        <f>(Таблица1[Количество кредитных карт]-$AA$18)/($AA$19-$AA$18)</f>
        <v>0.26190476190476192</v>
      </c>
      <c r="V1054" s="3">
        <f>(Таблица1[Число нарушений кредитных договоров]-$AA$23)/($AA$24-$AA$23)</f>
        <v>0.14285714285714285</v>
      </c>
      <c r="W1054" s="3">
        <f>Таблица1[[#This Row],[Годовой доход]]/12</f>
        <v>74677.916666666672</v>
      </c>
      <c r="X1054" s="3">
        <f>Таблица1[[#This Row],[Ежемесячный платеж]]/Таблица1[[#This Row],[Ежем доход]]</f>
        <v>0.18399830382699034</v>
      </c>
      <c r="Y1054" s="3"/>
      <c r="Z1054" s="3"/>
      <c r="AA1054" s="3"/>
      <c r="AB1054" s="3"/>
    </row>
    <row r="1055" spans="1:28" x14ac:dyDescent="0.2">
      <c r="A1055">
        <v>957</v>
      </c>
      <c r="B1055" t="s">
        <v>998</v>
      </c>
      <c r="C1055" t="s">
        <v>18</v>
      </c>
      <c r="D1055" t="s">
        <v>29</v>
      </c>
      <c r="E1055" t="s">
        <v>69</v>
      </c>
      <c r="F1055" t="s">
        <v>21</v>
      </c>
      <c r="G1055" t="s">
        <v>25</v>
      </c>
      <c r="H1055" s="1">
        <v>356290</v>
      </c>
      <c r="I1055" s="3">
        <v>0</v>
      </c>
      <c r="J1055" s="3">
        <v>1168044</v>
      </c>
      <c r="K1055" s="3">
        <v>26534.639999999999</v>
      </c>
      <c r="L1055" s="2">
        <v>13.8</v>
      </c>
      <c r="M1055" s="11">
        <v>35.265240640000002</v>
      </c>
      <c r="N1055" s="3">
        <v>9</v>
      </c>
      <c r="O1055" s="3">
        <v>334343</v>
      </c>
      <c r="P1055" s="3">
        <v>427768</v>
      </c>
      <c r="Q1055" s="10">
        <v>0</v>
      </c>
      <c r="R1055" s="3">
        <f>(Таблица1[Размер кредита]-$AA$2)/$AA$3</f>
        <v>0.26585045936201929</v>
      </c>
      <c r="S1055" s="3">
        <f>(Таблица1[Кредитный рейтинг]-$AA$7)/($AA$8-$AA$7)</f>
        <v>0</v>
      </c>
      <c r="T1055" s="3">
        <f>(Таблица1[Срок с последнего нарушения кредитного договора (мес,)]-$AA$12)/($AA$13-$AA$12)</f>
        <v>0.40074137090909095</v>
      </c>
      <c r="U1055" s="3">
        <f>(Таблица1[Количество кредитных карт]-$AA$18)/($AA$19-$AA$18)</f>
        <v>0.19047619047619047</v>
      </c>
      <c r="V1055" s="3">
        <f>(Таблица1[Число нарушений кредитных договоров]-$AA$23)/($AA$24-$AA$23)</f>
        <v>0</v>
      </c>
      <c r="W1055" s="3">
        <f>Таблица1[[#This Row],[Годовой доход]]/12</f>
        <v>97337</v>
      </c>
      <c r="X1055" s="3">
        <f>Таблица1[[#This Row],[Ежемесячный платеж]]/Таблица1[[#This Row],[Ежем доход]]</f>
        <v>0.27260589498340815</v>
      </c>
      <c r="Y1055" s="3"/>
      <c r="Z1055" s="3"/>
      <c r="AA1055" s="3"/>
      <c r="AB1055" s="3"/>
    </row>
    <row r="1056" spans="1:28" x14ac:dyDescent="0.2">
      <c r="A1056">
        <v>547</v>
      </c>
      <c r="B1056" t="s">
        <v>588</v>
      </c>
      <c r="C1056" t="s">
        <v>18</v>
      </c>
      <c r="D1056" t="s">
        <v>19</v>
      </c>
      <c r="E1056" t="s">
        <v>20</v>
      </c>
      <c r="F1056" t="s">
        <v>27</v>
      </c>
      <c r="G1056" t="s">
        <v>25</v>
      </c>
      <c r="H1056" s="1">
        <v>327866</v>
      </c>
      <c r="I1056" s="3">
        <v>726</v>
      </c>
      <c r="J1056" s="3">
        <v>1359108</v>
      </c>
      <c r="K1056" s="3">
        <v>5742.18</v>
      </c>
      <c r="L1056" s="2">
        <v>16.2</v>
      </c>
      <c r="M1056" s="11">
        <v>70</v>
      </c>
      <c r="N1056" s="3">
        <v>11</v>
      </c>
      <c r="O1056" s="3">
        <v>164958</v>
      </c>
      <c r="P1056" s="3">
        <v>427306</v>
      </c>
      <c r="Q1056" s="10">
        <v>0</v>
      </c>
      <c r="R1056" s="3">
        <f>(Таблица1[Размер кредита]-$AA$2)/$AA$3</f>
        <v>0.10402464297749209</v>
      </c>
      <c r="S1056" s="3">
        <f>(Таблица1[Кредитный рейтинг]-$AA$7)/($AA$8-$AA$7)</f>
        <v>0.96671105193075901</v>
      </c>
      <c r="T1056" s="3">
        <f>(Таблица1[Срок с последнего нарушения кредитного договора (мес,)]-$AA$12)/($AA$13-$AA$12)</f>
        <v>0.79545454545454541</v>
      </c>
      <c r="U1056" s="3">
        <f>(Таблица1[Количество кредитных карт]-$AA$18)/($AA$19-$AA$18)</f>
        <v>0.23809523809523808</v>
      </c>
      <c r="V1056" s="3">
        <f>(Таблица1[Число нарушений кредитных договоров]-$AA$23)/($AA$24-$AA$23)</f>
        <v>0</v>
      </c>
      <c r="W1056" s="3">
        <f>Таблица1[[#This Row],[Годовой доход]]/12</f>
        <v>113259</v>
      </c>
      <c r="X1056" s="3">
        <f>Таблица1[[#This Row],[Ежемесячный платеж]]/Таблица1[[#This Row],[Ежем доход]]</f>
        <v>5.069954705586311E-2</v>
      </c>
      <c r="Y1056" s="3"/>
      <c r="Z1056" s="3"/>
      <c r="AA1056" s="3"/>
      <c r="AB1056" s="3"/>
    </row>
    <row r="1057" spans="1:28" x14ac:dyDescent="0.2">
      <c r="A1057">
        <v>1636</v>
      </c>
      <c r="B1057" t="s">
        <v>1674</v>
      </c>
      <c r="C1057" t="s">
        <v>18</v>
      </c>
      <c r="D1057" t="s">
        <v>19</v>
      </c>
      <c r="E1057" t="s">
        <v>24</v>
      </c>
      <c r="F1057" t="s">
        <v>33</v>
      </c>
      <c r="G1057" t="s">
        <v>25</v>
      </c>
      <c r="H1057" s="1">
        <v>348612</v>
      </c>
      <c r="I1057" s="3">
        <v>719</v>
      </c>
      <c r="J1057" s="3">
        <v>715065</v>
      </c>
      <c r="K1057" s="3">
        <v>19247.189999999999</v>
      </c>
      <c r="L1057" s="2">
        <v>12</v>
      </c>
      <c r="M1057" s="11">
        <v>35.265240640000002</v>
      </c>
      <c r="N1057" s="3">
        <v>12</v>
      </c>
      <c r="O1057" s="3">
        <v>288895</v>
      </c>
      <c r="P1057" s="3">
        <v>427218</v>
      </c>
      <c r="Q1057" s="10">
        <v>0</v>
      </c>
      <c r="R1057" s="3">
        <f>(Таблица1[Размер кредита]-$AA$2)/$AA$3</f>
        <v>0.2221374485894187</v>
      </c>
      <c r="S1057" s="3">
        <f>(Таблица1[Кредитный рейтинг]-$AA$7)/($AA$8-$AA$7)</f>
        <v>0.95739014647137155</v>
      </c>
      <c r="T1057" s="3">
        <f>(Таблица1[Срок с последнего нарушения кредитного договора (мес,)]-$AA$12)/($AA$13-$AA$12)</f>
        <v>0.40074137090909095</v>
      </c>
      <c r="U1057" s="3">
        <f>(Таблица1[Количество кредитных карт]-$AA$18)/($AA$19-$AA$18)</f>
        <v>0.26190476190476192</v>
      </c>
      <c r="V1057" s="3">
        <f>(Таблица1[Число нарушений кредитных договоров]-$AA$23)/($AA$24-$AA$23)</f>
        <v>0</v>
      </c>
      <c r="W1057" s="3">
        <f>Таблица1[[#This Row],[Годовой доход]]/12</f>
        <v>59588.75</v>
      </c>
      <c r="X1057" s="3">
        <f>Таблица1[[#This Row],[Ежемесячный платеж]]/Таблица1[[#This Row],[Ежем доход]]</f>
        <v>0.32300039856516538</v>
      </c>
      <c r="Y1057" s="3"/>
      <c r="Z1057" s="3"/>
      <c r="AA1057" s="3"/>
      <c r="AB1057" s="3"/>
    </row>
    <row r="1058" spans="1:28" x14ac:dyDescent="0.2">
      <c r="A1058">
        <v>5</v>
      </c>
      <c r="B1058" t="s">
        <v>31</v>
      </c>
      <c r="C1058" t="s">
        <v>18</v>
      </c>
      <c r="D1058" t="s">
        <v>19</v>
      </c>
      <c r="E1058" t="s">
        <v>32</v>
      </c>
      <c r="F1058" t="s">
        <v>33</v>
      </c>
      <c r="G1058" t="s">
        <v>25</v>
      </c>
      <c r="H1058" s="1">
        <v>176220</v>
      </c>
      <c r="I1058" s="3">
        <v>0</v>
      </c>
      <c r="J1058" s="3">
        <v>1168044</v>
      </c>
      <c r="K1058" s="3">
        <v>20639.7</v>
      </c>
      <c r="L1058" s="2">
        <v>6.1</v>
      </c>
      <c r="M1058" s="11">
        <v>35.265240640000002</v>
      </c>
      <c r="N1058" s="3">
        <v>15</v>
      </c>
      <c r="O1058" s="3">
        <v>253460</v>
      </c>
      <c r="P1058" s="3">
        <v>427174</v>
      </c>
      <c r="Q1058" s="10">
        <v>0</v>
      </c>
      <c r="R1058" s="3">
        <f>(Таблица1[Размер кредита]-$AA$2)/$AA$3</f>
        <v>-0.75933863282633629</v>
      </c>
      <c r="S1058" s="3">
        <f>(Таблица1[Кредитный рейтинг]-$AA$7)/($AA$8-$AA$7)</f>
        <v>0</v>
      </c>
      <c r="T1058" s="3">
        <f>(Таблица1[Срок с последнего нарушения кредитного договора (мес,)]-$AA$12)/($AA$13-$AA$12)</f>
        <v>0.40074137090909095</v>
      </c>
      <c r="U1058" s="3">
        <f>(Таблица1[Количество кредитных карт]-$AA$18)/($AA$19-$AA$18)</f>
        <v>0.33333333333333331</v>
      </c>
      <c r="V1058" s="3">
        <f>(Таблица1[Число нарушений кредитных договоров]-$AA$23)/($AA$24-$AA$23)</f>
        <v>0</v>
      </c>
      <c r="W1058" s="3">
        <f>Таблица1[[#This Row],[Годовой доход]]/12</f>
        <v>97337</v>
      </c>
      <c r="X1058" s="3">
        <f>Таблица1[[#This Row],[Ежемесячный платеж]]/Таблица1[[#This Row],[Ежем доход]]</f>
        <v>0.21204372438024596</v>
      </c>
      <c r="Y1058" s="3"/>
      <c r="Z1058" s="3"/>
      <c r="AA1058" s="3"/>
      <c r="AB1058" s="3"/>
    </row>
    <row r="1059" spans="1:28" x14ac:dyDescent="0.2">
      <c r="A1059">
        <v>978</v>
      </c>
      <c r="B1059" t="s">
        <v>1018</v>
      </c>
      <c r="C1059" t="s">
        <v>18</v>
      </c>
      <c r="D1059" t="s">
        <v>19</v>
      </c>
      <c r="E1059" t="s">
        <v>30</v>
      </c>
      <c r="F1059" t="s">
        <v>27</v>
      </c>
      <c r="G1059" t="s">
        <v>67</v>
      </c>
      <c r="H1059" s="1">
        <v>153780</v>
      </c>
      <c r="I1059" s="3">
        <v>710</v>
      </c>
      <c r="J1059" s="3">
        <v>531202</v>
      </c>
      <c r="K1059" s="3">
        <v>8632.08</v>
      </c>
      <c r="L1059" s="2">
        <v>18</v>
      </c>
      <c r="M1059" s="11">
        <v>35.265240640000002</v>
      </c>
      <c r="N1059" s="3">
        <v>8</v>
      </c>
      <c r="O1059" s="3">
        <v>72637</v>
      </c>
      <c r="P1059" s="3">
        <v>426976</v>
      </c>
      <c r="Q1059" s="10">
        <v>0</v>
      </c>
      <c r="R1059" s="3">
        <f>(Таблица1[Размер кредита]-$AA$2)/$AA$3</f>
        <v>-0.88709585628780507</v>
      </c>
      <c r="S1059" s="3">
        <f>(Таблица1[Кредитный рейтинг]-$AA$7)/($AA$8-$AA$7)</f>
        <v>0.94540612516644473</v>
      </c>
      <c r="T1059" s="3">
        <f>(Таблица1[Срок с последнего нарушения кредитного договора (мес,)]-$AA$12)/($AA$13-$AA$12)</f>
        <v>0.40074137090909095</v>
      </c>
      <c r="U1059" s="3">
        <f>(Таблица1[Количество кредитных карт]-$AA$18)/($AA$19-$AA$18)</f>
        <v>0.16666666666666666</v>
      </c>
      <c r="V1059" s="3">
        <f>(Таблица1[Число нарушений кредитных договоров]-$AA$23)/($AA$24-$AA$23)</f>
        <v>0</v>
      </c>
      <c r="W1059" s="3">
        <f>Таблица1[[#This Row],[Годовой доход]]/12</f>
        <v>44266.833333333336</v>
      </c>
      <c r="X1059" s="3">
        <f>Таблица1[[#This Row],[Ежемесячный платеж]]/Таблица1[[#This Row],[Ежем доход]]</f>
        <v>0.19500107303812861</v>
      </c>
      <c r="Y1059" s="3"/>
      <c r="Z1059" s="3"/>
      <c r="AA1059" s="3"/>
      <c r="AB1059" s="3"/>
    </row>
    <row r="1060" spans="1:28" x14ac:dyDescent="0.2">
      <c r="A1060">
        <v>267</v>
      </c>
      <c r="B1060" t="s">
        <v>309</v>
      </c>
      <c r="C1060" t="s">
        <v>18</v>
      </c>
      <c r="D1060" t="s">
        <v>19</v>
      </c>
      <c r="E1060" t="s">
        <v>69</v>
      </c>
      <c r="F1060" t="s">
        <v>27</v>
      </c>
      <c r="G1060" t="s">
        <v>25</v>
      </c>
      <c r="H1060" s="1">
        <v>157146</v>
      </c>
      <c r="I1060" s="3">
        <v>735</v>
      </c>
      <c r="J1060" s="3">
        <v>678566</v>
      </c>
      <c r="K1060" s="3">
        <v>12610.11</v>
      </c>
      <c r="L1060" s="2">
        <v>16.5</v>
      </c>
      <c r="M1060" s="11">
        <v>35.265240640000002</v>
      </c>
      <c r="N1060" s="3">
        <v>7</v>
      </c>
      <c r="O1060" s="3">
        <v>116793</v>
      </c>
      <c r="P1060" s="3">
        <v>426602</v>
      </c>
      <c r="Q1060" s="10">
        <v>0</v>
      </c>
      <c r="R1060" s="3">
        <f>(Таблица1[Размер кредита]-$AA$2)/$AA$3</f>
        <v>-0.86793227276858476</v>
      </c>
      <c r="S1060" s="3">
        <f>(Таблица1[Кредитный рейтинг]-$AA$7)/($AA$8-$AA$7)</f>
        <v>0.97869507323568572</v>
      </c>
      <c r="T1060" s="3">
        <f>(Таблица1[Срок с последнего нарушения кредитного договора (мес,)]-$AA$12)/($AA$13-$AA$12)</f>
        <v>0.40074137090909095</v>
      </c>
      <c r="U1060" s="3">
        <f>(Таблица1[Количество кредитных карт]-$AA$18)/($AA$19-$AA$18)</f>
        <v>0.14285714285714285</v>
      </c>
      <c r="V1060" s="3">
        <f>(Таблица1[Число нарушений кредитных договоров]-$AA$23)/($AA$24-$AA$23)</f>
        <v>0</v>
      </c>
      <c r="W1060" s="3">
        <f>Таблица1[[#This Row],[Годовой доход]]/12</f>
        <v>56547.166666666664</v>
      </c>
      <c r="X1060" s="3">
        <f>Таблица1[[#This Row],[Ежемесячный платеж]]/Таблица1[[#This Row],[Ежем доход]]</f>
        <v>0.22300162401299212</v>
      </c>
      <c r="Y1060" s="3"/>
      <c r="Z1060" s="3"/>
      <c r="AA1060" s="3"/>
      <c r="AB1060" s="3"/>
    </row>
    <row r="1061" spans="1:28" x14ac:dyDescent="0.2">
      <c r="A1061">
        <v>191</v>
      </c>
      <c r="B1061" t="s">
        <v>233</v>
      </c>
      <c r="C1061" t="s">
        <v>35</v>
      </c>
      <c r="D1061" t="s">
        <v>29</v>
      </c>
      <c r="E1061" t="s">
        <v>50</v>
      </c>
      <c r="F1061" t="s">
        <v>21</v>
      </c>
      <c r="G1061" t="s">
        <v>25</v>
      </c>
      <c r="H1061" s="1">
        <v>433136</v>
      </c>
      <c r="I1061" s="3">
        <v>682</v>
      </c>
      <c r="J1061" s="3">
        <v>1178323</v>
      </c>
      <c r="K1061" s="3">
        <v>17969.439999999999</v>
      </c>
      <c r="L1061" s="2">
        <v>17.600000000000001</v>
      </c>
      <c r="M1061" s="11">
        <v>35.265240640000002</v>
      </c>
      <c r="N1061" s="3">
        <v>16</v>
      </c>
      <c r="O1061" s="3">
        <v>355471</v>
      </c>
      <c r="P1061" s="3">
        <v>426514</v>
      </c>
      <c r="Q1061" s="10">
        <v>0</v>
      </c>
      <c r="R1061" s="3">
        <f>(Таблица1[Размер кредита]-$AA$2)/$AA$3</f>
        <v>0.70335632362761813</v>
      </c>
      <c r="S1061" s="3">
        <f>(Таблица1[Кредитный рейтинг]-$AA$7)/($AA$8-$AA$7)</f>
        <v>0.90812250332889477</v>
      </c>
      <c r="T1061" s="3">
        <f>(Таблица1[Срок с последнего нарушения кредитного договора (мес,)]-$AA$12)/($AA$13-$AA$12)</f>
        <v>0.40074137090909095</v>
      </c>
      <c r="U1061" s="3">
        <f>(Таблица1[Количество кредитных карт]-$AA$18)/($AA$19-$AA$18)</f>
        <v>0.35714285714285715</v>
      </c>
      <c r="V1061" s="3">
        <f>(Таблица1[Число нарушений кредитных договоров]-$AA$23)/($AA$24-$AA$23)</f>
        <v>0</v>
      </c>
      <c r="W1061" s="3">
        <f>Таблица1[[#This Row],[Годовой доход]]/12</f>
        <v>98193.583333333328</v>
      </c>
      <c r="X1061" s="3">
        <f>Таблица1[[#This Row],[Ежемесячный платеж]]/Таблица1[[#This Row],[Ежем доход]]</f>
        <v>0.18300014512149895</v>
      </c>
      <c r="Y1061" s="3"/>
      <c r="Z1061" s="3"/>
      <c r="AA1061" s="3"/>
      <c r="AB1061" s="3"/>
    </row>
    <row r="1062" spans="1:28" x14ac:dyDescent="0.2">
      <c r="A1062">
        <v>850</v>
      </c>
      <c r="B1062" t="s">
        <v>891</v>
      </c>
      <c r="C1062" t="s">
        <v>18</v>
      </c>
      <c r="D1062" t="s">
        <v>19</v>
      </c>
      <c r="E1062" t="s">
        <v>47</v>
      </c>
      <c r="F1062" t="s">
        <v>33</v>
      </c>
      <c r="G1062" t="s">
        <v>25</v>
      </c>
      <c r="H1062" s="1">
        <v>177012</v>
      </c>
      <c r="I1062" s="3">
        <v>0</v>
      </c>
      <c r="J1062" s="3">
        <v>1168044</v>
      </c>
      <c r="K1062" s="3">
        <v>16275.59</v>
      </c>
      <c r="L1062" s="2">
        <v>9.3000000000000007</v>
      </c>
      <c r="M1062" s="11">
        <v>35.265240640000002</v>
      </c>
      <c r="N1062" s="3">
        <v>11</v>
      </c>
      <c r="O1062" s="3">
        <v>155515</v>
      </c>
      <c r="P1062" s="3">
        <v>424688</v>
      </c>
      <c r="Q1062" s="10">
        <v>0</v>
      </c>
      <c r="R1062" s="3">
        <f>(Таблица1[Размер кредита]-$AA$2)/$AA$3</f>
        <v>-0.75482955435122556</v>
      </c>
      <c r="S1062" s="3">
        <f>(Таблица1[Кредитный рейтинг]-$AA$7)/($AA$8-$AA$7)</f>
        <v>0</v>
      </c>
      <c r="T1062" s="3">
        <f>(Таблица1[Срок с последнего нарушения кредитного договора (мес,)]-$AA$12)/($AA$13-$AA$12)</f>
        <v>0.40074137090909095</v>
      </c>
      <c r="U1062" s="3">
        <f>(Таблица1[Количество кредитных карт]-$AA$18)/($AA$19-$AA$18)</f>
        <v>0.23809523809523808</v>
      </c>
      <c r="V1062" s="3">
        <f>(Таблица1[Число нарушений кредитных договоров]-$AA$23)/($AA$24-$AA$23)</f>
        <v>0</v>
      </c>
      <c r="W1062" s="3">
        <f>Таблица1[[#This Row],[Годовой доход]]/12</f>
        <v>97337</v>
      </c>
      <c r="X1062" s="3">
        <f>Таблица1[[#This Row],[Ежемесячный платеж]]/Таблица1[[#This Row],[Ежем доход]]</f>
        <v>0.16720866679679874</v>
      </c>
      <c r="Y1062" s="3"/>
      <c r="Z1062" s="3"/>
      <c r="AA1062" s="3"/>
      <c r="AB1062" s="3"/>
    </row>
    <row r="1063" spans="1:28" x14ac:dyDescent="0.2">
      <c r="A1063">
        <v>1727</v>
      </c>
      <c r="B1063" t="s">
        <v>1765</v>
      </c>
      <c r="C1063" t="s">
        <v>18</v>
      </c>
      <c r="D1063" t="s">
        <v>19</v>
      </c>
      <c r="E1063" t="s">
        <v>69</v>
      </c>
      <c r="F1063" t="s">
        <v>21</v>
      </c>
      <c r="G1063" t="s">
        <v>22</v>
      </c>
      <c r="H1063" s="1">
        <v>757768</v>
      </c>
      <c r="I1063" s="3">
        <v>716</v>
      </c>
      <c r="J1063" s="3">
        <v>2393335</v>
      </c>
      <c r="K1063" s="3">
        <v>21739.42</v>
      </c>
      <c r="L1063" s="2">
        <v>22.2</v>
      </c>
      <c r="M1063" s="11">
        <v>13</v>
      </c>
      <c r="N1063" s="3">
        <v>9</v>
      </c>
      <c r="O1063" s="3">
        <v>205333</v>
      </c>
      <c r="P1063" s="3">
        <v>424578</v>
      </c>
      <c r="Q1063" s="10">
        <v>0</v>
      </c>
      <c r="R1063" s="3">
        <f>(Таблица1[Размер кредита]-$AA$2)/$AA$3</f>
        <v>2.5515774897035346</v>
      </c>
      <c r="S1063" s="3">
        <f>(Таблица1[Кредитный рейтинг]-$AA$7)/($AA$8-$AA$7)</f>
        <v>0.95339547270306257</v>
      </c>
      <c r="T1063" s="3">
        <f>(Таблица1[Срок с последнего нарушения кредитного договора (мес,)]-$AA$12)/($AA$13-$AA$12)</f>
        <v>0.14772727272727273</v>
      </c>
      <c r="U1063" s="3">
        <f>(Таблица1[Количество кредитных карт]-$AA$18)/($AA$19-$AA$18)</f>
        <v>0.19047619047619047</v>
      </c>
      <c r="V1063" s="3">
        <f>(Таблица1[Число нарушений кредитных договоров]-$AA$23)/($AA$24-$AA$23)</f>
        <v>0</v>
      </c>
      <c r="W1063" s="3">
        <f>Таблица1[[#This Row],[Годовой доход]]/12</f>
        <v>199444.58333333334</v>
      </c>
      <c r="X1063" s="3">
        <f>Таблица1[[#This Row],[Ежемесячный платеж]]/Таблица1[[#This Row],[Ежем доход]]</f>
        <v>0.10899980153217162</v>
      </c>
      <c r="Y1063" s="3"/>
      <c r="Z1063" s="3"/>
      <c r="AA1063" s="3"/>
      <c r="AB1063" s="3"/>
    </row>
    <row r="1064" spans="1:28" x14ac:dyDescent="0.2">
      <c r="A1064">
        <v>526</v>
      </c>
      <c r="B1064" t="s">
        <v>567</v>
      </c>
      <c r="C1064" t="s">
        <v>18</v>
      </c>
      <c r="D1064" t="s">
        <v>19</v>
      </c>
      <c r="E1064" t="s">
        <v>20</v>
      </c>
      <c r="F1064" t="s">
        <v>21</v>
      </c>
      <c r="G1064" t="s">
        <v>25</v>
      </c>
      <c r="H1064" s="1">
        <v>107844</v>
      </c>
      <c r="I1064" s="3">
        <v>0</v>
      </c>
      <c r="J1064" s="3">
        <v>1168044</v>
      </c>
      <c r="K1064" s="3">
        <v>16912.47</v>
      </c>
      <c r="L1064" s="2">
        <v>31.3</v>
      </c>
      <c r="M1064" s="11">
        <v>35.265240640000002</v>
      </c>
      <c r="N1064" s="3">
        <v>12</v>
      </c>
      <c r="O1064" s="3">
        <v>239058</v>
      </c>
      <c r="P1064" s="3">
        <v>423896</v>
      </c>
      <c r="Q1064" s="10">
        <v>0</v>
      </c>
      <c r="R1064" s="3">
        <f>(Таблица1[Размер кредита]-$AA$2)/$AA$3</f>
        <v>-1.1486224078442238</v>
      </c>
      <c r="S1064" s="3">
        <f>(Таблица1[Кредитный рейтинг]-$AA$7)/($AA$8-$AA$7)</f>
        <v>0</v>
      </c>
      <c r="T1064" s="3">
        <f>(Таблица1[Срок с последнего нарушения кредитного договора (мес,)]-$AA$12)/($AA$13-$AA$12)</f>
        <v>0.40074137090909095</v>
      </c>
      <c r="U1064" s="3">
        <f>(Таблица1[Количество кредитных карт]-$AA$18)/($AA$19-$AA$18)</f>
        <v>0.26190476190476192</v>
      </c>
      <c r="V1064" s="3">
        <f>(Таблица1[Число нарушений кредитных договоров]-$AA$23)/($AA$24-$AA$23)</f>
        <v>0</v>
      </c>
      <c r="W1064" s="3">
        <f>Таблица1[[#This Row],[Годовой доход]]/12</f>
        <v>97337</v>
      </c>
      <c r="X1064" s="3">
        <f>Таблица1[[#This Row],[Ежемесячный платеж]]/Таблица1[[#This Row],[Ежем доход]]</f>
        <v>0.17375170798360337</v>
      </c>
      <c r="Y1064" s="3"/>
      <c r="Z1064" s="3"/>
      <c r="AA1064" s="3"/>
      <c r="AB1064" s="3"/>
    </row>
    <row r="1065" spans="1:28" x14ac:dyDescent="0.2">
      <c r="A1065">
        <v>1492</v>
      </c>
      <c r="B1065" t="s">
        <v>1531</v>
      </c>
      <c r="C1065" t="s">
        <v>18</v>
      </c>
      <c r="D1065" t="s">
        <v>19</v>
      </c>
      <c r="E1065" t="s">
        <v>24</v>
      </c>
      <c r="F1065" t="s">
        <v>21</v>
      </c>
      <c r="G1065" t="s">
        <v>25</v>
      </c>
      <c r="H1065" s="1">
        <v>301620</v>
      </c>
      <c r="I1065" s="3">
        <v>724</v>
      </c>
      <c r="J1065" s="3">
        <v>1068674</v>
      </c>
      <c r="K1065" s="3">
        <v>23867.23</v>
      </c>
      <c r="L1065" s="2">
        <v>27.1</v>
      </c>
      <c r="M1065" s="11">
        <v>19</v>
      </c>
      <c r="N1065" s="3">
        <v>18</v>
      </c>
      <c r="O1065" s="3">
        <v>170962</v>
      </c>
      <c r="P1065" s="3">
        <v>423896</v>
      </c>
      <c r="Q1065" s="10">
        <v>1</v>
      </c>
      <c r="R1065" s="3">
        <f>(Таблица1[Размер кредита]-$AA$2)/$AA$3</f>
        <v>-4.5401207600480817E-2</v>
      </c>
      <c r="S1065" s="3">
        <f>(Таблица1[Кредитный рейтинг]-$AA$7)/($AA$8-$AA$7)</f>
        <v>0.96404793608521966</v>
      </c>
      <c r="T1065" s="3">
        <f>(Таблица1[Срок с последнего нарушения кредитного договора (мес,)]-$AA$12)/($AA$13-$AA$12)</f>
        <v>0.21590909090909091</v>
      </c>
      <c r="U1065" s="3">
        <f>(Таблица1[Количество кредитных карт]-$AA$18)/($AA$19-$AA$18)</f>
        <v>0.40476190476190477</v>
      </c>
      <c r="V1065" s="3">
        <f>(Таблица1[Число нарушений кредитных договоров]-$AA$23)/($AA$24-$AA$23)</f>
        <v>0.14285714285714285</v>
      </c>
      <c r="W1065" s="3">
        <f>Таблица1[[#This Row],[Годовой доход]]/12</f>
        <v>89056.166666666672</v>
      </c>
      <c r="X1065" s="3">
        <f>Таблица1[[#This Row],[Ежемесячный платеж]]/Таблица1[[#This Row],[Ежем доход]]</f>
        <v>0.26800199125271129</v>
      </c>
      <c r="Y1065" s="3"/>
      <c r="Z1065" s="3"/>
      <c r="AA1065" s="3"/>
      <c r="AB1065" s="3"/>
    </row>
    <row r="1066" spans="1:28" x14ac:dyDescent="0.2">
      <c r="A1066">
        <v>837</v>
      </c>
      <c r="B1066" t="s">
        <v>878</v>
      </c>
      <c r="C1066" t="s">
        <v>18</v>
      </c>
      <c r="D1066" t="s">
        <v>19</v>
      </c>
      <c r="E1066" t="s">
        <v>24</v>
      </c>
      <c r="F1066" t="s">
        <v>21</v>
      </c>
      <c r="G1066" t="s">
        <v>25</v>
      </c>
      <c r="H1066" s="1">
        <v>280852</v>
      </c>
      <c r="I1066" s="3">
        <v>738</v>
      </c>
      <c r="J1066" s="3">
        <v>1585930</v>
      </c>
      <c r="K1066" s="3">
        <v>28811.03</v>
      </c>
      <c r="L1066" s="2">
        <v>22.6</v>
      </c>
      <c r="M1066" s="11">
        <v>35.265240640000002</v>
      </c>
      <c r="N1066" s="3">
        <v>13</v>
      </c>
      <c r="O1066" s="3">
        <v>276602</v>
      </c>
      <c r="P1066" s="3">
        <v>423654</v>
      </c>
      <c r="Q1066" s="10">
        <v>0</v>
      </c>
      <c r="R1066" s="3">
        <f>(Таблица1[Размер кредита]-$AA$2)/$AA$3</f>
        <v>-0.16363926539227161</v>
      </c>
      <c r="S1066" s="3">
        <f>(Таблица1[Кредитный рейтинг]-$AA$7)/($AA$8-$AA$7)</f>
        <v>0.9826897470039947</v>
      </c>
      <c r="T1066" s="3">
        <f>(Таблица1[Срок с последнего нарушения кредитного договора (мес,)]-$AA$12)/($AA$13-$AA$12)</f>
        <v>0.40074137090909095</v>
      </c>
      <c r="U1066" s="3">
        <f>(Таблица1[Количество кредитных карт]-$AA$18)/($AA$19-$AA$18)</f>
        <v>0.2857142857142857</v>
      </c>
      <c r="V1066" s="3">
        <f>(Таблица1[Число нарушений кредитных договоров]-$AA$23)/($AA$24-$AA$23)</f>
        <v>0</v>
      </c>
      <c r="W1066" s="3">
        <f>Таблица1[[#This Row],[Годовой доход]]/12</f>
        <v>132160.83333333334</v>
      </c>
      <c r="X1066" s="3">
        <f>Таблица1[[#This Row],[Ежемесячный платеж]]/Таблица1[[#This Row],[Ежем доход]]</f>
        <v>0.21799976039295552</v>
      </c>
      <c r="Y1066" s="3"/>
      <c r="Z1066" s="3"/>
      <c r="AA1066" s="3"/>
      <c r="AB1066" s="3"/>
    </row>
    <row r="1067" spans="1:28" x14ac:dyDescent="0.2">
      <c r="A1067">
        <v>1123</v>
      </c>
      <c r="B1067" t="s">
        <v>1162</v>
      </c>
      <c r="C1067" t="s">
        <v>18</v>
      </c>
      <c r="D1067" t="s">
        <v>19</v>
      </c>
      <c r="E1067" t="s">
        <v>24</v>
      </c>
      <c r="F1067" t="s">
        <v>33</v>
      </c>
      <c r="G1067" t="s">
        <v>25</v>
      </c>
      <c r="H1067" s="1">
        <v>65516</v>
      </c>
      <c r="I1067" s="3">
        <v>716</v>
      </c>
      <c r="J1067" s="3">
        <v>1131564</v>
      </c>
      <c r="K1067" s="3">
        <v>15936.25</v>
      </c>
      <c r="L1067" s="2">
        <v>21.3</v>
      </c>
      <c r="M1067" s="11">
        <v>21</v>
      </c>
      <c r="N1067" s="3">
        <v>6</v>
      </c>
      <c r="O1067" s="3">
        <v>322715</v>
      </c>
      <c r="P1067" s="3">
        <v>423654</v>
      </c>
      <c r="Q1067" s="10">
        <v>0</v>
      </c>
      <c r="R1067" s="3">
        <f>(Таблица1[Размер кредита]-$AA$2)/$AA$3</f>
        <v>-1.389607601902916</v>
      </c>
      <c r="S1067" s="3">
        <f>(Таблица1[Кредитный рейтинг]-$AA$7)/($AA$8-$AA$7)</f>
        <v>0.95339547270306257</v>
      </c>
      <c r="T1067" s="3">
        <f>(Таблица1[Срок с последнего нарушения кредитного договора (мес,)]-$AA$12)/($AA$13-$AA$12)</f>
        <v>0.23863636363636365</v>
      </c>
      <c r="U1067" s="3">
        <f>(Таблица1[Количество кредитных карт]-$AA$18)/($AA$19-$AA$18)</f>
        <v>0.11904761904761904</v>
      </c>
      <c r="V1067" s="3">
        <f>(Таблица1[Число нарушений кредитных договоров]-$AA$23)/($AA$24-$AA$23)</f>
        <v>0</v>
      </c>
      <c r="W1067" s="3">
        <f>Таблица1[[#This Row],[Годовой доход]]/12</f>
        <v>94297</v>
      </c>
      <c r="X1067" s="3">
        <f>Таблица1[[#This Row],[Ежемесячный платеж]]/Таблица1[[#This Row],[Ежем доход]]</f>
        <v>0.16900060447310095</v>
      </c>
      <c r="Y1067" s="3"/>
      <c r="Z1067" s="3"/>
      <c r="AA1067" s="3"/>
      <c r="AB1067" s="3"/>
    </row>
    <row r="1068" spans="1:28" x14ac:dyDescent="0.2">
      <c r="A1068">
        <v>1171</v>
      </c>
      <c r="B1068" t="s">
        <v>1210</v>
      </c>
      <c r="C1068" t="s">
        <v>35</v>
      </c>
      <c r="D1068" t="s">
        <v>19</v>
      </c>
      <c r="E1068" t="s">
        <v>37</v>
      </c>
      <c r="F1068" t="s">
        <v>33</v>
      </c>
      <c r="G1068" t="s">
        <v>67</v>
      </c>
      <c r="H1068" s="1">
        <v>107316</v>
      </c>
      <c r="I1068" s="3">
        <v>0</v>
      </c>
      <c r="J1068" s="3">
        <v>1168044</v>
      </c>
      <c r="K1068" s="3">
        <v>4077.97</v>
      </c>
      <c r="L1068" s="2">
        <v>40.1</v>
      </c>
      <c r="M1068" s="11">
        <v>29</v>
      </c>
      <c r="N1068" s="3">
        <v>8</v>
      </c>
      <c r="O1068" s="3">
        <v>119472</v>
      </c>
      <c r="P1068" s="3">
        <v>423016</v>
      </c>
      <c r="Q1068" s="10">
        <v>0</v>
      </c>
      <c r="R1068" s="3">
        <f>(Таблица1[Размер кредита]-$AA$2)/$AA$3</f>
        <v>-1.1516284601609641</v>
      </c>
      <c r="S1068" s="3">
        <f>(Таблица1[Кредитный рейтинг]-$AA$7)/($AA$8-$AA$7)</f>
        <v>0</v>
      </c>
      <c r="T1068" s="3">
        <f>(Таблица1[Срок с последнего нарушения кредитного договора (мес,)]-$AA$12)/($AA$13-$AA$12)</f>
        <v>0.32954545454545453</v>
      </c>
      <c r="U1068" s="3">
        <f>(Таблица1[Количество кредитных карт]-$AA$18)/($AA$19-$AA$18)</f>
        <v>0.16666666666666666</v>
      </c>
      <c r="V1068" s="3">
        <f>(Таблица1[Число нарушений кредитных договоров]-$AA$23)/($AA$24-$AA$23)</f>
        <v>0</v>
      </c>
      <c r="W1068" s="3">
        <f>Таблица1[[#This Row],[Годовой доход]]/12</f>
        <v>97337</v>
      </c>
      <c r="X1068" s="3">
        <f>Таблица1[[#This Row],[Ежемесячный платеж]]/Таблица1[[#This Row],[Ежем доход]]</f>
        <v>4.1895373804411475E-2</v>
      </c>
      <c r="Y1068" s="3"/>
      <c r="Z1068" s="3"/>
      <c r="AA1068" s="3"/>
      <c r="AB1068" s="3"/>
    </row>
    <row r="1069" spans="1:28" x14ac:dyDescent="0.2">
      <c r="A1069">
        <v>1142</v>
      </c>
      <c r="B1069" t="s">
        <v>1181</v>
      </c>
      <c r="C1069" t="s">
        <v>18</v>
      </c>
      <c r="D1069" t="s">
        <v>29</v>
      </c>
      <c r="E1069" t="s">
        <v>52</v>
      </c>
      <c r="F1069" t="s">
        <v>33</v>
      </c>
      <c r="G1069" t="s">
        <v>25</v>
      </c>
      <c r="H1069" s="1">
        <v>212454</v>
      </c>
      <c r="I1069" s="3">
        <v>708</v>
      </c>
      <c r="J1069" s="3">
        <v>1146042</v>
      </c>
      <c r="K1069" s="3">
        <v>18403.400000000001</v>
      </c>
      <c r="L1069" s="2">
        <v>15.6</v>
      </c>
      <c r="M1069" s="11">
        <v>35.265240640000002</v>
      </c>
      <c r="N1069" s="3">
        <v>9</v>
      </c>
      <c r="O1069" s="3">
        <v>345876</v>
      </c>
      <c r="P1069" s="3">
        <v>422906</v>
      </c>
      <c r="Q1069" s="10">
        <v>0</v>
      </c>
      <c r="R1069" s="3">
        <f>(Таблица1[Размер кредита]-$AA$2)/$AA$3</f>
        <v>-0.5530482925900233</v>
      </c>
      <c r="S1069" s="3">
        <f>(Таблица1[Кредитный рейтинг]-$AA$7)/($AA$8-$AA$7)</f>
        <v>0.94274300932090549</v>
      </c>
      <c r="T1069" s="3">
        <f>(Таблица1[Срок с последнего нарушения кредитного договора (мес,)]-$AA$12)/($AA$13-$AA$12)</f>
        <v>0.40074137090909095</v>
      </c>
      <c r="U1069" s="3">
        <f>(Таблица1[Количество кредитных карт]-$AA$18)/($AA$19-$AA$18)</f>
        <v>0.19047619047619047</v>
      </c>
      <c r="V1069" s="3">
        <f>(Таблица1[Число нарушений кредитных договоров]-$AA$23)/($AA$24-$AA$23)</f>
        <v>0</v>
      </c>
      <c r="W1069" s="3">
        <f>Таблица1[[#This Row],[Годовой доход]]/12</f>
        <v>95503.5</v>
      </c>
      <c r="X1069" s="3">
        <f>Таблица1[[#This Row],[Ежемесячный платеж]]/Таблица1[[#This Row],[Ежем доход]]</f>
        <v>0.19269869690639613</v>
      </c>
      <c r="Y1069" s="3"/>
      <c r="Z1069" s="3"/>
      <c r="AA1069" s="3"/>
      <c r="AB1069" s="3"/>
    </row>
    <row r="1070" spans="1:28" x14ac:dyDescent="0.2">
      <c r="A1070">
        <v>1956</v>
      </c>
      <c r="B1070" t="s">
        <v>1992</v>
      </c>
      <c r="C1070" t="s">
        <v>18</v>
      </c>
      <c r="D1070" t="s">
        <v>29</v>
      </c>
      <c r="E1070" t="s">
        <v>37</v>
      </c>
      <c r="F1070" t="s">
        <v>33</v>
      </c>
      <c r="G1070" t="s">
        <v>25</v>
      </c>
      <c r="H1070" s="1">
        <v>245234</v>
      </c>
      <c r="I1070" s="3">
        <v>705</v>
      </c>
      <c r="J1070" s="3">
        <v>813162</v>
      </c>
      <c r="K1070" s="3">
        <v>18567.18</v>
      </c>
      <c r="L1070" s="2">
        <v>7.4</v>
      </c>
      <c r="M1070" s="11">
        <v>35.265240640000002</v>
      </c>
      <c r="N1070" s="3">
        <v>9</v>
      </c>
      <c r="O1070" s="3">
        <v>206568</v>
      </c>
      <c r="P1070" s="3">
        <v>422576</v>
      </c>
      <c r="Q1070" s="10">
        <v>0</v>
      </c>
      <c r="R1070" s="3">
        <f>(Таблица1[Размер кредита]-$AA$2)/$AA$3</f>
        <v>-0.36642254459238738</v>
      </c>
      <c r="S1070" s="3">
        <f>(Таблица1[Кредитный рейтинг]-$AA$7)/($AA$8-$AA$7)</f>
        <v>0.93874833555259651</v>
      </c>
      <c r="T1070" s="3">
        <f>(Таблица1[Срок с последнего нарушения кредитного договора (мес,)]-$AA$12)/($AA$13-$AA$12)</f>
        <v>0.40074137090909095</v>
      </c>
      <c r="U1070" s="3">
        <f>(Таблица1[Количество кредитных карт]-$AA$18)/($AA$19-$AA$18)</f>
        <v>0.19047619047619047</v>
      </c>
      <c r="V1070" s="3">
        <f>(Таблица1[Число нарушений кредитных договоров]-$AA$23)/($AA$24-$AA$23)</f>
        <v>0</v>
      </c>
      <c r="W1070" s="3">
        <f>Таблица1[[#This Row],[Годовой доход]]/12</f>
        <v>67763.5</v>
      </c>
      <c r="X1070" s="3">
        <f>Таблица1[[#This Row],[Ежемесячный платеж]]/Таблица1[[#This Row],[Ежем доход]]</f>
        <v>0.27399971961306602</v>
      </c>
      <c r="Y1070" s="3"/>
      <c r="Z1070" s="3"/>
      <c r="AA1070" s="3"/>
      <c r="AB1070" s="3"/>
    </row>
    <row r="1071" spans="1:28" x14ac:dyDescent="0.2">
      <c r="A1071">
        <v>278</v>
      </c>
      <c r="B1071" t="s">
        <v>320</v>
      </c>
      <c r="C1071" t="s">
        <v>18</v>
      </c>
      <c r="D1071" t="s">
        <v>29</v>
      </c>
      <c r="E1071" t="s">
        <v>24</v>
      </c>
      <c r="F1071" t="s">
        <v>21</v>
      </c>
      <c r="G1071" t="s">
        <v>25</v>
      </c>
      <c r="H1071" s="1">
        <v>266926</v>
      </c>
      <c r="I1071" s="3">
        <v>725</v>
      </c>
      <c r="J1071" s="3">
        <v>1632936</v>
      </c>
      <c r="K1071" s="3">
        <v>20139.43</v>
      </c>
      <c r="L1071" s="2">
        <v>16</v>
      </c>
      <c r="M1071" s="11">
        <v>35.265240640000002</v>
      </c>
      <c r="N1071" s="3">
        <v>10</v>
      </c>
      <c r="O1071" s="3">
        <v>119586</v>
      </c>
      <c r="P1071" s="3">
        <v>422180</v>
      </c>
      <c r="Q1071" s="10">
        <v>1</v>
      </c>
      <c r="R1071" s="3">
        <f>(Таблица1[Размер кредита]-$AA$2)/$AA$3</f>
        <v>-0.24292389524630081</v>
      </c>
      <c r="S1071" s="3">
        <f>(Таблица1[Кредитный рейтинг]-$AA$7)/($AA$8-$AA$7)</f>
        <v>0.96537949400798939</v>
      </c>
      <c r="T1071" s="3">
        <f>(Таблица1[Срок с последнего нарушения кредитного договора (мес,)]-$AA$12)/($AA$13-$AA$12)</f>
        <v>0.40074137090909095</v>
      </c>
      <c r="U1071" s="3">
        <f>(Таблица1[Количество кредитных карт]-$AA$18)/($AA$19-$AA$18)</f>
        <v>0.21428571428571427</v>
      </c>
      <c r="V1071" s="3">
        <f>(Таблица1[Число нарушений кредитных договоров]-$AA$23)/($AA$24-$AA$23)</f>
        <v>0.14285714285714285</v>
      </c>
      <c r="W1071" s="3">
        <f>Таблица1[[#This Row],[Годовой доход]]/12</f>
        <v>136078</v>
      </c>
      <c r="X1071" s="3">
        <f>Таблица1[[#This Row],[Ежемесячный платеж]]/Таблица1[[#This Row],[Ежем доход]]</f>
        <v>0.14799916224518292</v>
      </c>
      <c r="Y1071" s="3"/>
      <c r="Z1071" s="3"/>
      <c r="AA1071" s="3"/>
      <c r="AB1071" s="3"/>
    </row>
    <row r="1072" spans="1:28" x14ac:dyDescent="0.2">
      <c r="A1072">
        <v>560</v>
      </c>
      <c r="B1072" t="s">
        <v>601</v>
      </c>
      <c r="C1072" t="s">
        <v>18</v>
      </c>
      <c r="D1072" t="s">
        <v>19</v>
      </c>
      <c r="E1072" t="s">
        <v>20</v>
      </c>
      <c r="F1072" t="s">
        <v>21</v>
      </c>
      <c r="G1072" t="s">
        <v>25</v>
      </c>
      <c r="H1072" s="1">
        <v>351714</v>
      </c>
      <c r="I1072" s="3">
        <v>740</v>
      </c>
      <c r="J1072" s="3">
        <v>837235</v>
      </c>
      <c r="K1072" s="3">
        <v>6551.2</v>
      </c>
      <c r="L1072" s="2">
        <v>9.5</v>
      </c>
      <c r="M1072" s="11">
        <v>35.265240640000002</v>
      </c>
      <c r="N1072" s="3">
        <v>6</v>
      </c>
      <c r="O1072" s="3">
        <v>204858</v>
      </c>
      <c r="P1072" s="3">
        <v>422092</v>
      </c>
      <c r="Q1072" s="10">
        <v>0</v>
      </c>
      <c r="R1072" s="3">
        <f>(Таблица1[Размер кредита]-$AA$2)/$AA$3</f>
        <v>0.23979800595026879</v>
      </c>
      <c r="S1072" s="3">
        <f>(Таблица1[Кредитный рейтинг]-$AA$7)/($AA$8-$AA$7)</f>
        <v>0.98535286284953394</v>
      </c>
      <c r="T1072" s="3">
        <f>(Таблица1[Срок с последнего нарушения кредитного договора (мес,)]-$AA$12)/($AA$13-$AA$12)</f>
        <v>0.40074137090909095</v>
      </c>
      <c r="U1072" s="3">
        <f>(Таблица1[Количество кредитных карт]-$AA$18)/($AA$19-$AA$18)</f>
        <v>0.11904761904761904</v>
      </c>
      <c r="V1072" s="3">
        <f>(Таблица1[Число нарушений кредитных договоров]-$AA$23)/($AA$24-$AA$23)</f>
        <v>0</v>
      </c>
      <c r="W1072" s="3">
        <f>Таблица1[[#This Row],[Годовой доход]]/12</f>
        <v>69769.583333333328</v>
      </c>
      <c r="X1072" s="3">
        <f>Таблица1[[#This Row],[Ежемесячный платеж]]/Таблица1[[#This Row],[Ежем доход]]</f>
        <v>9.38976511970952E-2</v>
      </c>
      <c r="Y1072" s="3"/>
      <c r="Z1072" s="3"/>
      <c r="AA1072" s="3"/>
      <c r="AB1072" s="3"/>
    </row>
    <row r="1073" spans="1:28" x14ac:dyDescent="0.2">
      <c r="A1073">
        <v>1625</v>
      </c>
      <c r="B1073" t="s">
        <v>1664</v>
      </c>
      <c r="C1073" t="s">
        <v>18</v>
      </c>
      <c r="D1073" t="s">
        <v>29</v>
      </c>
      <c r="E1073" t="s">
        <v>32</v>
      </c>
      <c r="F1073" t="s">
        <v>33</v>
      </c>
      <c r="G1073" t="s">
        <v>25</v>
      </c>
      <c r="H1073" s="1">
        <v>309594.52439999999</v>
      </c>
      <c r="I1073" s="3">
        <v>680</v>
      </c>
      <c r="J1073" s="3">
        <v>870561</v>
      </c>
      <c r="K1073" s="3">
        <v>6993.52</v>
      </c>
      <c r="L1073" s="2">
        <v>30.5</v>
      </c>
      <c r="M1073" s="11">
        <v>35.265240640000002</v>
      </c>
      <c r="N1073" s="3">
        <v>10</v>
      </c>
      <c r="O1073" s="3">
        <v>261934</v>
      </c>
      <c r="P1073" s="3">
        <v>421256</v>
      </c>
      <c r="Q1073" s="10">
        <v>2</v>
      </c>
      <c r="R1073" s="3">
        <f>(Таблица1[Размер кредита]-$AA$2)/$AA$3</f>
        <v>-1.2411115481956205E-10</v>
      </c>
      <c r="S1073" s="3">
        <f>(Таблица1[Кредитный рейтинг]-$AA$7)/($AA$8-$AA$7)</f>
        <v>0.90545938748335553</v>
      </c>
      <c r="T1073" s="3">
        <f>(Таблица1[Срок с последнего нарушения кредитного договора (мес,)]-$AA$12)/($AA$13-$AA$12)</f>
        <v>0.40074137090909095</v>
      </c>
      <c r="U1073" s="3">
        <f>(Таблица1[Количество кредитных карт]-$AA$18)/($AA$19-$AA$18)</f>
        <v>0.21428571428571427</v>
      </c>
      <c r="V1073" s="3">
        <f>(Таблица1[Число нарушений кредитных договоров]-$AA$23)/($AA$24-$AA$23)</f>
        <v>0.2857142857142857</v>
      </c>
      <c r="W1073" s="3">
        <f>Таблица1[[#This Row],[Годовой доход]]/12</f>
        <v>72546.75</v>
      </c>
      <c r="X1073" s="3">
        <f>Таблица1[[#This Row],[Ежемесячный платеж]]/Таблица1[[#This Row],[Ежем доход]]</f>
        <v>9.6400183330059591E-2</v>
      </c>
      <c r="Y1073" s="3"/>
      <c r="Z1073" s="3"/>
      <c r="AA1073" s="3"/>
      <c r="AB1073" s="3"/>
    </row>
    <row r="1074" spans="1:28" x14ac:dyDescent="0.2">
      <c r="A1074">
        <v>630</v>
      </c>
      <c r="B1074" t="s">
        <v>671</v>
      </c>
      <c r="C1074" t="s">
        <v>18</v>
      </c>
      <c r="D1074" t="s">
        <v>19</v>
      </c>
      <c r="E1074" t="s">
        <v>37</v>
      </c>
      <c r="F1074" t="s">
        <v>21</v>
      </c>
      <c r="G1074" t="s">
        <v>2037</v>
      </c>
      <c r="H1074" s="1">
        <v>335082</v>
      </c>
      <c r="I1074" s="3">
        <v>721</v>
      </c>
      <c r="J1074" s="3">
        <v>1215430</v>
      </c>
      <c r="K1074" s="3">
        <v>13065.92</v>
      </c>
      <c r="L1074" s="2">
        <v>25.5</v>
      </c>
      <c r="M1074" s="11">
        <v>35.265240640000002</v>
      </c>
      <c r="N1074" s="3">
        <v>13</v>
      </c>
      <c r="O1074" s="3">
        <v>351728</v>
      </c>
      <c r="P1074" s="3">
        <v>419848</v>
      </c>
      <c r="Q1074" s="10">
        <v>0</v>
      </c>
      <c r="R1074" s="3">
        <f>(Таблица1[Размер кредита]-$AA$2)/$AA$3</f>
        <v>0.14510735797294483</v>
      </c>
      <c r="S1074" s="3">
        <f>(Таблица1[Кредитный рейтинг]-$AA$7)/($AA$8-$AA$7)</f>
        <v>0.96005326231691079</v>
      </c>
      <c r="T1074" s="3">
        <f>(Таблица1[Срок с последнего нарушения кредитного договора (мес,)]-$AA$12)/($AA$13-$AA$12)</f>
        <v>0.40074137090909095</v>
      </c>
      <c r="U1074" s="3">
        <f>(Таблица1[Количество кредитных карт]-$AA$18)/($AA$19-$AA$18)</f>
        <v>0.2857142857142857</v>
      </c>
      <c r="V1074" s="3">
        <f>(Таблица1[Число нарушений кредитных договоров]-$AA$23)/($AA$24-$AA$23)</f>
        <v>0</v>
      </c>
      <c r="W1074" s="3">
        <f>Таблица1[[#This Row],[Годовой доход]]/12</f>
        <v>101285.83333333333</v>
      </c>
      <c r="X1074" s="3">
        <f>Таблица1[[#This Row],[Ежемесячный платеж]]/Таблица1[[#This Row],[Ежем доход]]</f>
        <v>0.12900046896982961</v>
      </c>
      <c r="Y1074" s="3"/>
      <c r="Z1074" s="3"/>
      <c r="AA1074" s="3"/>
      <c r="AB1074" s="3"/>
    </row>
    <row r="1075" spans="1:28" x14ac:dyDescent="0.2">
      <c r="A1075">
        <v>666</v>
      </c>
      <c r="B1075" t="s">
        <v>707</v>
      </c>
      <c r="C1075" t="s">
        <v>18</v>
      </c>
      <c r="D1075" t="s">
        <v>19</v>
      </c>
      <c r="E1075" t="s">
        <v>47</v>
      </c>
      <c r="F1075" t="s">
        <v>21</v>
      </c>
      <c r="G1075" t="s">
        <v>25</v>
      </c>
      <c r="H1075" s="1">
        <v>393382</v>
      </c>
      <c r="I1075" s="3">
        <v>0</v>
      </c>
      <c r="J1075" s="3">
        <v>1168044</v>
      </c>
      <c r="K1075" s="3">
        <v>19400.330000000002</v>
      </c>
      <c r="L1075" s="2">
        <v>11</v>
      </c>
      <c r="M1075" s="11">
        <v>4</v>
      </c>
      <c r="N1075" s="3">
        <v>23</v>
      </c>
      <c r="O1075" s="3">
        <v>112765</v>
      </c>
      <c r="P1075" s="3">
        <v>419848</v>
      </c>
      <c r="Q1075" s="10">
        <v>0</v>
      </c>
      <c r="R1075" s="3">
        <f>(Таблица1[Размер кредита]-$AA$2)/$AA$3</f>
        <v>0.47702563461303549</v>
      </c>
      <c r="S1075" s="3">
        <f>(Таблица1[Кредитный рейтинг]-$AA$7)/($AA$8-$AA$7)</f>
        <v>0</v>
      </c>
      <c r="T1075" s="3">
        <f>(Таблица1[Срок с последнего нарушения кредитного договора (мес,)]-$AA$12)/($AA$13-$AA$12)</f>
        <v>4.5454545454545456E-2</v>
      </c>
      <c r="U1075" s="3">
        <f>(Таблица1[Количество кредитных карт]-$AA$18)/($AA$19-$AA$18)</f>
        <v>0.52380952380952384</v>
      </c>
      <c r="V1075" s="3">
        <f>(Таблица1[Число нарушений кредитных договоров]-$AA$23)/($AA$24-$AA$23)</f>
        <v>0</v>
      </c>
      <c r="W1075" s="3">
        <f>Таблица1[[#This Row],[Годовой доход]]/12</f>
        <v>97337</v>
      </c>
      <c r="X1075" s="3">
        <f>Таблица1[[#This Row],[Ежемесячный платеж]]/Таблица1[[#This Row],[Ежем доход]]</f>
        <v>0.19931095061487411</v>
      </c>
      <c r="Y1075" s="3"/>
      <c r="Z1075" s="3"/>
      <c r="AA1075" s="3"/>
      <c r="AB1075" s="3"/>
    </row>
    <row r="1076" spans="1:28" x14ac:dyDescent="0.2">
      <c r="A1076">
        <v>1372</v>
      </c>
      <c r="B1076" t="s">
        <v>1411</v>
      </c>
      <c r="C1076" t="s">
        <v>18</v>
      </c>
      <c r="D1076" t="s">
        <v>19</v>
      </c>
      <c r="E1076" t="s">
        <v>24</v>
      </c>
      <c r="F1076" t="s">
        <v>33</v>
      </c>
      <c r="G1076" t="s">
        <v>25</v>
      </c>
      <c r="H1076" s="1">
        <v>216194</v>
      </c>
      <c r="I1076" s="3">
        <v>731</v>
      </c>
      <c r="J1076" s="3">
        <v>552539</v>
      </c>
      <c r="K1076" s="3">
        <v>10820.69</v>
      </c>
      <c r="L1076" s="2">
        <v>15.4</v>
      </c>
      <c r="M1076" s="11">
        <v>9</v>
      </c>
      <c r="N1076" s="3">
        <v>11</v>
      </c>
      <c r="O1076" s="3">
        <v>251674</v>
      </c>
      <c r="P1076" s="3">
        <v>419298</v>
      </c>
      <c r="Q1076" s="10">
        <v>0</v>
      </c>
      <c r="R1076" s="3">
        <f>(Таблица1[Размер кредита]-$AA$2)/$AA$3</f>
        <v>-0.53175542201311177</v>
      </c>
      <c r="S1076" s="3">
        <f>(Таблица1[Кредитный рейтинг]-$AA$7)/($AA$8-$AA$7)</f>
        <v>0.97336884154460723</v>
      </c>
      <c r="T1076" s="3">
        <f>(Таблица1[Срок с последнего нарушения кредитного договора (мес,)]-$AA$12)/($AA$13-$AA$12)</f>
        <v>0.10227272727272728</v>
      </c>
      <c r="U1076" s="3">
        <f>(Таблица1[Количество кредитных карт]-$AA$18)/($AA$19-$AA$18)</f>
        <v>0.23809523809523808</v>
      </c>
      <c r="V1076" s="3">
        <f>(Таблица1[Число нарушений кредитных договоров]-$AA$23)/($AA$24-$AA$23)</f>
        <v>0</v>
      </c>
      <c r="W1076" s="3">
        <f>Таблица1[[#This Row],[Годовой доход]]/12</f>
        <v>46044.916666666664</v>
      </c>
      <c r="X1076" s="3">
        <f>Таблица1[[#This Row],[Ежемесячный платеж]]/Таблица1[[#This Row],[Ежем доход]]</f>
        <v>0.23500292287060282</v>
      </c>
      <c r="Y1076" s="3"/>
      <c r="Z1076" s="3"/>
      <c r="AA1076" s="3"/>
      <c r="AB1076" s="3"/>
    </row>
    <row r="1077" spans="1:28" x14ac:dyDescent="0.2">
      <c r="A1077">
        <v>125</v>
      </c>
      <c r="B1077" t="s">
        <v>167</v>
      </c>
      <c r="C1077" t="s">
        <v>18</v>
      </c>
      <c r="D1077" t="s">
        <v>19</v>
      </c>
      <c r="E1077" t="s">
        <v>20</v>
      </c>
      <c r="F1077" t="s">
        <v>33</v>
      </c>
      <c r="G1077" t="s">
        <v>25</v>
      </c>
      <c r="H1077" s="1">
        <v>338030</v>
      </c>
      <c r="I1077" s="3">
        <v>0</v>
      </c>
      <c r="J1077" s="3">
        <v>1168044</v>
      </c>
      <c r="K1077" s="3">
        <v>12144.04</v>
      </c>
      <c r="L1077" s="2">
        <v>16.899999999999999</v>
      </c>
      <c r="M1077" s="11">
        <v>35.265240640000002</v>
      </c>
      <c r="N1077" s="3">
        <v>9</v>
      </c>
      <c r="O1077" s="3">
        <v>321157</v>
      </c>
      <c r="P1077" s="3">
        <v>419232</v>
      </c>
      <c r="Q1077" s="10">
        <v>0</v>
      </c>
      <c r="R1077" s="3">
        <f>(Таблица1[Размер кредита]-$AA$2)/$AA$3</f>
        <v>0.16189115007474564</v>
      </c>
      <c r="S1077" s="3">
        <f>(Таблица1[Кредитный рейтинг]-$AA$7)/($AA$8-$AA$7)</f>
        <v>0</v>
      </c>
      <c r="T1077" s="3">
        <f>(Таблица1[Срок с последнего нарушения кредитного договора (мес,)]-$AA$12)/($AA$13-$AA$12)</f>
        <v>0.40074137090909095</v>
      </c>
      <c r="U1077" s="3">
        <f>(Таблица1[Количество кредитных карт]-$AA$18)/($AA$19-$AA$18)</f>
        <v>0.19047619047619047</v>
      </c>
      <c r="V1077" s="3">
        <f>(Таблица1[Число нарушений кредитных договоров]-$AA$23)/($AA$24-$AA$23)</f>
        <v>0</v>
      </c>
      <c r="W1077" s="3">
        <f>Таблица1[[#This Row],[Годовой доход]]/12</f>
        <v>97337</v>
      </c>
      <c r="X1077" s="3">
        <f>Таблица1[[#This Row],[Ежемесячный платеж]]/Таблица1[[#This Row],[Ежем доход]]</f>
        <v>0.12476283427679095</v>
      </c>
      <c r="Y1077" s="3"/>
      <c r="Z1077" s="3"/>
      <c r="AA1077" s="3"/>
      <c r="AB1077" s="3"/>
    </row>
    <row r="1078" spans="1:28" x14ac:dyDescent="0.2">
      <c r="A1078">
        <v>866</v>
      </c>
      <c r="B1078" t="s">
        <v>907</v>
      </c>
      <c r="C1078" t="s">
        <v>35</v>
      </c>
      <c r="D1078" t="s">
        <v>29</v>
      </c>
      <c r="E1078" t="s">
        <v>24</v>
      </c>
      <c r="F1078" t="s">
        <v>27</v>
      </c>
      <c r="G1078" t="s">
        <v>25</v>
      </c>
      <c r="H1078" s="1">
        <v>467632</v>
      </c>
      <c r="I1078" s="3">
        <v>726</v>
      </c>
      <c r="J1078" s="3">
        <v>1148436</v>
      </c>
      <c r="K1078" s="3">
        <v>9857.39</v>
      </c>
      <c r="L1078" s="2">
        <v>16.399999999999999</v>
      </c>
      <c r="M1078" s="11">
        <v>5</v>
      </c>
      <c r="N1078" s="3">
        <v>8</v>
      </c>
      <c r="O1078" s="3">
        <v>226708</v>
      </c>
      <c r="P1078" s="3">
        <v>418660</v>
      </c>
      <c r="Q1078" s="10">
        <v>0</v>
      </c>
      <c r="R1078" s="3">
        <f>(Таблица1[Размер кредита]-$AA$2)/$AA$3</f>
        <v>0.89975174165466043</v>
      </c>
      <c r="S1078" s="3">
        <f>(Таблица1[Кредитный рейтинг]-$AA$7)/($AA$8-$AA$7)</f>
        <v>0.96671105193075901</v>
      </c>
      <c r="T1078" s="3">
        <f>(Таблица1[Срок с последнего нарушения кредитного договора (мес,)]-$AA$12)/($AA$13-$AA$12)</f>
        <v>5.6818181818181816E-2</v>
      </c>
      <c r="U1078" s="3">
        <f>(Таблица1[Количество кредитных карт]-$AA$18)/($AA$19-$AA$18)</f>
        <v>0.16666666666666666</v>
      </c>
      <c r="V1078" s="3">
        <f>(Таблица1[Число нарушений кредитных договоров]-$AA$23)/($AA$24-$AA$23)</f>
        <v>0</v>
      </c>
      <c r="W1078" s="3">
        <f>Таблица1[[#This Row],[Годовой доход]]/12</f>
        <v>95703</v>
      </c>
      <c r="X1078" s="3">
        <f>Таблица1[[#This Row],[Ежемесячный платеж]]/Таблица1[[#This Row],[Ежем доход]]</f>
        <v>0.10299980146912845</v>
      </c>
      <c r="Y1078" s="3"/>
      <c r="Z1078" s="3"/>
      <c r="AA1078" s="3"/>
      <c r="AB1078" s="3"/>
    </row>
    <row r="1079" spans="1:28" x14ac:dyDescent="0.2">
      <c r="A1079">
        <v>1054</v>
      </c>
      <c r="B1079" t="s">
        <v>1093</v>
      </c>
      <c r="C1079" t="s">
        <v>18</v>
      </c>
      <c r="D1079" t="s">
        <v>29</v>
      </c>
      <c r="E1079" t="s">
        <v>52</v>
      </c>
      <c r="F1079" t="s">
        <v>21</v>
      </c>
      <c r="G1079" t="s">
        <v>25</v>
      </c>
      <c r="H1079" s="1">
        <v>225830</v>
      </c>
      <c r="I1079" s="3">
        <v>681</v>
      </c>
      <c r="J1079" s="3">
        <v>2250360</v>
      </c>
      <c r="K1079" s="3">
        <v>27004.32</v>
      </c>
      <c r="L1079" s="2">
        <v>18.899999999999999</v>
      </c>
      <c r="M1079" s="11">
        <v>35.265240640000002</v>
      </c>
      <c r="N1079" s="3">
        <v>11</v>
      </c>
      <c r="O1079" s="3">
        <v>270579</v>
      </c>
      <c r="P1079" s="3">
        <v>417758</v>
      </c>
      <c r="Q1079" s="10">
        <v>1</v>
      </c>
      <c r="R1079" s="3">
        <f>(Таблица1[Размер кредита]-$AA$2)/$AA$3</f>
        <v>-0.47689496723259872</v>
      </c>
      <c r="S1079" s="3">
        <f>(Таблица1[Кредитный рейтинг]-$AA$7)/($AA$8-$AA$7)</f>
        <v>0.90679094540612515</v>
      </c>
      <c r="T1079" s="3">
        <f>(Таблица1[Срок с последнего нарушения кредитного договора (мес,)]-$AA$12)/($AA$13-$AA$12)</f>
        <v>0.40074137090909095</v>
      </c>
      <c r="U1079" s="3">
        <f>(Таблица1[Количество кредитных карт]-$AA$18)/($AA$19-$AA$18)</f>
        <v>0.23809523809523808</v>
      </c>
      <c r="V1079" s="3">
        <f>(Таблица1[Число нарушений кредитных договоров]-$AA$23)/($AA$24-$AA$23)</f>
        <v>0.14285714285714285</v>
      </c>
      <c r="W1079" s="3">
        <f>Таблица1[[#This Row],[Годовой доход]]/12</f>
        <v>187530</v>
      </c>
      <c r="X1079" s="3">
        <f>Таблица1[[#This Row],[Ежемесячный платеж]]/Таблица1[[#This Row],[Ежем доход]]</f>
        <v>0.14399999999999999</v>
      </c>
      <c r="Y1079" s="3"/>
      <c r="Z1079" s="3"/>
      <c r="AA1079" s="3"/>
      <c r="AB1079" s="3"/>
    </row>
    <row r="1080" spans="1:28" x14ac:dyDescent="0.2">
      <c r="A1080">
        <v>1290</v>
      </c>
      <c r="B1080" t="s">
        <v>1329</v>
      </c>
      <c r="C1080" t="s">
        <v>18</v>
      </c>
      <c r="D1080" t="s">
        <v>29</v>
      </c>
      <c r="E1080" t="s">
        <v>50</v>
      </c>
      <c r="F1080" t="s">
        <v>21</v>
      </c>
      <c r="G1080" t="s">
        <v>25</v>
      </c>
      <c r="H1080" s="1">
        <v>538450</v>
      </c>
      <c r="I1080" s="3">
        <v>692</v>
      </c>
      <c r="J1080" s="3">
        <v>1860100</v>
      </c>
      <c r="K1080" s="3">
        <v>34876.97</v>
      </c>
      <c r="L1080" s="2">
        <v>14.4</v>
      </c>
      <c r="M1080" s="11">
        <v>28</v>
      </c>
      <c r="N1080" s="3">
        <v>13</v>
      </c>
      <c r="O1080" s="3">
        <v>222490</v>
      </c>
      <c r="P1080" s="3">
        <v>417538</v>
      </c>
      <c r="Q1080" s="10">
        <v>0</v>
      </c>
      <c r="R1080" s="3">
        <f>(Таблица1[Размер кредита]-$AA$2)/$AA$3</f>
        <v>1.3029385086374725</v>
      </c>
      <c r="S1080" s="3">
        <f>(Таблица1[Кредитный рейтинг]-$AA$7)/($AA$8-$AA$7)</f>
        <v>0.92143808255659121</v>
      </c>
      <c r="T1080" s="3">
        <f>(Таблица1[Срок с последнего нарушения кредитного договора (мес,)]-$AA$12)/($AA$13-$AA$12)</f>
        <v>0.31818181818181818</v>
      </c>
      <c r="U1080" s="3">
        <f>(Таблица1[Количество кредитных карт]-$AA$18)/($AA$19-$AA$18)</f>
        <v>0.2857142857142857</v>
      </c>
      <c r="V1080" s="3">
        <f>(Таблица1[Число нарушений кредитных договоров]-$AA$23)/($AA$24-$AA$23)</f>
        <v>0</v>
      </c>
      <c r="W1080" s="3">
        <f>Таблица1[[#This Row],[Годовой доход]]/12</f>
        <v>155008.33333333334</v>
      </c>
      <c r="X1080" s="3">
        <f>Таблица1[[#This Row],[Ежемесячный платеж]]/Таблица1[[#This Row],[Ежем доход]]</f>
        <v>0.22500061287027578</v>
      </c>
      <c r="Y1080" s="3"/>
      <c r="Z1080" s="3"/>
      <c r="AA1080" s="3"/>
      <c r="AB1080" s="3"/>
    </row>
    <row r="1081" spans="1:28" x14ac:dyDescent="0.2">
      <c r="A1081">
        <v>1456</v>
      </c>
      <c r="B1081" t="s">
        <v>1495</v>
      </c>
      <c r="C1081" t="s">
        <v>18</v>
      </c>
      <c r="D1081" t="s">
        <v>19</v>
      </c>
      <c r="E1081" t="s">
        <v>69</v>
      </c>
      <c r="F1081" t="s">
        <v>21</v>
      </c>
      <c r="G1081" t="s">
        <v>22</v>
      </c>
      <c r="H1081" s="1">
        <v>75394</v>
      </c>
      <c r="I1081" s="3">
        <v>0</v>
      </c>
      <c r="J1081" s="3">
        <v>1168044</v>
      </c>
      <c r="K1081" s="3">
        <v>17317.55</v>
      </c>
      <c r="L1081" s="2">
        <v>25.6</v>
      </c>
      <c r="M1081" s="11">
        <v>27</v>
      </c>
      <c r="N1081" s="3">
        <v>9</v>
      </c>
      <c r="O1081" s="3">
        <v>205409</v>
      </c>
      <c r="P1081" s="3">
        <v>417274</v>
      </c>
      <c r="Q1081" s="10">
        <v>0</v>
      </c>
      <c r="R1081" s="3">
        <f>(Таблица1[Размер кредита]-$AA$2)/$AA$3</f>
        <v>-1.3333693731438969</v>
      </c>
      <c r="S1081" s="3">
        <f>(Таблица1[Кредитный рейтинг]-$AA$7)/($AA$8-$AA$7)</f>
        <v>0</v>
      </c>
      <c r="T1081" s="3">
        <f>(Таблица1[Срок с последнего нарушения кредитного договора (мес,)]-$AA$12)/($AA$13-$AA$12)</f>
        <v>0.30681818181818182</v>
      </c>
      <c r="U1081" s="3">
        <f>(Таблица1[Количество кредитных карт]-$AA$18)/($AA$19-$AA$18)</f>
        <v>0.19047619047619047</v>
      </c>
      <c r="V1081" s="3">
        <f>(Таблица1[Число нарушений кредитных договоров]-$AA$23)/($AA$24-$AA$23)</f>
        <v>0</v>
      </c>
      <c r="W1081" s="3">
        <f>Таблица1[[#This Row],[Годовой доход]]/12</f>
        <v>97337</v>
      </c>
      <c r="X1081" s="3">
        <f>Таблица1[[#This Row],[Ежемесячный платеж]]/Таблица1[[#This Row],[Ежем доход]]</f>
        <v>0.17791333203201248</v>
      </c>
      <c r="Y1081" s="3"/>
      <c r="Z1081" s="3"/>
      <c r="AA1081" s="3"/>
      <c r="AB1081" s="3"/>
    </row>
    <row r="1082" spans="1:28" x14ac:dyDescent="0.2">
      <c r="A1082">
        <v>1817</v>
      </c>
      <c r="B1082" t="s">
        <v>1855</v>
      </c>
      <c r="C1082" t="s">
        <v>35</v>
      </c>
      <c r="D1082" t="s">
        <v>29</v>
      </c>
      <c r="E1082" t="s">
        <v>69</v>
      </c>
      <c r="F1082" t="s">
        <v>21</v>
      </c>
      <c r="G1082" t="s">
        <v>25</v>
      </c>
      <c r="H1082" s="1">
        <v>421806</v>
      </c>
      <c r="I1082" s="3">
        <v>0</v>
      </c>
      <c r="J1082" s="3">
        <v>1168044</v>
      </c>
      <c r="K1082" s="3">
        <v>10571.41</v>
      </c>
      <c r="L1082" s="2">
        <v>16.5</v>
      </c>
      <c r="M1082" s="11">
        <v>57</v>
      </c>
      <c r="N1082" s="3">
        <v>13</v>
      </c>
      <c r="O1082" s="3">
        <v>229387</v>
      </c>
      <c r="P1082" s="3">
        <v>416966</v>
      </c>
      <c r="Q1082" s="10">
        <v>0</v>
      </c>
      <c r="R1082" s="3">
        <f>(Таблица1[Размер кредита]-$AA$2)/$AA$3</f>
        <v>0.63885145099756269</v>
      </c>
      <c r="S1082" s="3">
        <f>(Таблица1[Кредитный рейтинг]-$AA$7)/($AA$8-$AA$7)</f>
        <v>0</v>
      </c>
      <c r="T1082" s="3">
        <f>(Таблица1[Срок с последнего нарушения кредитного договора (мес,)]-$AA$12)/($AA$13-$AA$12)</f>
        <v>0.64772727272727271</v>
      </c>
      <c r="U1082" s="3">
        <f>(Таблица1[Количество кредитных карт]-$AA$18)/($AA$19-$AA$18)</f>
        <v>0.2857142857142857</v>
      </c>
      <c r="V1082" s="3">
        <f>(Таблица1[Число нарушений кредитных договоров]-$AA$23)/($AA$24-$AA$23)</f>
        <v>0</v>
      </c>
      <c r="W1082" s="3">
        <f>Таблица1[[#This Row],[Годовой доход]]/12</f>
        <v>97337</v>
      </c>
      <c r="X1082" s="3">
        <f>Таблица1[[#This Row],[Ежемесячный платеж]]/Таблица1[[#This Row],[Ежем доход]]</f>
        <v>0.10860628537966036</v>
      </c>
      <c r="Y1082" s="3"/>
      <c r="Z1082" s="3"/>
      <c r="AA1082" s="3"/>
      <c r="AB1082" s="3"/>
    </row>
    <row r="1083" spans="1:28" x14ac:dyDescent="0.2">
      <c r="A1083">
        <v>1</v>
      </c>
      <c r="B1083" t="s">
        <v>17</v>
      </c>
      <c r="C1083" t="s">
        <v>18</v>
      </c>
      <c r="D1083" t="s">
        <v>19</v>
      </c>
      <c r="E1083" t="s">
        <v>20</v>
      </c>
      <c r="F1083" t="s">
        <v>21</v>
      </c>
      <c r="G1083" t="s">
        <v>22</v>
      </c>
      <c r="H1083" s="1">
        <v>445412</v>
      </c>
      <c r="I1083" s="3">
        <v>709</v>
      </c>
      <c r="J1083" s="3">
        <v>1167493</v>
      </c>
      <c r="K1083" s="3">
        <v>5214.74</v>
      </c>
      <c r="L1083" s="2">
        <v>17.2</v>
      </c>
      <c r="M1083" s="11">
        <v>35.265240640000002</v>
      </c>
      <c r="N1083" s="3">
        <v>6</v>
      </c>
      <c r="O1083" s="3">
        <v>228190</v>
      </c>
      <c r="P1083" s="3">
        <v>416746</v>
      </c>
      <c r="Q1083" s="10">
        <v>1</v>
      </c>
      <c r="R1083" s="3">
        <f>(Таблица1[Размер кредита]-$AA$2)/$AA$3</f>
        <v>0.77324703999183342</v>
      </c>
      <c r="S1083" s="3">
        <f>(Таблица1[Кредитный рейтинг]-$AA$7)/($AA$8-$AA$7)</f>
        <v>0.94407456724367511</v>
      </c>
      <c r="T1083" s="3">
        <f>(Таблица1[Срок с последнего нарушения кредитного договора (мес,)]-$AA$12)/($AA$13-$AA$12)</f>
        <v>0.40074137090909095</v>
      </c>
      <c r="U1083" s="3">
        <f>(Таблица1[Количество кредитных карт]-$AA$18)/($AA$19-$AA$18)</f>
        <v>0.11904761904761904</v>
      </c>
      <c r="V1083" s="3">
        <f>(Таблица1[Число нарушений кредитных договоров]-$AA$23)/($AA$24-$AA$23)</f>
        <v>0.14285714285714285</v>
      </c>
      <c r="W1083" s="3">
        <f>Таблица1[[#This Row],[Годовой доход]]/12</f>
        <v>97291.083333333328</v>
      </c>
      <c r="X1083" s="3">
        <f>Таблица1[[#This Row],[Ежемесячный платеж]]/Таблица1[[#This Row],[Ежем доход]]</f>
        <v>5.3599362051849564E-2</v>
      </c>
      <c r="Y1083" s="3"/>
      <c r="Z1083" s="3"/>
      <c r="AA1083" s="3"/>
      <c r="AB1083" s="3"/>
    </row>
    <row r="1084" spans="1:28" x14ac:dyDescent="0.2">
      <c r="A1084">
        <v>828</v>
      </c>
      <c r="B1084" t="s">
        <v>869</v>
      </c>
      <c r="C1084" t="s">
        <v>18</v>
      </c>
      <c r="D1084" t="s">
        <v>19</v>
      </c>
      <c r="E1084" t="s">
        <v>24</v>
      </c>
      <c r="F1084" t="s">
        <v>21</v>
      </c>
      <c r="G1084" t="s">
        <v>25</v>
      </c>
      <c r="H1084" s="1">
        <v>360052</v>
      </c>
      <c r="I1084" s="3">
        <v>719</v>
      </c>
      <c r="J1084" s="3">
        <v>721582</v>
      </c>
      <c r="K1084" s="3">
        <v>13529.71</v>
      </c>
      <c r="L1084" s="2">
        <v>17</v>
      </c>
      <c r="M1084" s="11">
        <v>35.265240640000002</v>
      </c>
      <c r="N1084" s="3">
        <v>6</v>
      </c>
      <c r="O1084" s="3">
        <v>354730</v>
      </c>
      <c r="P1084" s="3">
        <v>416130</v>
      </c>
      <c r="Q1084" s="10">
        <v>0</v>
      </c>
      <c r="R1084" s="3">
        <f>(Таблица1[Размер кредита]-$AA$2)/$AA$3</f>
        <v>0.28726858211879497</v>
      </c>
      <c r="S1084" s="3">
        <f>(Таблица1[Кредитный рейтинг]-$AA$7)/($AA$8-$AA$7)</f>
        <v>0.95739014647137155</v>
      </c>
      <c r="T1084" s="3">
        <f>(Таблица1[Срок с последнего нарушения кредитного договора (мес,)]-$AA$12)/($AA$13-$AA$12)</f>
        <v>0.40074137090909095</v>
      </c>
      <c r="U1084" s="3">
        <f>(Таблица1[Количество кредитных карт]-$AA$18)/($AA$19-$AA$18)</f>
        <v>0.11904761904761904</v>
      </c>
      <c r="V1084" s="3">
        <f>(Таблица1[Число нарушений кредитных договоров]-$AA$23)/($AA$24-$AA$23)</f>
        <v>0</v>
      </c>
      <c r="W1084" s="3">
        <f>Таблица1[[#This Row],[Годовой доход]]/12</f>
        <v>60131.833333333336</v>
      </c>
      <c r="X1084" s="3">
        <f>Таблица1[[#This Row],[Ежемесячный платеж]]/Таблица1[[#This Row],[Ежем доход]]</f>
        <v>0.22500078993101266</v>
      </c>
      <c r="Y1084" s="3"/>
      <c r="Z1084" s="3"/>
      <c r="AA1084" s="3"/>
      <c r="AB1084" s="3"/>
    </row>
    <row r="1085" spans="1:28" x14ac:dyDescent="0.2">
      <c r="A1085">
        <v>1098</v>
      </c>
      <c r="B1085" t="s">
        <v>1137</v>
      </c>
      <c r="C1085" t="s">
        <v>18</v>
      </c>
      <c r="D1085" t="s">
        <v>29</v>
      </c>
      <c r="E1085" t="s">
        <v>24</v>
      </c>
      <c r="F1085" t="s">
        <v>21</v>
      </c>
      <c r="G1085" t="s">
        <v>25</v>
      </c>
      <c r="H1085" s="1">
        <v>420684</v>
      </c>
      <c r="I1085" s="3">
        <v>0</v>
      </c>
      <c r="J1085" s="3">
        <v>1168044</v>
      </c>
      <c r="K1085" s="3">
        <v>9391.89</v>
      </c>
      <c r="L1085" s="2">
        <v>17.5</v>
      </c>
      <c r="M1085" s="11">
        <v>35.265240640000002</v>
      </c>
      <c r="N1085" s="3">
        <v>7</v>
      </c>
      <c r="O1085" s="3">
        <v>161310</v>
      </c>
      <c r="P1085" s="3">
        <v>415976</v>
      </c>
      <c r="Q1085" s="10">
        <v>1</v>
      </c>
      <c r="R1085" s="3">
        <f>(Таблица1[Размер кредита]-$AA$2)/$AA$3</f>
        <v>0.63246358982448925</v>
      </c>
      <c r="S1085" s="3">
        <f>(Таблица1[Кредитный рейтинг]-$AA$7)/($AA$8-$AA$7)</f>
        <v>0</v>
      </c>
      <c r="T1085" s="3">
        <f>(Таблица1[Срок с последнего нарушения кредитного договора (мес,)]-$AA$12)/($AA$13-$AA$12)</f>
        <v>0.40074137090909095</v>
      </c>
      <c r="U1085" s="3">
        <f>(Таблица1[Количество кредитных карт]-$AA$18)/($AA$19-$AA$18)</f>
        <v>0.14285714285714285</v>
      </c>
      <c r="V1085" s="3">
        <f>(Таблица1[Число нарушений кредитных договоров]-$AA$23)/($AA$24-$AA$23)</f>
        <v>0.14285714285714285</v>
      </c>
      <c r="W1085" s="3">
        <f>Таблица1[[#This Row],[Годовой доход]]/12</f>
        <v>97337</v>
      </c>
      <c r="X1085" s="3">
        <f>Таблица1[[#This Row],[Ежемесячный платеж]]/Таблица1[[#This Row],[Ежем доход]]</f>
        <v>9.6488385711497163E-2</v>
      </c>
      <c r="Y1085" s="3"/>
      <c r="Z1085" s="3"/>
      <c r="AA1085" s="3"/>
      <c r="AB1085" s="3"/>
    </row>
    <row r="1086" spans="1:28" x14ac:dyDescent="0.2">
      <c r="A1086">
        <v>1179</v>
      </c>
      <c r="B1086" t="s">
        <v>1218</v>
      </c>
      <c r="C1086" t="s">
        <v>18</v>
      </c>
      <c r="D1086" t="s">
        <v>29</v>
      </c>
      <c r="E1086" t="s">
        <v>24</v>
      </c>
      <c r="F1086" t="s">
        <v>21</v>
      </c>
      <c r="G1086" t="s">
        <v>25</v>
      </c>
      <c r="H1086" s="1">
        <v>393976</v>
      </c>
      <c r="I1086" s="3">
        <v>630</v>
      </c>
      <c r="J1086" s="3">
        <v>1455533</v>
      </c>
      <c r="K1086" s="3">
        <v>21347.83</v>
      </c>
      <c r="L1086" s="2">
        <v>21.5</v>
      </c>
      <c r="M1086" s="11">
        <v>32</v>
      </c>
      <c r="N1086" s="3">
        <v>14</v>
      </c>
      <c r="O1086" s="3">
        <v>282264</v>
      </c>
      <c r="P1086" s="3">
        <v>415800</v>
      </c>
      <c r="Q1086" s="10">
        <v>0</v>
      </c>
      <c r="R1086" s="3">
        <f>(Таблица1[Размер кредита]-$AA$2)/$AA$3</f>
        <v>0.48040744346936848</v>
      </c>
      <c r="S1086" s="3">
        <f>(Таблица1[Кредитный рейтинг]-$AA$7)/($AA$8-$AA$7)</f>
        <v>0.83888149134487355</v>
      </c>
      <c r="T1086" s="3">
        <f>(Таблица1[Срок с последнего нарушения кредитного договора (мес,)]-$AA$12)/($AA$13-$AA$12)</f>
        <v>0.36363636363636365</v>
      </c>
      <c r="U1086" s="3">
        <f>(Таблица1[Количество кредитных карт]-$AA$18)/($AA$19-$AA$18)</f>
        <v>0.30952380952380953</v>
      </c>
      <c r="V1086" s="3">
        <f>(Таблица1[Число нарушений кредитных договоров]-$AA$23)/($AA$24-$AA$23)</f>
        <v>0</v>
      </c>
      <c r="W1086" s="3">
        <f>Таблица1[[#This Row],[Годовой доход]]/12</f>
        <v>121294.41666666667</v>
      </c>
      <c r="X1086" s="3">
        <f>Таблица1[[#This Row],[Ежемесячный платеж]]/Таблица1[[#This Row],[Ежем доход]]</f>
        <v>0.17600010442909916</v>
      </c>
      <c r="Y1086" s="3"/>
      <c r="Z1086" s="3"/>
      <c r="AA1086" s="3"/>
      <c r="AB1086" s="3"/>
    </row>
    <row r="1087" spans="1:28" x14ac:dyDescent="0.2">
      <c r="A1087">
        <v>1979</v>
      </c>
      <c r="B1087" t="s">
        <v>2015</v>
      </c>
      <c r="C1087" t="s">
        <v>35</v>
      </c>
      <c r="D1087" t="s">
        <v>19</v>
      </c>
      <c r="E1087" t="s">
        <v>20</v>
      </c>
      <c r="F1087" t="s">
        <v>21</v>
      </c>
      <c r="G1087" t="s">
        <v>25</v>
      </c>
      <c r="H1087" s="1">
        <v>179806</v>
      </c>
      <c r="I1087" s="3">
        <v>0</v>
      </c>
      <c r="J1087" s="3">
        <v>1168044</v>
      </c>
      <c r="K1087" s="3">
        <v>15034.89</v>
      </c>
      <c r="L1087" s="2">
        <v>34</v>
      </c>
      <c r="M1087" s="11">
        <v>10</v>
      </c>
      <c r="N1087" s="3">
        <v>13</v>
      </c>
      <c r="O1087" s="3">
        <v>288667</v>
      </c>
      <c r="P1087" s="3">
        <v>415756</v>
      </c>
      <c r="Q1087" s="10">
        <v>0</v>
      </c>
      <c r="R1087" s="3">
        <f>(Таблица1[Размер кредита]-$AA$2)/$AA$3</f>
        <v>-0.73892252750847409</v>
      </c>
      <c r="S1087" s="3">
        <f>(Таблица1[Кредитный рейтинг]-$AA$7)/($AA$8-$AA$7)</f>
        <v>0</v>
      </c>
      <c r="T1087" s="3">
        <f>(Таблица1[Срок с последнего нарушения кредитного договора (мес,)]-$AA$12)/($AA$13-$AA$12)</f>
        <v>0.11363636363636363</v>
      </c>
      <c r="U1087" s="3">
        <f>(Таблица1[Количество кредитных карт]-$AA$18)/($AA$19-$AA$18)</f>
        <v>0.2857142857142857</v>
      </c>
      <c r="V1087" s="3">
        <f>(Таблица1[Число нарушений кредитных договоров]-$AA$23)/($AA$24-$AA$23)</f>
        <v>0</v>
      </c>
      <c r="W1087" s="3">
        <f>Таблица1[[#This Row],[Годовой доход]]/12</f>
        <v>97337</v>
      </c>
      <c r="X1087" s="3">
        <f>Таблица1[[#This Row],[Ежемесячный платеж]]/Таблица1[[#This Row],[Ежем доход]]</f>
        <v>0.15446222916260002</v>
      </c>
      <c r="Y1087" s="3"/>
      <c r="Z1087" s="3"/>
      <c r="AA1087" s="3"/>
      <c r="AB1087" s="3"/>
    </row>
    <row r="1088" spans="1:28" x14ac:dyDescent="0.2">
      <c r="A1088">
        <v>54</v>
      </c>
      <c r="B1088" t="s">
        <v>94</v>
      </c>
      <c r="C1088" t="s">
        <v>35</v>
      </c>
      <c r="D1088" t="s">
        <v>29</v>
      </c>
      <c r="E1088" t="s">
        <v>24</v>
      </c>
      <c r="F1088" t="s">
        <v>21</v>
      </c>
      <c r="G1088" t="s">
        <v>67</v>
      </c>
      <c r="H1088" s="1">
        <v>374176</v>
      </c>
      <c r="I1088" s="3">
        <v>652</v>
      </c>
      <c r="J1088" s="3">
        <v>1239199</v>
      </c>
      <c r="K1088" s="3">
        <v>5163.25</v>
      </c>
      <c r="L1088" s="2">
        <v>36.6</v>
      </c>
      <c r="M1088" s="11">
        <v>42</v>
      </c>
      <c r="N1088" s="3">
        <v>10</v>
      </c>
      <c r="O1088" s="3">
        <v>126350</v>
      </c>
      <c r="P1088" s="3">
        <v>415602</v>
      </c>
      <c r="Q1088" s="10">
        <v>0</v>
      </c>
      <c r="R1088" s="3">
        <f>(Таблица1[Размер кредита]-$AA$2)/$AA$3</f>
        <v>0.36768048159160183</v>
      </c>
      <c r="S1088" s="3">
        <f>(Таблица1[Кредитный рейтинг]-$AA$7)/($AA$8-$AA$7)</f>
        <v>0.86817576564580556</v>
      </c>
      <c r="T1088" s="3">
        <f>(Таблица1[Срок с последнего нарушения кредитного договора (мес,)]-$AA$12)/($AA$13-$AA$12)</f>
        <v>0.47727272727272729</v>
      </c>
      <c r="U1088" s="3">
        <f>(Таблица1[Количество кредитных карт]-$AA$18)/($AA$19-$AA$18)</f>
        <v>0.21428571428571427</v>
      </c>
      <c r="V1088" s="3">
        <f>(Таблица1[Число нарушений кредитных договоров]-$AA$23)/($AA$24-$AA$23)</f>
        <v>0</v>
      </c>
      <c r="W1088" s="3">
        <f>Таблица1[[#This Row],[Годовой доход]]/12</f>
        <v>103266.58333333333</v>
      </c>
      <c r="X1088" s="3">
        <f>Таблица1[[#This Row],[Ежемесячный платеж]]/Таблица1[[#This Row],[Ежем доход]]</f>
        <v>4.999923337575321E-2</v>
      </c>
      <c r="Y1088" s="3"/>
      <c r="Z1088" s="3"/>
      <c r="AA1088" s="3"/>
      <c r="AB1088" s="3"/>
    </row>
    <row r="1089" spans="1:28" x14ac:dyDescent="0.2">
      <c r="A1089">
        <v>575</v>
      </c>
      <c r="B1089" t="s">
        <v>616</v>
      </c>
      <c r="C1089" t="s">
        <v>18</v>
      </c>
      <c r="D1089" t="s">
        <v>19</v>
      </c>
      <c r="E1089" t="s">
        <v>30</v>
      </c>
      <c r="F1089" t="s">
        <v>21</v>
      </c>
      <c r="G1089" t="s">
        <v>25</v>
      </c>
      <c r="H1089" s="1">
        <v>177584</v>
      </c>
      <c r="I1089" s="3">
        <v>0</v>
      </c>
      <c r="J1089" s="3">
        <v>1168044</v>
      </c>
      <c r="K1089" s="3">
        <v>19631.18</v>
      </c>
      <c r="L1089" s="2">
        <v>14.5</v>
      </c>
      <c r="M1089" s="11">
        <v>35.265240640000002</v>
      </c>
      <c r="N1089" s="3">
        <v>12</v>
      </c>
      <c r="O1089" s="3">
        <v>270104</v>
      </c>
      <c r="P1089" s="3">
        <v>415316</v>
      </c>
      <c r="Q1089" s="10">
        <v>1</v>
      </c>
      <c r="R1089" s="3">
        <f>(Таблица1[Размер кредита]-$AA$2)/$AA$3</f>
        <v>-0.75157299767475683</v>
      </c>
      <c r="S1089" s="3">
        <f>(Таблица1[Кредитный рейтинг]-$AA$7)/($AA$8-$AA$7)</f>
        <v>0</v>
      </c>
      <c r="T1089" s="3">
        <f>(Таблица1[Срок с последнего нарушения кредитного договора (мес,)]-$AA$12)/($AA$13-$AA$12)</f>
        <v>0.40074137090909095</v>
      </c>
      <c r="U1089" s="3">
        <f>(Таблица1[Количество кредитных карт]-$AA$18)/($AA$19-$AA$18)</f>
        <v>0.26190476190476192</v>
      </c>
      <c r="V1089" s="3">
        <f>(Таблица1[Число нарушений кредитных договоров]-$AA$23)/($AA$24-$AA$23)</f>
        <v>0.14285714285714285</v>
      </c>
      <c r="W1089" s="3">
        <f>Таблица1[[#This Row],[Годовой доход]]/12</f>
        <v>97337</v>
      </c>
      <c r="X1089" s="3">
        <f>Таблица1[[#This Row],[Ежемесячный платеж]]/Таблица1[[#This Row],[Ежем доход]]</f>
        <v>0.20168260784696468</v>
      </c>
      <c r="Y1089" s="3"/>
      <c r="Z1089" s="3"/>
      <c r="AA1089" s="3"/>
      <c r="AB1089" s="3"/>
    </row>
    <row r="1090" spans="1:28" x14ac:dyDescent="0.2">
      <c r="A1090">
        <v>275</v>
      </c>
      <c r="B1090" t="s">
        <v>317</v>
      </c>
      <c r="C1090" t="s">
        <v>18</v>
      </c>
      <c r="D1090" t="s">
        <v>19</v>
      </c>
      <c r="E1090" t="s">
        <v>30</v>
      </c>
      <c r="F1090" t="s">
        <v>33</v>
      </c>
      <c r="G1090" t="s">
        <v>25</v>
      </c>
      <c r="H1090" s="1">
        <v>325622</v>
      </c>
      <c r="I1090" s="3">
        <v>0</v>
      </c>
      <c r="J1090" s="3">
        <v>1168044</v>
      </c>
      <c r="K1090" s="3">
        <v>8831.01</v>
      </c>
      <c r="L1090" s="2">
        <v>15.2</v>
      </c>
      <c r="M1090" s="11">
        <v>48</v>
      </c>
      <c r="N1090" s="3">
        <v>25</v>
      </c>
      <c r="O1090" s="3">
        <v>144172</v>
      </c>
      <c r="P1090" s="3">
        <v>415250</v>
      </c>
      <c r="Q1090" s="10">
        <v>0</v>
      </c>
      <c r="R1090" s="3">
        <f>(Таблица1[Размер кредита]-$AA$2)/$AA$3</f>
        <v>9.1248920631345196E-2</v>
      </c>
      <c r="S1090" s="3">
        <f>(Таблица1[Кредитный рейтинг]-$AA$7)/($AA$8-$AA$7)</f>
        <v>0</v>
      </c>
      <c r="T1090" s="3">
        <f>(Таблица1[Срок с последнего нарушения кредитного договора (мес,)]-$AA$12)/($AA$13-$AA$12)</f>
        <v>0.54545454545454541</v>
      </c>
      <c r="U1090" s="3">
        <f>(Таблица1[Количество кредитных карт]-$AA$18)/($AA$19-$AA$18)</f>
        <v>0.5714285714285714</v>
      </c>
      <c r="V1090" s="3">
        <f>(Таблица1[Число нарушений кредитных договоров]-$AA$23)/($AA$24-$AA$23)</f>
        <v>0</v>
      </c>
      <c r="W1090" s="3">
        <f>Таблица1[[#This Row],[Годовой доход]]/12</f>
        <v>97337</v>
      </c>
      <c r="X1090" s="3">
        <f>Таблица1[[#This Row],[Ежемесячный платеж]]/Таблица1[[#This Row],[Ежем доход]]</f>
        <v>9.0726137029084525E-2</v>
      </c>
      <c r="Y1090" s="3"/>
      <c r="Z1090" s="3"/>
      <c r="AA1090" s="3"/>
      <c r="AB1090" s="3"/>
    </row>
    <row r="1091" spans="1:28" x14ac:dyDescent="0.2">
      <c r="A1091">
        <v>1508</v>
      </c>
      <c r="B1091" t="s">
        <v>1547</v>
      </c>
      <c r="C1091" t="s">
        <v>35</v>
      </c>
      <c r="D1091" t="s">
        <v>29</v>
      </c>
      <c r="E1091" t="s">
        <v>24</v>
      </c>
      <c r="F1091" t="s">
        <v>21</v>
      </c>
      <c r="G1091" t="s">
        <v>25</v>
      </c>
      <c r="H1091" s="1">
        <v>475332</v>
      </c>
      <c r="I1091" s="3">
        <v>667</v>
      </c>
      <c r="J1091" s="3">
        <v>988969</v>
      </c>
      <c r="K1091" s="3">
        <v>11702.86</v>
      </c>
      <c r="L1091" s="2">
        <v>15.3</v>
      </c>
      <c r="M1091" s="11">
        <v>35.265240640000002</v>
      </c>
      <c r="N1091" s="3">
        <v>12</v>
      </c>
      <c r="O1091" s="3">
        <v>206207</v>
      </c>
      <c r="P1091" s="3">
        <v>414546</v>
      </c>
      <c r="Q1091" s="10">
        <v>1</v>
      </c>
      <c r="R1091" s="3">
        <f>(Таблица1[Размер кредита]-$AA$2)/$AA$3</f>
        <v>0.94359000460712528</v>
      </c>
      <c r="S1091" s="3">
        <f>(Таблица1[Кредитный рейтинг]-$AA$7)/($AA$8-$AA$7)</f>
        <v>0.88814913448735022</v>
      </c>
      <c r="T1091" s="3">
        <f>(Таблица1[Срок с последнего нарушения кредитного договора (мес,)]-$AA$12)/($AA$13-$AA$12)</f>
        <v>0.40074137090909095</v>
      </c>
      <c r="U1091" s="3">
        <f>(Таблица1[Количество кредитных карт]-$AA$18)/($AA$19-$AA$18)</f>
        <v>0.26190476190476192</v>
      </c>
      <c r="V1091" s="3">
        <f>(Таблица1[Число нарушений кредитных договоров]-$AA$23)/($AA$24-$AA$23)</f>
        <v>0.14285714285714285</v>
      </c>
      <c r="W1091" s="3">
        <f>Таблица1[[#This Row],[Годовой доход]]/12</f>
        <v>82414.083333333328</v>
      </c>
      <c r="X1091" s="3">
        <f>Таблица1[[#This Row],[Ежемесячный платеж]]/Таблица1[[#This Row],[Ежем доход]]</f>
        <v>0.14200073005321706</v>
      </c>
      <c r="Y1091" s="3"/>
      <c r="Z1091" s="3"/>
      <c r="AA1091" s="3"/>
      <c r="AB1091" s="3"/>
    </row>
    <row r="1092" spans="1:28" x14ac:dyDescent="0.2">
      <c r="A1092">
        <v>1766</v>
      </c>
      <c r="B1092" t="s">
        <v>1804</v>
      </c>
      <c r="C1092" t="s">
        <v>18</v>
      </c>
      <c r="D1092" t="s">
        <v>29</v>
      </c>
      <c r="E1092" t="s">
        <v>24</v>
      </c>
      <c r="F1092" t="s">
        <v>21</v>
      </c>
      <c r="G1092" t="s">
        <v>25</v>
      </c>
      <c r="H1092" s="1">
        <v>379610</v>
      </c>
      <c r="I1092" s="3">
        <v>0</v>
      </c>
      <c r="J1092" s="3">
        <v>1168044</v>
      </c>
      <c r="K1092" s="3">
        <v>9838.58</v>
      </c>
      <c r="L1092" s="2">
        <v>20.9</v>
      </c>
      <c r="M1092" s="11">
        <v>35.265240640000002</v>
      </c>
      <c r="N1092" s="3">
        <v>9</v>
      </c>
      <c r="O1092" s="3">
        <v>130302</v>
      </c>
      <c r="P1092" s="3">
        <v>414480</v>
      </c>
      <c r="Q1092" s="10">
        <v>0</v>
      </c>
      <c r="R1092" s="3">
        <f>(Таблица1[Размер кредита]-$AA$2)/$AA$3</f>
        <v>0.39861777001805559</v>
      </c>
      <c r="S1092" s="3">
        <f>(Таблица1[Кредитный рейтинг]-$AA$7)/($AA$8-$AA$7)</f>
        <v>0</v>
      </c>
      <c r="T1092" s="3">
        <f>(Таблица1[Срок с последнего нарушения кредитного договора (мес,)]-$AA$12)/($AA$13-$AA$12)</f>
        <v>0.40074137090909095</v>
      </c>
      <c r="U1092" s="3">
        <f>(Таблица1[Количество кредитных карт]-$AA$18)/($AA$19-$AA$18)</f>
        <v>0.19047619047619047</v>
      </c>
      <c r="V1092" s="3">
        <f>(Таблица1[Число нарушений кредитных договоров]-$AA$23)/($AA$24-$AA$23)</f>
        <v>0</v>
      </c>
      <c r="W1092" s="3">
        <f>Таблица1[[#This Row],[Годовой доход]]/12</f>
        <v>97337</v>
      </c>
      <c r="X1092" s="3">
        <f>Таблица1[[#This Row],[Ежемесячный платеж]]/Таблица1[[#This Row],[Ежем доход]]</f>
        <v>0.1010774936560609</v>
      </c>
      <c r="Y1092" s="3"/>
      <c r="Z1092" s="3"/>
      <c r="AA1092" s="3"/>
      <c r="AB1092" s="3"/>
    </row>
    <row r="1093" spans="1:28" x14ac:dyDescent="0.2">
      <c r="A1093">
        <v>1447</v>
      </c>
      <c r="B1093" t="s">
        <v>1486</v>
      </c>
      <c r="C1093" t="s">
        <v>18</v>
      </c>
      <c r="D1093" t="s">
        <v>19</v>
      </c>
      <c r="E1093" t="s">
        <v>24</v>
      </c>
      <c r="F1093" t="s">
        <v>33</v>
      </c>
      <c r="G1093" t="s">
        <v>25</v>
      </c>
      <c r="H1093" s="1">
        <v>309594.52439999999</v>
      </c>
      <c r="I1093" s="3">
        <v>730</v>
      </c>
      <c r="J1093" s="3">
        <v>857489</v>
      </c>
      <c r="K1093" s="3">
        <v>3265.53</v>
      </c>
      <c r="L1093" s="2">
        <v>20.100000000000001</v>
      </c>
      <c r="M1093" s="11">
        <v>22</v>
      </c>
      <c r="N1093" s="3">
        <v>15</v>
      </c>
      <c r="O1093" s="3">
        <v>112575</v>
      </c>
      <c r="P1093" s="3">
        <v>413798</v>
      </c>
      <c r="Q1093" s="10">
        <v>0</v>
      </c>
      <c r="R1093" s="3">
        <f>(Таблица1[Размер кредита]-$AA$2)/$AA$3</f>
        <v>-1.2411115481956205E-10</v>
      </c>
      <c r="S1093" s="3">
        <f>(Таблица1[Кредитный рейтинг]-$AA$7)/($AA$8-$AA$7)</f>
        <v>0.9720372836218375</v>
      </c>
      <c r="T1093" s="3">
        <f>(Таблица1[Срок с последнего нарушения кредитного договора (мес,)]-$AA$12)/($AA$13-$AA$12)</f>
        <v>0.25</v>
      </c>
      <c r="U1093" s="3">
        <f>(Таблица1[Количество кредитных карт]-$AA$18)/($AA$19-$AA$18)</f>
        <v>0.33333333333333331</v>
      </c>
      <c r="V1093" s="3">
        <f>(Таблица1[Число нарушений кредитных договоров]-$AA$23)/($AA$24-$AA$23)</f>
        <v>0</v>
      </c>
      <c r="W1093" s="3">
        <f>Таблица1[[#This Row],[Годовой доход]]/12</f>
        <v>71457.416666666672</v>
      </c>
      <c r="X1093" s="3">
        <f>Таблица1[[#This Row],[Ежемесячный платеж]]/Таблица1[[#This Row],[Ежем доход]]</f>
        <v>4.5698965234539451E-2</v>
      </c>
      <c r="Y1093" s="3"/>
      <c r="Z1093" s="3"/>
      <c r="AA1093" s="3"/>
      <c r="AB1093" s="3"/>
    </row>
    <row r="1094" spans="1:28" x14ac:dyDescent="0.2">
      <c r="A1094">
        <v>17</v>
      </c>
      <c r="B1094" t="s">
        <v>51</v>
      </c>
      <c r="C1094" t="s">
        <v>35</v>
      </c>
      <c r="D1094" t="s">
        <v>29</v>
      </c>
      <c r="E1094" t="s">
        <v>52</v>
      </c>
      <c r="F1094" t="s">
        <v>21</v>
      </c>
      <c r="G1094" t="s">
        <v>25</v>
      </c>
      <c r="H1094" s="1">
        <v>653004</v>
      </c>
      <c r="I1094" s="3">
        <v>0</v>
      </c>
      <c r="J1094" s="3">
        <v>1168044</v>
      </c>
      <c r="K1094" s="3">
        <v>14537.09</v>
      </c>
      <c r="L1094" s="2">
        <v>20.5</v>
      </c>
      <c r="M1094" s="11">
        <v>35.265240640000002</v>
      </c>
      <c r="N1094" s="3">
        <v>9</v>
      </c>
      <c r="O1094" s="3">
        <v>302309</v>
      </c>
      <c r="P1094" s="3">
        <v>413754</v>
      </c>
      <c r="Q1094" s="10">
        <v>0</v>
      </c>
      <c r="R1094" s="3">
        <f>(Таблица1[Размер кредита]-$AA$2)/$AA$3</f>
        <v>1.9551266091902846</v>
      </c>
      <c r="S1094" s="3">
        <f>(Таблица1[Кредитный рейтинг]-$AA$7)/($AA$8-$AA$7)</f>
        <v>0</v>
      </c>
      <c r="T1094" s="3">
        <f>(Таблица1[Срок с последнего нарушения кредитного договора (мес,)]-$AA$12)/($AA$13-$AA$12)</f>
        <v>0.40074137090909095</v>
      </c>
      <c r="U1094" s="3">
        <f>(Таблица1[Количество кредитных карт]-$AA$18)/($AA$19-$AA$18)</f>
        <v>0.19047619047619047</v>
      </c>
      <c r="V1094" s="3">
        <f>(Таблица1[Число нарушений кредитных договоров]-$AA$23)/($AA$24-$AA$23)</f>
        <v>0</v>
      </c>
      <c r="W1094" s="3">
        <f>Таблица1[[#This Row],[Годовой доход]]/12</f>
        <v>97337</v>
      </c>
      <c r="X1094" s="3">
        <f>Таблица1[[#This Row],[Ежемесячный платеж]]/Таблица1[[#This Row],[Ежем доход]]</f>
        <v>0.14934803825883272</v>
      </c>
      <c r="Y1094" s="3"/>
      <c r="Z1094" s="3"/>
      <c r="AA1094" s="3"/>
      <c r="AB1094" s="3"/>
    </row>
    <row r="1095" spans="1:28" x14ac:dyDescent="0.2">
      <c r="A1095">
        <v>726</v>
      </c>
      <c r="B1095" t="s">
        <v>767</v>
      </c>
      <c r="C1095" t="s">
        <v>18</v>
      </c>
      <c r="D1095" t="s">
        <v>19</v>
      </c>
      <c r="E1095" t="s">
        <v>52</v>
      </c>
      <c r="F1095" t="s">
        <v>27</v>
      </c>
      <c r="G1095" t="s">
        <v>25</v>
      </c>
      <c r="H1095" s="1">
        <v>309594.52439999999</v>
      </c>
      <c r="I1095" s="3">
        <v>741</v>
      </c>
      <c r="J1095" s="3">
        <v>1028698</v>
      </c>
      <c r="K1095" s="3">
        <v>15258.9</v>
      </c>
      <c r="L1095" s="2">
        <v>9.5</v>
      </c>
      <c r="M1095" s="11">
        <v>35.265240640000002</v>
      </c>
      <c r="N1095" s="3">
        <v>17</v>
      </c>
      <c r="O1095" s="3">
        <v>157529</v>
      </c>
      <c r="P1095" s="3">
        <v>413600</v>
      </c>
      <c r="Q1095" s="10">
        <v>0</v>
      </c>
      <c r="R1095" s="3">
        <f>(Таблица1[Размер кредита]-$AA$2)/$AA$3</f>
        <v>-1.2411115481956205E-10</v>
      </c>
      <c r="S1095" s="3">
        <f>(Таблица1[Кредитный рейтинг]-$AA$7)/($AA$8-$AA$7)</f>
        <v>0.98668442077230356</v>
      </c>
      <c r="T1095" s="3">
        <f>(Таблица1[Срок с последнего нарушения кредитного договора (мес,)]-$AA$12)/($AA$13-$AA$12)</f>
        <v>0.40074137090909095</v>
      </c>
      <c r="U1095" s="3">
        <f>(Таблица1[Количество кредитных карт]-$AA$18)/($AA$19-$AA$18)</f>
        <v>0.38095238095238093</v>
      </c>
      <c r="V1095" s="3">
        <f>(Таблица1[Число нарушений кредитных договоров]-$AA$23)/($AA$24-$AA$23)</f>
        <v>0</v>
      </c>
      <c r="W1095" s="3">
        <f>Таблица1[[#This Row],[Годовой доход]]/12</f>
        <v>85724.833333333328</v>
      </c>
      <c r="X1095" s="3">
        <f>Таблица1[[#This Row],[Ежемесячный платеж]]/Таблица1[[#This Row],[Ежем доход]]</f>
        <v>0.17799859628384618</v>
      </c>
      <c r="Y1095" s="3"/>
      <c r="Z1095" s="3"/>
      <c r="AA1095" s="3"/>
      <c r="AB1095" s="3"/>
    </row>
    <row r="1096" spans="1:28" x14ac:dyDescent="0.2">
      <c r="A1096">
        <v>87</v>
      </c>
      <c r="B1096" t="s">
        <v>129</v>
      </c>
      <c r="C1096" t="s">
        <v>18</v>
      </c>
      <c r="D1096" t="s">
        <v>19</v>
      </c>
      <c r="E1096" t="s">
        <v>41</v>
      </c>
      <c r="F1096" t="s">
        <v>33</v>
      </c>
      <c r="G1096" t="s">
        <v>25</v>
      </c>
      <c r="H1096" s="1">
        <v>378334</v>
      </c>
      <c r="I1096" s="3">
        <v>714</v>
      </c>
      <c r="J1096" s="3">
        <v>2120514</v>
      </c>
      <c r="K1096" s="3">
        <v>35695.300000000003</v>
      </c>
      <c r="L1096" s="2">
        <v>17</v>
      </c>
      <c r="M1096" s="11">
        <v>24</v>
      </c>
      <c r="N1096" s="3">
        <v>12</v>
      </c>
      <c r="O1096" s="3">
        <v>75335</v>
      </c>
      <c r="P1096" s="3">
        <v>413402</v>
      </c>
      <c r="Q1096" s="10">
        <v>0</v>
      </c>
      <c r="R1096" s="3">
        <f>(Таблица1[Размер кредита]-$AA$2)/$AA$3</f>
        <v>0.39135314358593287</v>
      </c>
      <c r="S1096" s="3">
        <f>(Таблица1[Кредитный рейтинг]-$AA$7)/($AA$8-$AA$7)</f>
        <v>0.95073235685752333</v>
      </c>
      <c r="T1096" s="3">
        <f>(Таблица1[Срок с последнего нарушения кредитного договора (мес,)]-$AA$12)/($AA$13-$AA$12)</f>
        <v>0.27272727272727271</v>
      </c>
      <c r="U1096" s="3">
        <f>(Таблица1[Количество кредитных карт]-$AA$18)/($AA$19-$AA$18)</f>
        <v>0.26190476190476192</v>
      </c>
      <c r="V1096" s="3">
        <f>(Таблица1[Число нарушений кредитных договоров]-$AA$23)/($AA$24-$AA$23)</f>
        <v>0</v>
      </c>
      <c r="W1096" s="3">
        <f>Таблица1[[#This Row],[Годовой доход]]/12</f>
        <v>176709.5</v>
      </c>
      <c r="X1096" s="3">
        <f>Таблица1[[#This Row],[Ежемесячный платеж]]/Таблица1[[#This Row],[Ежем доход]]</f>
        <v>0.20199989247889899</v>
      </c>
      <c r="Y1096" s="3"/>
      <c r="Z1096" s="3"/>
      <c r="AA1096" s="3"/>
      <c r="AB1096" s="3"/>
    </row>
    <row r="1097" spans="1:28" x14ac:dyDescent="0.2">
      <c r="A1097">
        <v>1005</v>
      </c>
      <c r="B1097" t="s">
        <v>1044</v>
      </c>
      <c r="C1097" t="s">
        <v>18</v>
      </c>
      <c r="D1097" t="s">
        <v>19</v>
      </c>
      <c r="E1097" t="s">
        <v>30</v>
      </c>
      <c r="F1097" t="s">
        <v>33</v>
      </c>
      <c r="G1097" t="s">
        <v>25</v>
      </c>
      <c r="H1097" s="1">
        <v>172040</v>
      </c>
      <c r="I1097" s="3">
        <v>705</v>
      </c>
      <c r="J1097" s="3">
        <v>722988</v>
      </c>
      <c r="K1097" s="3">
        <v>5850.1</v>
      </c>
      <c r="L1097" s="2">
        <v>11.4</v>
      </c>
      <c r="M1097" s="11">
        <v>22</v>
      </c>
      <c r="N1097" s="3">
        <v>8</v>
      </c>
      <c r="O1097" s="3">
        <v>142082</v>
      </c>
      <c r="P1097" s="3">
        <v>413358</v>
      </c>
      <c r="Q1097" s="10">
        <v>0</v>
      </c>
      <c r="R1097" s="3">
        <f>(Таблица1[Размер кредита]-$AA$2)/$AA$3</f>
        <v>-0.78313654700053148</v>
      </c>
      <c r="S1097" s="3">
        <f>(Таблица1[Кредитный рейтинг]-$AA$7)/($AA$8-$AA$7)</f>
        <v>0.93874833555259651</v>
      </c>
      <c r="T1097" s="3">
        <f>(Таблица1[Срок с последнего нарушения кредитного договора (мес,)]-$AA$12)/($AA$13-$AA$12)</f>
        <v>0.25</v>
      </c>
      <c r="U1097" s="3">
        <f>(Таблица1[Количество кредитных карт]-$AA$18)/($AA$19-$AA$18)</f>
        <v>0.16666666666666666</v>
      </c>
      <c r="V1097" s="3">
        <f>(Таблица1[Число нарушений кредитных договоров]-$AA$23)/($AA$24-$AA$23)</f>
        <v>0</v>
      </c>
      <c r="W1097" s="3">
        <f>Таблица1[[#This Row],[Годовой доход]]/12</f>
        <v>60249</v>
      </c>
      <c r="X1097" s="3">
        <f>Таблица1[[#This Row],[Ежемесячный платеж]]/Таблица1[[#This Row],[Ежем доход]]</f>
        <v>9.7098707032481871E-2</v>
      </c>
      <c r="Y1097" s="3"/>
      <c r="Z1097" s="3"/>
      <c r="AA1097" s="3"/>
      <c r="AB1097" s="3"/>
    </row>
    <row r="1098" spans="1:28" x14ac:dyDescent="0.2">
      <c r="A1098">
        <v>1509</v>
      </c>
      <c r="B1098" t="s">
        <v>1548</v>
      </c>
      <c r="C1098" t="s">
        <v>18</v>
      </c>
      <c r="D1098" t="s">
        <v>19</v>
      </c>
      <c r="E1098" t="s">
        <v>24</v>
      </c>
      <c r="F1098" t="s">
        <v>33</v>
      </c>
      <c r="G1098" t="s">
        <v>25</v>
      </c>
      <c r="H1098" s="1">
        <v>384648</v>
      </c>
      <c r="I1098" s="3">
        <v>745</v>
      </c>
      <c r="J1098" s="3">
        <v>1267110</v>
      </c>
      <c r="K1098" s="3">
        <v>26081.3</v>
      </c>
      <c r="L1098" s="2">
        <v>20.9</v>
      </c>
      <c r="M1098" s="11">
        <v>35.265240640000002</v>
      </c>
      <c r="N1098" s="3">
        <v>13</v>
      </c>
      <c r="O1098" s="3">
        <v>344831</v>
      </c>
      <c r="P1098" s="3">
        <v>413314</v>
      </c>
      <c r="Q1098" s="10">
        <v>0</v>
      </c>
      <c r="R1098" s="3">
        <f>(Таблица1[Размер кредита]-$AA$2)/$AA$3</f>
        <v>0.427300519206954</v>
      </c>
      <c r="S1098" s="3">
        <f>(Таблица1[Кредитный рейтинг]-$AA$7)/($AA$8-$AA$7)</f>
        <v>0.99201065246338216</v>
      </c>
      <c r="T1098" s="3">
        <f>(Таблица1[Срок с последнего нарушения кредитного договора (мес,)]-$AA$12)/($AA$13-$AA$12)</f>
        <v>0.40074137090909095</v>
      </c>
      <c r="U1098" s="3">
        <f>(Таблица1[Количество кредитных карт]-$AA$18)/($AA$19-$AA$18)</f>
        <v>0.2857142857142857</v>
      </c>
      <c r="V1098" s="3">
        <f>(Таблица1[Число нарушений кредитных договоров]-$AA$23)/($AA$24-$AA$23)</f>
        <v>0</v>
      </c>
      <c r="W1098" s="3">
        <f>Таблица1[[#This Row],[Годовой доход]]/12</f>
        <v>105592.5</v>
      </c>
      <c r="X1098" s="3">
        <f>Таблица1[[#This Row],[Ежемесячный платеж]]/Таблица1[[#This Row],[Ежем доход]]</f>
        <v>0.24699955015744487</v>
      </c>
      <c r="Y1098" s="3"/>
      <c r="Z1098" s="3"/>
      <c r="AA1098" s="3"/>
      <c r="AB1098" s="3"/>
    </row>
    <row r="1099" spans="1:28" x14ac:dyDescent="0.2">
      <c r="A1099">
        <v>521</v>
      </c>
      <c r="B1099" t="s">
        <v>562</v>
      </c>
      <c r="C1099" t="s">
        <v>18</v>
      </c>
      <c r="D1099" t="s">
        <v>19</v>
      </c>
      <c r="E1099" t="s">
        <v>52</v>
      </c>
      <c r="F1099" t="s">
        <v>21</v>
      </c>
      <c r="G1099" t="s">
        <v>25</v>
      </c>
      <c r="H1099" s="1">
        <v>263428</v>
      </c>
      <c r="I1099" s="3">
        <v>0</v>
      </c>
      <c r="J1099" s="3">
        <v>1168044</v>
      </c>
      <c r="K1099" s="3">
        <v>12417.64</v>
      </c>
      <c r="L1099" s="2">
        <v>13.6</v>
      </c>
      <c r="M1099" s="11">
        <v>52</v>
      </c>
      <c r="N1099" s="3">
        <v>5</v>
      </c>
      <c r="O1099" s="3">
        <v>82023</v>
      </c>
      <c r="P1099" s="3">
        <v>412984</v>
      </c>
      <c r="Q1099" s="10">
        <v>1</v>
      </c>
      <c r="R1099" s="3">
        <f>(Таблица1[Размер кредита]-$AA$2)/$AA$3</f>
        <v>-0.26283899184470627</v>
      </c>
      <c r="S1099" s="3">
        <f>(Таблица1[Кредитный рейтинг]-$AA$7)/($AA$8-$AA$7)</f>
        <v>0</v>
      </c>
      <c r="T1099" s="3">
        <f>(Таблица1[Срок с последнего нарушения кредитного договора (мес,)]-$AA$12)/($AA$13-$AA$12)</f>
        <v>0.59090909090909094</v>
      </c>
      <c r="U1099" s="3">
        <f>(Таблица1[Количество кредитных карт]-$AA$18)/($AA$19-$AA$18)</f>
        <v>9.5238095238095233E-2</v>
      </c>
      <c r="V1099" s="3">
        <f>(Таблица1[Число нарушений кредитных договоров]-$AA$23)/($AA$24-$AA$23)</f>
        <v>0.14285714285714285</v>
      </c>
      <c r="W1099" s="3">
        <f>Таблица1[[#This Row],[Годовой доход]]/12</f>
        <v>97337</v>
      </c>
      <c r="X1099" s="3">
        <f>Таблица1[[#This Row],[Ежемесячный платеж]]/Таблица1[[#This Row],[Ежем доход]]</f>
        <v>0.12757368729260199</v>
      </c>
      <c r="Y1099" s="3"/>
      <c r="Z1099" s="3"/>
      <c r="AA1099" s="3"/>
      <c r="AB1099" s="3"/>
    </row>
    <row r="1100" spans="1:28" x14ac:dyDescent="0.2">
      <c r="A1100">
        <v>1314</v>
      </c>
      <c r="B1100" t="s">
        <v>1353</v>
      </c>
      <c r="C1100" t="s">
        <v>18</v>
      </c>
      <c r="D1100" t="s">
        <v>19</v>
      </c>
      <c r="E1100" t="s">
        <v>41</v>
      </c>
      <c r="F1100" t="s">
        <v>21</v>
      </c>
      <c r="G1100" t="s">
        <v>25</v>
      </c>
      <c r="H1100" s="1">
        <v>309594.52439999999</v>
      </c>
      <c r="I1100" s="3">
        <v>739</v>
      </c>
      <c r="J1100" s="3">
        <v>1501912</v>
      </c>
      <c r="K1100" s="3">
        <v>27409.97</v>
      </c>
      <c r="L1100" s="2">
        <v>42.3</v>
      </c>
      <c r="M1100" s="11">
        <v>35.265240640000002</v>
      </c>
      <c r="N1100" s="3">
        <v>14</v>
      </c>
      <c r="O1100" s="3">
        <v>180405</v>
      </c>
      <c r="P1100" s="3">
        <v>412808</v>
      </c>
      <c r="Q1100" s="10">
        <v>1</v>
      </c>
      <c r="R1100" s="3">
        <f>(Таблица1[Размер кредита]-$AA$2)/$AA$3</f>
        <v>-1.2411115481956205E-10</v>
      </c>
      <c r="S1100" s="3">
        <f>(Таблица1[Кредитный рейтинг]-$AA$7)/($AA$8-$AA$7)</f>
        <v>0.98402130492676432</v>
      </c>
      <c r="T1100" s="3">
        <f>(Таблица1[Срок с последнего нарушения кредитного договора (мес,)]-$AA$12)/($AA$13-$AA$12)</f>
        <v>0.40074137090909095</v>
      </c>
      <c r="U1100" s="3">
        <f>(Таблица1[Количество кредитных карт]-$AA$18)/($AA$19-$AA$18)</f>
        <v>0.30952380952380953</v>
      </c>
      <c r="V1100" s="3">
        <f>(Таблица1[Число нарушений кредитных договоров]-$AA$23)/($AA$24-$AA$23)</f>
        <v>0.14285714285714285</v>
      </c>
      <c r="W1100" s="3">
        <f>Таблица1[[#This Row],[Годовой доход]]/12</f>
        <v>125159.33333333333</v>
      </c>
      <c r="X1100" s="3">
        <f>Таблица1[[#This Row],[Ежемесячный платеж]]/Таблица1[[#This Row],[Ежем доход]]</f>
        <v>0.2190006072259893</v>
      </c>
      <c r="Y1100" s="3"/>
      <c r="Z1100" s="3"/>
      <c r="AA1100" s="3"/>
      <c r="AB1100" s="3"/>
    </row>
    <row r="1101" spans="1:28" x14ac:dyDescent="0.2">
      <c r="A1101">
        <v>970</v>
      </c>
      <c r="B1101" t="s">
        <v>1010</v>
      </c>
      <c r="C1101" t="s">
        <v>18</v>
      </c>
      <c r="D1101" t="s">
        <v>19</v>
      </c>
      <c r="E1101" t="s">
        <v>47</v>
      </c>
      <c r="F1101" t="s">
        <v>27</v>
      </c>
      <c r="G1101" t="s">
        <v>67</v>
      </c>
      <c r="H1101" s="1">
        <v>306064</v>
      </c>
      <c r="I1101" s="3">
        <v>0</v>
      </c>
      <c r="J1101" s="3">
        <v>1168044</v>
      </c>
      <c r="K1101" s="3">
        <v>5997.92</v>
      </c>
      <c r="L1101" s="2">
        <v>18.3</v>
      </c>
      <c r="M1101" s="11">
        <v>35.265240640000002</v>
      </c>
      <c r="N1101" s="3">
        <v>3</v>
      </c>
      <c r="O1101" s="3">
        <v>321784</v>
      </c>
      <c r="P1101" s="3">
        <v>412610</v>
      </c>
      <c r="Q1101" s="10">
        <v>0</v>
      </c>
      <c r="R1101" s="3">
        <f>(Таблица1[Размер кредита]-$AA$2)/$AA$3</f>
        <v>-2.0100267267915417E-2</v>
      </c>
      <c r="S1101" s="3">
        <f>(Таблица1[Кредитный рейтинг]-$AA$7)/($AA$8-$AA$7)</f>
        <v>0</v>
      </c>
      <c r="T1101" s="3">
        <f>(Таблица1[Срок с последнего нарушения кредитного договора (мес,)]-$AA$12)/($AA$13-$AA$12)</f>
        <v>0.40074137090909095</v>
      </c>
      <c r="U1101" s="3">
        <f>(Таблица1[Количество кредитных карт]-$AA$18)/($AA$19-$AA$18)</f>
        <v>4.7619047619047616E-2</v>
      </c>
      <c r="V1101" s="3">
        <f>(Таблица1[Число нарушений кредитных договоров]-$AA$23)/($AA$24-$AA$23)</f>
        <v>0</v>
      </c>
      <c r="W1101" s="3">
        <f>Таблица1[[#This Row],[Годовой доход]]/12</f>
        <v>97337</v>
      </c>
      <c r="X1101" s="3">
        <f>Таблица1[[#This Row],[Ежемесячный платеж]]/Таблица1[[#This Row],[Ежем доход]]</f>
        <v>6.1620144446613311E-2</v>
      </c>
      <c r="Y1101" s="3"/>
      <c r="Z1101" s="3"/>
      <c r="AA1101" s="3"/>
      <c r="AB1101" s="3"/>
    </row>
    <row r="1102" spans="1:28" x14ac:dyDescent="0.2">
      <c r="A1102">
        <v>918</v>
      </c>
      <c r="B1102" t="s">
        <v>959</v>
      </c>
      <c r="C1102" t="s">
        <v>18</v>
      </c>
      <c r="D1102" t="s">
        <v>19</v>
      </c>
      <c r="E1102" t="s">
        <v>24</v>
      </c>
      <c r="F1102" t="s">
        <v>21</v>
      </c>
      <c r="G1102" t="s">
        <v>25</v>
      </c>
      <c r="H1102" s="1">
        <v>134288</v>
      </c>
      <c r="I1102" s="3">
        <v>723</v>
      </c>
      <c r="J1102" s="3">
        <v>869801</v>
      </c>
      <c r="K1102" s="3">
        <v>13336.86</v>
      </c>
      <c r="L1102" s="2">
        <v>15.4</v>
      </c>
      <c r="M1102" s="11">
        <v>35.265240640000002</v>
      </c>
      <c r="N1102" s="3">
        <v>10</v>
      </c>
      <c r="O1102" s="3">
        <v>267007</v>
      </c>
      <c r="P1102" s="3">
        <v>411664</v>
      </c>
      <c r="Q1102" s="10">
        <v>0</v>
      </c>
      <c r="R1102" s="3">
        <f>(Таблица1[Размер кредита]-$AA$2)/$AA$3</f>
        <v>-0.99806928764747316</v>
      </c>
      <c r="S1102" s="3">
        <f>(Таблица1[Кредитный рейтинг]-$AA$7)/($AA$8-$AA$7)</f>
        <v>0.96271637816245004</v>
      </c>
      <c r="T1102" s="3">
        <f>(Таблица1[Срок с последнего нарушения кредитного договора (мес,)]-$AA$12)/($AA$13-$AA$12)</f>
        <v>0.40074137090909095</v>
      </c>
      <c r="U1102" s="3">
        <f>(Таблица1[Количество кредитных карт]-$AA$18)/($AA$19-$AA$18)</f>
        <v>0.21428571428571427</v>
      </c>
      <c r="V1102" s="3">
        <f>(Таблица1[Число нарушений кредитных договоров]-$AA$23)/($AA$24-$AA$23)</f>
        <v>0</v>
      </c>
      <c r="W1102" s="3">
        <f>Таблица1[[#This Row],[Годовой доход]]/12</f>
        <v>72483.416666666672</v>
      </c>
      <c r="X1102" s="3">
        <f>Таблица1[[#This Row],[Ежемесячный платеж]]/Таблица1[[#This Row],[Ежем доход]]</f>
        <v>0.18399877673168921</v>
      </c>
      <c r="Y1102" s="3"/>
      <c r="Z1102" s="3"/>
      <c r="AA1102" s="3"/>
      <c r="AB1102" s="3"/>
    </row>
    <row r="1103" spans="1:28" x14ac:dyDescent="0.2">
      <c r="A1103">
        <v>1404</v>
      </c>
      <c r="B1103" t="s">
        <v>1443</v>
      </c>
      <c r="C1103" t="s">
        <v>18</v>
      </c>
      <c r="D1103" t="s">
        <v>29</v>
      </c>
      <c r="E1103" t="s">
        <v>50</v>
      </c>
      <c r="F1103" t="s">
        <v>21</v>
      </c>
      <c r="G1103" t="s">
        <v>25</v>
      </c>
      <c r="H1103" s="1">
        <v>309594.52439999999</v>
      </c>
      <c r="I1103" s="3">
        <v>711</v>
      </c>
      <c r="J1103" s="3">
        <v>1708974</v>
      </c>
      <c r="K1103" s="3">
        <v>23925.56</v>
      </c>
      <c r="L1103" s="2">
        <v>20.2</v>
      </c>
      <c r="M1103" s="11">
        <v>35.265240640000002</v>
      </c>
      <c r="N1103" s="3">
        <v>9</v>
      </c>
      <c r="O1103" s="3">
        <v>284430</v>
      </c>
      <c r="P1103" s="3">
        <v>411158</v>
      </c>
      <c r="Q1103" s="10">
        <v>0</v>
      </c>
      <c r="R1103" s="3">
        <f>(Таблица1[Размер кредита]-$AA$2)/$AA$3</f>
        <v>-1.2411115481956205E-10</v>
      </c>
      <c r="S1103" s="3">
        <f>(Таблица1[Кредитный рейтинг]-$AA$7)/($AA$8-$AA$7)</f>
        <v>0.94673768308921435</v>
      </c>
      <c r="T1103" s="3">
        <f>(Таблица1[Срок с последнего нарушения кредитного договора (мес,)]-$AA$12)/($AA$13-$AA$12)</f>
        <v>0.40074137090909095</v>
      </c>
      <c r="U1103" s="3">
        <f>(Таблица1[Количество кредитных карт]-$AA$18)/($AA$19-$AA$18)</f>
        <v>0.19047619047619047</v>
      </c>
      <c r="V1103" s="3">
        <f>(Таблица1[Число нарушений кредитных договоров]-$AA$23)/($AA$24-$AA$23)</f>
        <v>0</v>
      </c>
      <c r="W1103" s="3">
        <f>Таблица1[[#This Row],[Годовой доход]]/12</f>
        <v>142414.5</v>
      </c>
      <c r="X1103" s="3">
        <f>Таблица1[[#This Row],[Ежемесячный платеж]]/Таблица1[[#This Row],[Ежем доход]]</f>
        <v>0.16799946634647456</v>
      </c>
      <c r="Y1103" s="3"/>
      <c r="Z1103" s="3"/>
      <c r="AA1103" s="3"/>
      <c r="AB1103" s="3"/>
    </row>
    <row r="1104" spans="1:28" x14ac:dyDescent="0.2">
      <c r="A1104">
        <v>1139</v>
      </c>
      <c r="B1104" t="s">
        <v>1178</v>
      </c>
      <c r="C1104" t="s">
        <v>18</v>
      </c>
      <c r="D1104" t="s">
        <v>29</v>
      </c>
      <c r="E1104" t="s">
        <v>63</v>
      </c>
      <c r="F1104" t="s">
        <v>21</v>
      </c>
      <c r="G1104" t="s">
        <v>25</v>
      </c>
      <c r="H1104" s="1">
        <v>306592</v>
      </c>
      <c r="I1104" s="3">
        <v>688</v>
      </c>
      <c r="J1104" s="3">
        <v>1032878</v>
      </c>
      <c r="K1104" s="3">
        <v>19022.23</v>
      </c>
      <c r="L1104" s="2">
        <v>15.6</v>
      </c>
      <c r="M1104" s="11">
        <v>78</v>
      </c>
      <c r="N1104" s="3">
        <v>12</v>
      </c>
      <c r="O1104" s="3">
        <v>179265</v>
      </c>
      <c r="P1104" s="3">
        <v>411048</v>
      </c>
      <c r="Q1104" s="10">
        <v>1</v>
      </c>
      <c r="R1104" s="3">
        <f>(Таблица1[Размер кредита]-$AA$2)/$AA$3</f>
        <v>-1.7094214951174972E-2</v>
      </c>
      <c r="S1104" s="3">
        <f>(Таблица1[Кредитный рейтинг]-$AA$7)/($AA$8-$AA$7)</f>
        <v>0.91611185086551261</v>
      </c>
      <c r="T1104" s="3">
        <f>(Таблица1[Срок с последнего нарушения кредитного договора (мес,)]-$AA$12)/($AA$13-$AA$12)</f>
        <v>0.88636363636363635</v>
      </c>
      <c r="U1104" s="3">
        <f>(Таблица1[Количество кредитных карт]-$AA$18)/($AA$19-$AA$18)</f>
        <v>0.26190476190476192</v>
      </c>
      <c r="V1104" s="3">
        <f>(Таблица1[Число нарушений кредитных договоров]-$AA$23)/($AA$24-$AA$23)</f>
        <v>0.14285714285714285</v>
      </c>
      <c r="W1104" s="3">
        <f>Таблица1[[#This Row],[Годовой доход]]/12</f>
        <v>86073.166666666672</v>
      </c>
      <c r="X1104" s="3">
        <f>Таблица1[[#This Row],[Ежемесячный платеж]]/Таблица1[[#This Row],[Ежем доход]]</f>
        <v>0.22100069901769617</v>
      </c>
      <c r="Y1104" s="3"/>
      <c r="Z1104" s="3"/>
      <c r="AA1104" s="3"/>
      <c r="AB1104" s="3"/>
    </row>
    <row r="1105" spans="1:28" x14ac:dyDescent="0.2">
      <c r="A1105">
        <v>146</v>
      </c>
      <c r="B1105" t="s">
        <v>188</v>
      </c>
      <c r="C1105" t="s">
        <v>18</v>
      </c>
      <c r="D1105" t="s">
        <v>19</v>
      </c>
      <c r="E1105" t="s">
        <v>41</v>
      </c>
      <c r="F1105" t="s">
        <v>21</v>
      </c>
      <c r="G1105" t="s">
        <v>25</v>
      </c>
      <c r="H1105" s="1">
        <v>196460</v>
      </c>
      <c r="I1105" s="3">
        <v>746</v>
      </c>
      <c r="J1105" s="3">
        <v>942590</v>
      </c>
      <c r="K1105" s="3">
        <v>15160.1</v>
      </c>
      <c r="L1105" s="2">
        <v>23.5</v>
      </c>
      <c r="M1105" s="11">
        <v>35.265240640000002</v>
      </c>
      <c r="N1105" s="3">
        <v>8</v>
      </c>
      <c r="O1105" s="3">
        <v>138700</v>
      </c>
      <c r="P1105" s="3">
        <v>410718</v>
      </c>
      <c r="Q1105" s="10">
        <v>0</v>
      </c>
      <c r="R1105" s="3">
        <f>(Таблица1[Размер кредита]-$AA$2)/$AA$3</f>
        <v>-0.64410662735128588</v>
      </c>
      <c r="S1105" s="3">
        <f>(Таблица1[Кредитный рейтинг]-$AA$7)/($AA$8-$AA$7)</f>
        <v>0.99334221038615178</v>
      </c>
      <c r="T1105" s="3">
        <f>(Таблица1[Срок с последнего нарушения кредитного договора (мес,)]-$AA$12)/($AA$13-$AA$12)</f>
        <v>0.40074137090909095</v>
      </c>
      <c r="U1105" s="3">
        <f>(Таблица1[Количество кредитных карт]-$AA$18)/($AA$19-$AA$18)</f>
        <v>0.16666666666666666</v>
      </c>
      <c r="V1105" s="3">
        <f>(Таблица1[Число нарушений кредитных договоров]-$AA$23)/($AA$24-$AA$23)</f>
        <v>0</v>
      </c>
      <c r="W1105" s="3">
        <f>Таблица1[[#This Row],[Годовой доход]]/12</f>
        <v>78549.166666666672</v>
      </c>
      <c r="X1105" s="3">
        <f>Таблица1[[#This Row],[Ежемесячный платеж]]/Таблица1[[#This Row],[Ежем доход]]</f>
        <v>0.19300141100584559</v>
      </c>
      <c r="Y1105" s="3"/>
      <c r="Z1105" s="3"/>
      <c r="AA1105" s="3"/>
      <c r="AB1105" s="3"/>
    </row>
    <row r="1106" spans="1:28" x14ac:dyDescent="0.2">
      <c r="A1106">
        <v>1149</v>
      </c>
      <c r="B1106" t="s">
        <v>1188</v>
      </c>
      <c r="C1106" t="s">
        <v>18</v>
      </c>
      <c r="D1106" t="s">
        <v>29</v>
      </c>
      <c r="E1106" t="s">
        <v>47</v>
      </c>
      <c r="F1106" t="s">
        <v>33</v>
      </c>
      <c r="G1106" t="s">
        <v>25</v>
      </c>
      <c r="H1106" s="1">
        <v>288552</v>
      </c>
      <c r="I1106" s="3">
        <v>695</v>
      </c>
      <c r="J1106" s="3">
        <v>1015968</v>
      </c>
      <c r="K1106" s="3">
        <v>15493.36</v>
      </c>
      <c r="L1106" s="2">
        <v>6.2</v>
      </c>
      <c r="M1106" s="11">
        <v>35.265240640000002</v>
      </c>
      <c r="N1106" s="3">
        <v>11</v>
      </c>
      <c r="O1106" s="3">
        <v>191007</v>
      </c>
      <c r="P1106" s="3">
        <v>410322</v>
      </c>
      <c r="Q1106" s="10">
        <v>0</v>
      </c>
      <c r="R1106" s="3">
        <f>(Таблица1[Размер кредита]-$AA$2)/$AA$3</f>
        <v>-0.11980100243980681</v>
      </c>
      <c r="S1106" s="3">
        <f>(Таблица1[Кредитный рейтинг]-$AA$7)/($AA$8-$AA$7)</f>
        <v>0.92543275632490019</v>
      </c>
      <c r="T1106" s="3">
        <f>(Таблица1[Срок с последнего нарушения кредитного договора (мес,)]-$AA$12)/($AA$13-$AA$12)</f>
        <v>0.40074137090909095</v>
      </c>
      <c r="U1106" s="3">
        <f>(Таблица1[Количество кредитных карт]-$AA$18)/($AA$19-$AA$18)</f>
        <v>0.23809523809523808</v>
      </c>
      <c r="V1106" s="3">
        <f>(Таблица1[Число нарушений кредитных договоров]-$AA$23)/($AA$24-$AA$23)</f>
        <v>0</v>
      </c>
      <c r="W1106" s="3">
        <f>Таблица1[[#This Row],[Годовой доход]]/12</f>
        <v>84664</v>
      </c>
      <c r="X1106" s="3">
        <f>Таблица1[[#This Row],[Ежемесячный платеж]]/Таблица1[[#This Row],[Ежем доход]]</f>
        <v>0.18299820466786357</v>
      </c>
      <c r="Y1106" s="3"/>
      <c r="Z1106" s="3"/>
      <c r="AA1106" s="3"/>
      <c r="AB1106" s="3"/>
    </row>
    <row r="1107" spans="1:28" x14ac:dyDescent="0.2">
      <c r="A1107">
        <v>966</v>
      </c>
      <c r="B1107" t="s">
        <v>1007</v>
      </c>
      <c r="C1107" t="s">
        <v>18</v>
      </c>
      <c r="D1107" t="s">
        <v>19</v>
      </c>
      <c r="E1107" t="s">
        <v>41</v>
      </c>
      <c r="F1107" t="s">
        <v>21</v>
      </c>
      <c r="G1107" t="s">
        <v>25</v>
      </c>
      <c r="H1107" s="1">
        <v>327096</v>
      </c>
      <c r="I1107" s="3">
        <v>735</v>
      </c>
      <c r="J1107" s="3">
        <v>903982</v>
      </c>
      <c r="K1107" s="3">
        <v>25612.57</v>
      </c>
      <c r="L1107" s="2">
        <v>17.899999999999999</v>
      </c>
      <c r="M1107" s="11">
        <v>35.265240640000002</v>
      </c>
      <c r="N1107" s="3">
        <v>17</v>
      </c>
      <c r="O1107" s="3">
        <v>178524</v>
      </c>
      <c r="P1107" s="3">
        <v>410124</v>
      </c>
      <c r="Q1107" s="10">
        <v>2</v>
      </c>
      <c r="R1107" s="3">
        <f>(Таблица1[Размер кредита]-$AA$2)/$AA$3</f>
        <v>9.96408166822456E-2</v>
      </c>
      <c r="S1107" s="3">
        <f>(Таблица1[Кредитный рейтинг]-$AA$7)/($AA$8-$AA$7)</f>
        <v>0.97869507323568572</v>
      </c>
      <c r="T1107" s="3">
        <f>(Таблица1[Срок с последнего нарушения кредитного договора (мес,)]-$AA$12)/($AA$13-$AA$12)</f>
        <v>0.40074137090909095</v>
      </c>
      <c r="U1107" s="3">
        <f>(Таблица1[Количество кредитных карт]-$AA$18)/($AA$19-$AA$18)</f>
        <v>0.38095238095238093</v>
      </c>
      <c r="V1107" s="3">
        <f>(Таблица1[Число нарушений кредитных договоров]-$AA$23)/($AA$24-$AA$23)</f>
        <v>0.2857142857142857</v>
      </c>
      <c r="W1107" s="3">
        <f>Таблица1[[#This Row],[Годовой доход]]/12</f>
        <v>75331.833333333328</v>
      </c>
      <c r="X1107" s="3">
        <f>Таблица1[[#This Row],[Ежемесячный платеж]]/Таблица1[[#This Row],[Ежем доход]]</f>
        <v>0.33999663710118122</v>
      </c>
      <c r="Y1107" s="3"/>
      <c r="Z1107" s="3"/>
      <c r="AA1107" s="3"/>
      <c r="AB1107" s="3"/>
    </row>
    <row r="1108" spans="1:28" x14ac:dyDescent="0.2">
      <c r="A1108">
        <v>1440</v>
      </c>
      <c r="B1108" t="s">
        <v>1479</v>
      </c>
      <c r="C1108" t="s">
        <v>18</v>
      </c>
      <c r="D1108" t="s">
        <v>19</v>
      </c>
      <c r="E1108" t="s">
        <v>52</v>
      </c>
      <c r="F1108" t="s">
        <v>33</v>
      </c>
      <c r="G1108" t="s">
        <v>25</v>
      </c>
      <c r="H1108" s="1">
        <v>309594.52439999999</v>
      </c>
      <c r="I1108" s="3">
        <v>743</v>
      </c>
      <c r="J1108" s="3">
        <v>1265134</v>
      </c>
      <c r="K1108" s="3">
        <v>33315.17</v>
      </c>
      <c r="L1108" s="2">
        <v>14.5</v>
      </c>
      <c r="M1108" s="11">
        <v>35.265240640000002</v>
      </c>
      <c r="N1108" s="3">
        <v>13</v>
      </c>
      <c r="O1108" s="3">
        <v>190152</v>
      </c>
      <c r="P1108" s="3">
        <v>410036</v>
      </c>
      <c r="Q1108" s="10">
        <v>0</v>
      </c>
      <c r="R1108" s="3">
        <f>(Таблица1[Размер кредита]-$AA$2)/$AA$3</f>
        <v>-1.2411115481956205E-10</v>
      </c>
      <c r="S1108" s="3">
        <f>(Таблица1[Кредитный рейтинг]-$AA$7)/($AA$8-$AA$7)</f>
        <v>0.98934753661784292</v>
      </c>
      <c r="T1108" s="3">
        <f>(Таблица1[Срок с последнего нарушения кредитного договора (мес,)]-$AA$12)/($AA$13-$AA$12)</f>
        <v>0.40074137090909095</v>
      </c>
      <c r="U1108" s="3">
        <f>(Таблица1[Количество кредитных карт]-$AA$18)/($AA$19-$AA$18)</f>
        <v>0.2857142857142857</v>
      </c>
      <c r="V1108" s="3">
        <f>(Таблица1[Число нарушений кредитных договоров]-$AA$23)/($AA$24-$AA$23)</f>
        <v>0</v>
      </c>
      <c r="W1108" s="3">
        <f>Таблица1[[#This Row],[Годовой доход]]/12</f>
        <v>105427.83333333333</v>
      </c>
      <c r="X1108" s="3">
        <f>Таблица1[[#This Row],[Ежемесячный платеж]]/Таблица1[[#This Row],[Ежем доход]]</f>
        <v>0.31599975970924821</v>
      </c>
      <c r="Y1108" s="3"/>
      <c r="Z1108" s="3"/>
      <c r="AA1108" s="3"/>
      <c r="AB1108" s="3"/>
    </row>
    <row r="1109" spans="1:28" x14ac:dyDescent="0.2">
      <c r="A1109">
        <v>728</v>
      </c>
      <c r="B1109" s="4" t="s">
        <v>769</v>
      </c>
      <c r="C1109" t="s">
        <v>18</v>
      </c>
      <c r="D1109" t="s">
        <v>19</v>
      </c>
      <c r="E1109" t="s">
        <v>47</v>
      </c>
      <c r="F1109" t="s">
        <v>33</v>
      </c>
      <c r="G1109" t="s">
        <v>25</v>
      </c>
      <c r="H1109" s="1">
        <v>188298</v>
      </c>
      <c r="I1109" s="3">
        <v>723</v>
      </c>
      <c r="J1109" s="3">
        <v>1281778</v>
      </c>
      <c r="K1109" s="3">
        <v>21790.34</v>
      </c>
      <c r="L1109" s="2">
        <v>23.9</v>
      </c>
      <c r="M1109" s="11">
        <v>31</v>
      </c>
      <c r="N1109" s="3">
        <v>14</v>
      </c>
      <c r="O1109" s="3">
        <v>161063</v>
      </c>
      <c r="P1109" s="3">
        <v>409882</v>
      </c>
      <c r="Q1109" s="10">
        <v>0</v>
      </c>
      <c r="R1109" s="3">
        <f>(Таблица1[Размер кредита]-$AA$2)/$AA$3</f>
        <v>-0.69057518608089863</v>
      </c>
      <c r="S1109" s="3">
        <f>(Таблица1[Кредитный рейтинг]-$AA$7)/($AA$8-$AA$7)</f>
        <v>0.96271637816245004</v>
      </c>
      <c r="T1109" s="3">
        <f>(Таблица1[Срок с последнего нарушения кредитного договора (мес,)]-$AA$12)/($AA$13-$AA$12)</f>
        <v>0.35227272727272729</v>
      </c>
      <c r="U1109" s="3">
        <f>(Таблица1[Количество кредитных карт]-$AA$18)/($AA$19-$AA$18)</f>
        <v>0.30952380952380953</v>
      </c>
      <c r="V1109" s="3">
        <f>(Таблица1[Число нарушений кредитных договоров]-$AA$23)/($AA$24-$AA$23)</f>
        <v>0</v>
      </c>
      <c r="W1109" s="3">
        <f>Таблица1[[#This Row],[Годовой доход]]/12</f>
        <v>106814.83333333333</v>
      </c>
      <c r="X1109" s="3">
        <f>Таблица1[[#This Row],[Ежемесячный платеж]]/Таблица1[[#This Row],[Ежем доход]]</f>
        <v>0.20400106726749875</v>
      </c>
      <c r="Y1109" s="3"/>
      <c r="Z1109" s="3"/>
      <c r="AA1109" s="3"/>
      <c r="AB1109" s="3"/>
    </row>
    <row r="1110" spans="1:28" x14ac:dyDescent="0.2">
      <c r="A1110">
        <v>254</v>
      </c>
      <c r="B1110" t="s">
        <v>296</v>
      </c>
      <c r="C1110" t="s">
        <v>18</v>
      </c>
      <c r="D1110" t="s">
        <v>19</v>
      </c>
      <c r="E1110" t="s">
        <v>24</v>
      </c>
      <c r="F1110" t="s">
        <v>21</v>
      </c>
      <c r="G1110" t="s">
        <v>25</v>
      </c>
      <c r="H1110" s="1">
        <v>431288</v>
      </c>
      <c r="I1110" s="3">
        <v>738</v>
      </c>
      <c r="J1110" s="3">
        <v>1378165</v>
      </c>
      <c r="K1110" s="3">
        <v>33879.85</v>
      </c>
      <c r="L1110" s="2">
        <v>28.8</v>
      </c>
      <c r="M1110" s="11">
        <v>35.265240640000002</v>
      </c>
      <c r="N1110" s="3">
        <v>15</v>
      </c>
      <c r="O1110" s="3">
        <v>280687</v>
      </c>
      <c r="P1110" s="3">
        <v>409838</v>
      </c>
      <c r="Q1110" s="10">
        <v>1</v>
      </c>
      <c r="R1110" s="3">
        <f>(Таблица1[Размер кредита]-$AA$2)/$AA$3</f>
        <v>0.6928351405190265</v>
      </c>
      <c r="S1110" s="3">
        <f>(Таблица1[Кредитный рейтинг]-$AA$7)/($AA$8-$AA$7)</f>
        <v>0.9826897470039947</v>
      </c>
      <c r="T1110" s="3">
        <f>(Таблица1[Срок с последнего нарушения кредитного договора (мес,)]-$AA$12)/($AA$13-$AA$12)</f>
        <v>0.40074137090909095</v>
      </c>
      <c r="U1110" s="3">
        <f>(Таблица1[Количество кредитных карт]-$AA$18)/($AA$19-$AA$18)</f>
        <v>0.33333333333333331</v>
      </c>
      <c r="V1110" s="3">
        <f>(Таблица1[Число нарушений кредитных договоров]-$AA$23)/($AA$24-$AA$23)</f>
        <v>0.14285714285714285</v>
      </c>
      <c r="W1110" s="3">
        <f>Таблица1[[#This Row],[Годовой доход]]/12</f>
        <v>114847.08333333333</v>
      </c>
      <c r="X1110" s="3">
        <f>Таблица1[[#This Row],[Ежемесячный платеж]]/Таблица1[[#This Row],[Ежем доход]]</f>
        <v>0.29499965533880196</v>
      </c>
      <c r="Y1110" s="3"/>
      <c r="Z1110" s="3"/>
      <c r="AA1110" s="3"/>
      <c r="AB1110" s="3"/>
    </row>
    <row r="1111" spans="1:28" x14ac:dyDescent="0.2">
      <c r="A1111">
        <v>1723</v>
      </c>
      <c r="B1111" t="s">
        <v>1761</v>
      </c>
      <c r="C1111" t="s">
        <v>35</v>
      </c>
      <c r="D1111" t="s">
        <v>29</v>
      </c>
      <c r="E1111" t="s">
        <v>41</v>
      </c>
      <c r="F1111" t="s">
        <v>33</v>
      </c>
      <c r="G1111" t="s">
        <v>25</v>
      </c>
      <c r="H1111" s="1">
        <v>310332</v>
      </c>
      <c r="I1111" s="3">
        <v>0</v>
      </c>
      <c r="J1111" s="3">
        <v>1168044</v>
      </c>
      <c r="K1111" s="3">
        <v>19574.939999999999</v>
      </c>
      <c r="L1111" s="2">
        <v>13.8</v>
      </c>
      <c r="M1111" s="11">
        <v>35.265240640000002</v>
      </c>
      <c r="N1111" s="3">
        <v>18</v>
      </c>
      <c r="O1111" s="3">
        <v>273011</v>
      </c>
      <c r="P1111" s="3">
        <v>409464</v>
      </c>
      <c r="Q1111" s="10">
        <v>0</v>
      </c>
      <c r="R1111" s="3">
        <f>(Таблица1[Размер кредита]-$AA$2)/$AA$3</f>
        <v>4.1986556257365051E-3</v>
      </c>
      <c r="S1111" s="3">
        <f>(Таблица1[Кредитный рейтинг]-$AA$7)/($AA$8-$AA$7)</f>
        <v>0</v>
      </c>
      <c r="T1111" s="3">
        <f>(Таблица1[Срок с последнего нарушения кредитного договора (мес,)]-$AA$12)/($AA$13-$AA$12)</f>
        <v>0.40074137090909095</v>
      </c>
      <c r="U1111" s="3">
        <f>(Таблица1[Количество кредитных карт]-$AA$18)/($AA$19-$AA$18)</f>
        <v>0.40476190476190477</v>
      </c>
      <c r="V1111" s="3">
        <f>(Таблица1[Число нарушений кредитных договоров]-$AA$23)/($AA$24-$AA$23)</f>
        <v>0</v>
      </c>
      <c r="W1111" s="3">
        <f>Таблица1[[#This Row],[Годовой доход]]/12</f>
        <v>97337</v>
      </c>
      <c r="X1111" s="3">
        <f>Таблица1[[#This Row],[Ежемесячный платеж]]/Таблица1[[#This Row],[Ежем доход]]</f>
        <v>0.20110482139371461</v>
      </c>
      <c r="Y1111" s="3"/>
      <c r="Z1111" s="3"/>
      <c r="AA1111" s="3"/>
      <c r="AB1111" s="3"/>
    </row>
    <row r="1112" spans="1:28" x14ac:dyDescent="0.2">
      <c r="A1112">
        <v>1572</v>
      </c>
      <c r="B1112" t="s">
        <v>1611</v>
      </c>
      <c r="C1112" t="s">
        <v>18</v>
      </c>
      <c r="D1112" t="s">
        <v>29</v>
      </c>
      <c r="E1112" t="s">
        <v>24</v>
      </c>
      <c r="F1112" t="s">
        <v>21</v>
      </c>
      <c r="G1112" t="s">
        <v>25</v>
      </c>
      <c r="H1112" s="1">
        <v>319572</v>
      </c>
      <c r="I1112" s="3">
        <v>0</v>
      </c>
      <c r="J1112" s="3">
        <v>1168044</v>
      </c>
      <c r="K1112" s="3">
        <v>33020.86</v>
      </c>
      <c r="L1112" s="2">
        <v>19.100000000000001</v>
      </c>
      <c r="M1112" s="11">
        <v>35.265240640000002</v>
      </c>
      <c r="N1112" s="3">
        <v>16</v>
      </c>
      <c r="O1112" s="3">
        <v>178600</v>
      </c>
      <c r="P1112" s="3">
        <v>408672</v>
      </c>
      <c r="Q1112" s="10">
        <v>1</v>
      </c>
      <c r="R1112" s="3">
        <f>(Таблица1[Размер кредита]-$AA$2)/$AA$3</f>
        <v>5.6804571168694272E-2</v>
      </c>
      <c r="S1112" s="3">
        <f>(Таблица1[Кредитный рейтинг]-$AA$7)/($AA$8-$AA$7)</f>
        <v>0</v>
      </c>
      <c r="T1112" s="3">
        <f>(Таблица1[Срок с последнего нарушения кредитного договора (мес,)]-$AA$12)/($AA$13-$AA$12)</f>
        <v>0.40074137090909095</v>
      </c>
      <c r="U1112" s="3">
        <f>(Таблица1[Количество кредитных карт]-$AA$18)/($AA$19-$AA$18)</f>
        <v>0.35714285714285715</v>
      </c>
      <c r="V1112" s="3">
        <f>(Таблица1[Число нарушений кредитных договоров]-$AA$23)/($AA$24-$AA$23)</f>
        <v>0.14285714285714285</v>
      </c>
      <c r="W1112" s="3">
        <f>Таблица1[[#This Row],[Годовой доход]]/12</f>
        <v>97337</v>
      </c>
      <c r="X1112" s="3">
        <f>Таблица1[[#This Row],[Ежемесячный платеж]]/Таблица1[[#This Row],[Ежем доход]]</f>
        <v>0.33924263127073978</v>
      </c>
      <c r="Y1112" s="3"/>
      <c r="Z1112" s="3"/>
      <c r="AA1112" s="3"/>
      <c r="AB1112" s="3"/>
    </row>
    <row r="1113" spans="1:28" x14ac:dyDescent="0.2">
      <c r="A1113">
        <v>1502</v>
      </c>
      <c r="B1113" t="s">
        <v>1541</v>
      </c>
      <c r="C1113" t="s">
        <v>35</v>
      </c>
      <c r="D1113" t="s">
        <v>19</v>
      </c>
      <c r="E1113" t="s">
        <v>47</v>
      </c>
      <c r="F1113" t="s">
        <v>33</v>
      </c>
      <c r="G1113" t="s">
        <v>25</v>
      </c>
      <c r="H1113" s="1">
        <v>184492</v>
      </c>
      <c r="I1113" s="3">
        <v>741</v>
      </c>
      <c r="J1113" s="3">
        <v>758708</v>
      </c>
      <c r="K1113" s="3">
        <v>14099.33</v>
      </c>
      <c r="L1113" s="2">
        <v>10.5</v>
      </c>
      <c r="M1113" s="11">
        <v>80</v>
      </c>
      <c r="N1113" s="3">
        <v>7</v>
      </c>
      <c r="O1113" s="3">
        <v>104329</v>
      </c>
      <c r="P1113" s="3">
        <v>408078</v>
      </c>
      <c r="Q1113" s="10">
        <v>0</v>
      </c>
      <c r="R1113" s="3">
        <f>(Таблица1[Размер кредита]-$AA$2)/$AA$3</f>
        <v>-0.7122438131974026</v>
      </c>
      <c r="S1113" s="3">
        <f>(Таблица1[Кредитный рейтинг]-$AA$7)/($AA$8-$AA$7)</f>
        <v>0.98668442077230356</v>
      </c>
      <c r="T1113" s="3">
        <f>(Таблица1[Срок с последнего нарушения кредитного договора (мес,)]-$AA$12)/($AA$13-$AA$12)</f>
        <v>0.90909090909090906</v>
      </c>
      <c r="U1113" s="3">
        <f>(Таблица1[Количество кредитных карт]-$AA$18)/($AA$19-$AA$18)</f>
        <v>0.14285714285714285</v>
      </c>
      <c r="V1113" s="3">
        <f>(Таблица1[Число нарушений кредитных договоров]-$AA$23)/($AA$24-$AA$23)</f>
        <v>0</v>
      </c>
      <c r="W1113" s="3">
        <f>Таблица1[[#This Row],[Годовой доход]]/12</f>
        <v>63225.666666666664</v>
      </c>
      <c r="X1113" s="3">
        <f>Таблица1[[#This Row],[Ежемесячный платеж]]/Таблица1[[#This Row],[Ежем доход]]</f>
        <v>0.22300010017028951</v>
      </c>
      <c r="Y1113" s="3"/>
      <c r="Z1113" s="3"/>
      <c r="AA1113" s="3"/>
      <c r="AB1113" s="3"/>
    </row>
    <row r="1114" spans="1:28" x14ac:dyDescent="0.2">
      <c r="A1114">
        <v>549</v>
      </c>
      <c r="B1114" t="s">
        <v>590</v>
      </c>
      <c r="C1114" t="s">
        <v>18</v>
      </c>
      <c r="D1114" t="s">
        <v>29</v>
      </c>
      <c r="E1114" t="s">
        <v>24</v>
      </c>
      <c r="F1114" t="s">
        <v>33</v>
      </c>
      <c r="G1114" t="s">
        <v>25</v>
      </c>
      <c r="H1114" s="1">
        <v>309594.52439999999</v>
      </c>
      <c r="I1114" s="3">
        <v>719</v>
      </c>
      <c r="J1114" s="3">
        <v>1090543</v>
      </c>
      <c r="K1114" s="3">
        <v>26718.18</v>
      </c>
      <c r="L1114" s="2">
        <v>20.9</v>
      </c>
      <c r="M1114" s="11">
        <v>35.265240640000002</v>
      </c>
      <c r="N1114" s="3">
        <v>15</v>
      </c>
      <c r="O1114" s="3">
        <v>264461</v>
      </c>
      <c r="P1114" s="3">
        <v>407176</v>
      </c>
      <c r="Q1114" s="10">
        <v>0</v>
      </c>
      <c r="R1114" s="3">
        <f>(Таблица1[Размер кредита]-$AA$2)/$AA$3</f>
        <v>-1.2411115481956205E-10</v>
      </c>
      <c r="S1114" s="3">
        <f>(Таблица1[Кредитный рейтинг]-$AA$7)/($AA$8-$AA$7)</f>
        <v>0.95739014647137155</v>
      </c>
      <c r="T1114" s="3">
        <f>(Таблица1[Срок с последнего нарушения кредитного договора (мес,)]-$AA$12)/($AA$13-$AA$12)</f>
        <v>0.40074137090909095</v>
      </c>
      <c r="U1114" s="3">
        <f>(Таблица1[Количество кредитных карт]-$AA$18)/($AA$19-$AA$18)</f>
        <v>0.33333333333333331</v>
      </c>
      <c r="V1114" s="3">
        <f>(Таблица1[Число нарушений кредитных договоров]-$AA$23)/($AA$24-$AA$23)</f>
        <v>0</v>
      </c>
      <c r="W1114" s="3">
        <f>Таблица1[[#This Row],[Годовой доход]]/12</f>
        <v>90878.583333333328</v>
      </c>
      <c r="X1114" s="3">
        <f>Таблица1[[#This Row],[Ежемесячный платеж]]/Таблица1[[#This Row],[Ежем доход]]</f>
        <v>0.29399864104395701</v>
      </c>
      <c r="Y1114" s="3"/>
      <c r="Z1114" s="3"/>
      <c r="AA1114" s="3"/>
      <c r="AB1114" s="3"/>
    </row>
    <row r="1115" spans="1:28" x14ac:dyDescent="0.2">
      <c r="A1115">
        <v>1420</v>
      </c>
      <c r="B1115" t="s">
        <v>1459</v>
      </c>
      <c r="C1115" t="s">
        <v>35</v>
      </c>
      <c r="D1115" t="s">
        <v>29</v>
      </c>
      <c r="E1115" t="s">
        <v>47</v>
      </c>
      <c r="F1115" t="s">
        <v>27</v>
      </c>
      <c r="G1115" t="s">
        <v>25</v>
      </c>
      <c r="H1115" s="1">
        <v>215578</v>
      </c>
      <c r="I1115" s="3">
        <v>665</v>
      </c>
      <c r="J1115" s="3">
        <v>595783</v>
      </c>
      <c r="K1115" s="3">
        <v>8291.2199999999993</v>
      </c>
      <c r="L1115" s="2">
        <v>11</v>
      </c>
      <c r="M1115" s="11">
        <v>35.265240640000002</v>
      </c>
      <c r="N1115" s="3">
        <v>11</v>
      </c>
      <c r="O1115" s="3">
        <v>220115</v>
      </c>
      <c r="P1115" s="3">
        <v>407154</v>
      </c>
      <c r="Q1115" s="10">
        <v>0</v>
      </c>
      <c r="R1115" s="3">
        <f>(Таблица1[Размер кредита]-$AA$2)/$AA$3</f>
        <v>-0.53526248304930901</v>
      </c>
      <c r="S1115" s="3">
        <f>(Таблица1[Кредитный рейтинг]-$AA$7)/($AA$8-$AA$7)</f>
        <v>0.88548601864181087</v>
      </c>
      <c r="T1115" s="3">
        <f>(Таблица1[Срок с последнего нарушения кредитного договора (мес,)]-$AA$12)/($AA$13-$AA$12)</f>
        <v>0.40074137090909095</v>
      </c>
      <c r="U1115" s="3">
        <f>(Таблица1[Количество кредитных карт]-$AA$18)/($AA$19-$AA$18)</f>
        <v>0.23809523809523808</v>
      </c>
      <c r="V1115" s="3">
        <f>(Таблица1[Число нарушений кредитных договоров]-$AA$23)/($AA$24-$AA$23)</f>
        <v>0</v>
      </c>
      <c r="W1115" s="3">
        <f>Таблица1[[#This Row],[Годовой доход]]/12</f>
        <v>49648.583333333336</v>
      </c>
      <c r="X1115" s="3">
        <f>Таблица1[[#This Row],[Ежемесячный платеж]]/Таблица1[[#This Row],[Ежем доход]]</f>
        <v>0.16699811844245302</v>
      </c>
      <c r="Y1115" s="3"/>
      <c r="Z1115" s="3"/>
      <c r="AA1115" s="3"/>
      <c r="AB1115" s="3"/>
    </row>
    <row r="1116" spans="1:28" x14ac:dyDescent="0.2">
      <c r="A1116">
        <v>532</v>
      </c>
      <c r="B1116" t="s">
        <v>573</v>
      </c>
      <c r="C1116" t="s">
        <v>18</v>
      </c>
      <c r="D1116" t="s">
        <v>19</v>
      </c>
      <c r="E1116" t="s">
        <v>24</v>
      </c>
      <c r="F1116" t="s">
        <v>21</v>
      </c>
      <c r="G1116" t="s">
        <v>25</v>
      </c>
      <c r="H1116" s="1">
        <v>156552</v>
      </c>
      <c r="I1116" s="3">
        <v>720</v>
      </c>
      <c r="J1116" s="3">
        <v>1840397</v>
      </c>
      <c r="K1116" s="3">
        <v>31440.25</v>
      </c>
      <c r="L1116" s="2">
        <v>19.100000000000001</v>
      </c>
      <c r="M1116" s="11">
        <v>45</v>
      </c>
      <c r="N1116" s="3">
        <v>10</v>
      </c>
      <c r="O1116" s="3">
        <v>258400</v>
      </c>
      <c r="P1116" s="3">
        <v>406538</v>
      </c>
      <c r="Q1116" s="10">
        <v>0</v>
      </c>
      <c r="R1116" s="3">
        <f>(Таблица1[Размер кредита]-$AA$2)/$AA$3</f>
        <v>-0.87131408162491775</v>
      </c>
      <c r="S1116" s="3">
        <f>(Таблица1[Кредитный рейтинг]-$AA$7)/($AA$8-$AA$7)</f>
        <v>0.95872170439414117</v>
      </c>
      <c r="T1116" s="3">
        <f>(Таблица1[Срок с последнего нарушения кредитного договора (мес,)]-$AA$12)/($AA$13-$AA$12)</f>
        <v>0.51136363636363635</v>
      </c>
      <c r="U1116" s="3">
        <f>(Таблица1[Количество кредитных карт]-$AA$18)/($AA$19-$AA$18)</f>
        <v>0.21428571428571427</v>
      </c>
      <c r="V1116" s="3">
        <f>(Таблица1[Число нарушений кредитных договоров]-$AA$23)/($AA$24-$AA$23)</f>
        <v>0</v>
      </c>
      <c r="W1116" s="3">
        <f>Таблица1[[#This Row],[Годовой доход]]/12</f>
        <v>153366.41666666666</v>
      </c>
      <c r="X1116" s="3">
        <f>Таблица1[[#This Row],[Ежемесячный платеж]]/Таблица1[[#This Row],[Ежем доход]]</f>
        <v>0.2050008775280551</v>
      </c>
      <c r="Y1116" s="3"/>
      <c r="Z1116" s="3"/>
      <c r="AA1116" s="3"/>
      <c r="AB1116" s="3"/>
    </row>
    <row r="1117" spans="1:28" x14ac:dyDescent="0.2">
      <c r="A1117">
        <v>1565</v>
      </c>
      <c r="B1117" t="s">
        <v>1604</v>
      </c>
      <c r="C1117" t="s">
        <v>18</v>
      </c>
      <c r="D1117" t="s">
        <v>29</v>
      </c>
      <c r="E1117" t="s">
        <v>32</v>
      </c>
      <c r="F1117" t="s">
        <v>33</v>
      </c>
      <c r="G1117" t="s">
        <v>25</v>
      </c>
      <c r="H1117" s="1">
        <v>218350</v>
      </c>
      <c r="I1117" s="3">
        <v>676</v>
      </c>
      <c r="J1117" s="3">
        <v>1282310</v>
      </c>
      <c r="K1117" s="3">
        <v>7020.69</v>
      </c>
      <c r="L1117" s="2">
        <v>16.899999999999999</v>
      </c>
      <c r="M1117" s="11">
        <v>35.265240640000002</v>
      </c>
      <c r="N1117" s="3">
        <v>8</v>
      </c>
      <c r="O1117" s="3">
        <v>232617</v>
      </c>
      <c r="P1117" s="3">
        <v>406252</v>
      </c>
      <c r="Q1117" s="10">
        <v>1</v>
      </c>
      <c r="R1117" s="3">
        <f>(Таблица1[Размер кредита]-$AA$2)/$AA$3</f>
        <v>-0.51948070838642169</v>
      </c>
      <c r="S1117" s="3">
        <f>(Таблица1[Кредитный рейтинг]-$AA$7)/($AA$8-$AA$7)</f>
        <v>0.90013315579227693</v>
      </c>
      <c r="T1117" s="3">
        <f>(Таблица1[Срок с последнего нарушения кредитного договора (мес,)]-$AA$12)/($AA$13-$AA$12)</f>
        <v>0.40074137090909095</v>
      </c>
      <c r="U1117" s="3">
        <f>(Таблица1[Количество кредитных карт]-$AA$18)/($AA$19-$AA$18)</f>
        <v>0.16666666666666666</v>
      </c>
      <c r="V1117" s="3">
        <f>(Таблица1[Число нарушений кредитных договоров]-$AA$23)/($AA$24-$AA$23)</f>
        <v>0.14285714285714285</v>
      </c>
      <c r="W1117" s="3">
        <f>Таблица1[[#This Row],[Годовой доход]]/12</f>
        <v>106859.16666666667</v>
      </c>
      <c r="X1117" s="3">
        <f>Таблица1[[#This Row],[Ежемесячный платеж]]/Таблица1[[#This Row],[Ежем доход]]</f>
        <v>6.5700400059268027E-2</v>
      </c>
      <c r="Y1117" s="3"/>
      <c r="Z1117" s="3"/>
      <c r="AA1117" s="3"/>
      <c r="AB1117" s="3"/>
    </row>
    <row r="1118" spans="1:28" x14ac:dyDescent="0.2">
      <c r="A1118">
        <v>402</v>
      </c>
      <c r="B1118" t="s">
        <v>444</v>
      </c>
      <c r="C1118" t="s">
        <v>35</v>
      </c>
      <c r="D1118" t="s">
        <v>19</v>
      </c>
      <c r="E1118" t="s">
        <v>24</v>
      </c>
      <c r="F1118" t="s">
        <v>27</v>
      </c>
      <c r="G1118" t="s">
        <v>25</v>
      </c>
      <c r="H1118" s="1">
        <v>327404</v>
      </c>
      <c r="I1118" s="3">
        <v>0</v>
      </c>
      <c r="J1118" s="3">
        <v>1168044</v>
      </c>
      <c r="K1118" s="3">
        <v>26012.9</v>
      </c>
      <c r="L1118" s="2">
        <v>17</v>
      </c>
      <c r="M1118" s="11">
        <v>35.265240640000002</v>
      </c>
      <c r="N1118" s="3">
        <v>12</v>
      </c>
      <c r="O1118" s="3">
        <v>246525</v>
      </c>
      <c r="P1118" s="3">
        <v>406032</v>
      </c>
      <c r="Q1118" s="10">
        <v>0</v>
      </c>
      <c r="R1118" s="3">
        <f>(Таблица1[Размер кредита]-$AA$2)/$AA$3</f>
        <v>0.1013943472003442</v>
      </c>
      <c r="S1118" s="3">
        <f>(Таблица1[Кредитный рейтинг]-$AA$7)/($AA$8-$AA$7)</f>
        <v>0</v>
      </c>
      <c r="T1118" s="3">
        <f>(Таблица1[Срок с последнего нарушения кредитного договора (мес,)]-$AA$12)/($AA$13-$AA$12)</f>
        <v>0.40074137090909095</v>
      </c>
      <c r="U1118" s="3">
        <f>(Таблица1[Количество кредитных карт]-$AA$18)/($AA$19-$AA$18)</f>
        <v>0.26190476190476192</v>
      </c>
      <c r="V1118" s="3">
        <f>(Таблица1[Число нарушений кредитных договоров]-$AA$23)/($AA$24-$AA$23)</f>
        <v>0</v>
      </c>
      <c r="W1118" s="3">
        <f>Таблица1[[#This Row],[Годовой доход]]/12</f>
        <v>97337</v>
      </c>
      <c r="X1118" s="3">
        <f>Таблица1[[#This Row],[Ежемесячный платеж]]/Таблица1[[#This Row],[Ежем доход]]</f>
        <v>0.26724575444075738</v>
      </c>
      <c r="Y1118" s="3"/>
      <c r="Z1118" s="3"/>
      <c r="AA1118" s="3"/>
      <c r="AB1118" s="3"/>
    </row>
    <row r="1119" spans="1:28" x14ac:dyDescent="0.2">
      <c r="A1119">
        <v>925</v>
      </c>
      <c r="B1119" t="s">
        <v>966</v>
      </c>
      <c r="C1119" t="s">
        <v>18</v>
      </c>
      <c r="D1119" t="s">
        <v>19</v>
      </c>
      <c r="E1119" t="s">
        <v>32</v>
      </c>
      <c r="F1119" t="s">
        <v>21</v>
      </c>
      <c r="G1119" t="s">
        <v>25</v>
      </c>
      <c r="H1119" s="1">
        <v>268532</v>
      </c>
      <c r="I1119" s="3">
        <v>720</v>
      </c>
      <c r="J1119" s="3">
        <v>1855369</v>
      </c>
      <c r="K1119" s="3">
        <v>28912.87</v>
      </c>
      <c r="L1119" s="2">
        <v>11</v>
      </c>
      <c r="M1119" s="11">
        <v>15</v>
      </c>
      <c r="N1119" s="3">
        <v>13</v>
      </c>
      <c r="O1119" s="3">
        <v>159847</v>
      </c>
      <c r="P1119" s="3">
        <v>404998</v>
      </c>
      <c r="Q1119" s="10">
        <v>0</v>
      </c>
      <c r="R1119" s="3">
        <f>(Таблица1[Размер кредита]-$AA$2)/$AA$3</f>
        <v>-0.2337804861162153</v>
      </c>
      <c r="S1119" s="3">
        <f>(Таблица1[Кредитный рейтинг]-$AA$7)/($AA$8-$AA$7)</f>
        <v>0.95872170439414117</v>
      </c>
      <c r="T1119" s="3">
        <f>(Таблица1[Срок с последнего нарушения кредитного договора (мес,)]-$AA$12)/($AA$13-$AA$12)</f>
        <v>0.17045454545454544</v>
      </c>
      <c r="U1119" s="3">
        <f>(Таблица1[Количество кредитных карт]-$AA$18)/($AA$19-$AA$18)</f>
        <v>0.2857142857142857</v>
      </c>
      <c r="V1119" s="3">
        <f>(Таблица1[Число нарушений кредитных договоров]-$AA$23)/($AA$24-$AA$23)</f>
        <v>0</v>
      </c>
      <c r="W1119" s="3">
        <f>Таблица1[[#This Row],[Годовой доход]]/12</f>
        <v>154614.08333333334</v>
      </c>
      <c r="X1119" s="3">
        <f>Таблица1[[#This Row],[Ежемесячный платеж]]/Таблица1[[#This Row],[Ежем доход]]</f>
        <v>0.18700023553266221</v>
      </c>
      <c r="Y1119" s="3"/>
      <c r="Z1119" s="3"/>
      <c r="AA1119" s="3"/>
      <c r="AB1119" s="3"/>
    </row>
    <row r="1120" spans="1:28" x14ac:dyDescent="0.2">
      <c r="A1120">
        <v>1697</v>
      </c>
      <c r="B1120" t="s">
        <v>1735</v>
      </c>
      <c r="C1120" t="s">
        <v>18</v>
      </c>
      <c r="D1120" t="s">
        <v>29</v>
      </c>
      <c r="E1120" t="s">
        <v>24</v>
      </c>
      <c r="F1120" t="s">
        <v>21</v>
      </c>
      <c r="G1120" t="s">
        <v>67</v>
      </c>
      <c r="H1120" s="1">
        <v>309594.52439999999</v>
      </c>
      <c r="I1120" s="3">
        <v>701</v>
      </c>
      <c r="J1120" s="3">
        <v>1571946</v>
      </c>
      <c r="K1120" s="3">
        <v>26461.11</v>
      </c>
      <c r="L1120" s="2">
        <v>17.899999999999999</v>
      </c>
      <c r="M1120" s="11">
        <v>35.265240640000002</v>
      </c>
      <c r="N1120" s="3">
        <v>8</v>
      </c>
      <c r="O1120" s="3">
        <v>332196</v>
      </c>
      <c r="P1120" s="3">
        <v>404866</v>
      </c>
      <c r="Q1120" s="10">
        <v>0</v>
      </c>
      <c r="R1120" s="3">
        <f>(Таблица1[Размер кредита]-$AA$2)/$AA$3</f>
        <v>-1.2411115481956205E-10</v>
      </c>
      <c r="S1120" s="3">
        <f>(Таблица1[Кредитный рейтинг]-$AA$7)/($AA$8-$AA$7)</f>
        <v>0.93342210386151803</v>
      </c>
      <c r="T1120" s="3">
        <f>(Таблица1[Срок с последнего нарушения кредитного договора (мес,)]-$AA$12)/($AA$13-$AA$12)</f>
        <v>0.40074137090909095</v>
      </c>
      <c r="U1120" s="3">
        <f>(Таблица1[Количество кредитных карт]-$AA$18)/($AA$19-$AA$18)</f>
        <v>0.16666666666666666</v>
      </c>
      <c r="V1120" s="3">
        <f>(Таблица1[Число нарушений кредитных договоров]-$AA$23)/($AA$24-$AA$23)</f>
        <v>0</v>
      </c>
      <c r="W1120" s="3">
        <f>Таблица1[[#This Row],[Годовой доход]]/12</f>
        <v>130995.5</v>
      </c>
      <c r="X1120" s="3">
        <f>Таблица1[[#This Row],[Ежемесячный платеж]]/Таблица1[[#This Row],[Ежем доход]]</f>
        <v>0.20200014504315034</v>
      </c>
      <c r="Y1120" s="3"/>
      <c r="Z1120" s="3"/>
      <c r="AA1120" s="3"/>
      <c r="AB1120" s="3"/>
    </row>
    <row r="1121" spans="1:28" x14ac:dyDescent="0.2">
      <c r="A1121">
        <v>480</v>
      </c>
      <c r="B1121" t="s">
        <v>521</v>
      </c>
      <c r="C1121" t="s">
        <v>18</v>
      </c>
      <c r="D1121" t="s">
        <v>19</v>
      </c>
      <c r="E1121" t="s">
        <v>47</v>
      </c>
      <c r="F1121" t="s">
        <v>33</v>
      </c>
      <c r="G1121" t="s">
        <v>25</v>
      </c>
      <c r="H1121" s="1">
        <v>324346</v>
      </c>
      <c r="I1121" s="3">
        <v>742</v>
      </c>
      <c r="J1121" s="3">
        <v>954370</v>
      </c>
      <c r="K1121" s="3">
        <v>17019.63</v>
      </c>
      <c r="L1121" s="2">
        <v>10</v>
      </c>
      <c r="M1121" s="11">
        <v>34</v>
      </c>
      <c r="N1121" s="3">
        <v>17</v>
      </c>
      <c r="O1121" s="3">
        <v>121448</v>
      </c>
      <c r="P1121" s="3">
        <v>404096</v>
      </c>
      <c r="Q1121" s="10">
        <v>0</v>
      </c>
      <c r="R1121" s="3">
        <f>(Таблица1[Размер кредита]-$AA$2)/$AA$3</f>
        <v>8.3984294199222459E-2</v>
      </c>
      <c r="S1121" s="3">
        <f>(Таблица1[Кредитный рейтинг]-$AA$7)/($AA$8-$AA$7)</f>
        <v>0.98801597869507318</v>
      </c>
      <c r="T1121" s="3">
        <f>(Таблица1[Срок с последнего нарушения кредитного договора (мес,)]-$AA$12)/($AA$13-$AA$12)</f>
        <v>0.38636363636363635</v>
      </c>
      <c r="U1121" s="3">
        <f>(Таблица1[Количество кредитных карт]-$AA$18)/($AA$19-$AA$18)</f>
        <v>0.38095238095238093</v>
      </c>
      <c r="V1121" s="3">
        <f>(Таблица1[Число нарушений кредитных договоров]-$AA$23)/($AA$24-$AA$23)</f>
        <v>0</v>
      </c>
      <c r="W1121" s="3">
        <f>Таблица1[[#This Row],[Годовой доход]]/12</f>
        <v>79530.833333333328</v>
      </c>
      <c r="X1121" s="3">
        <f>Таблица1[[#This Row],[Ежемесячный платеж]]/Таблица1[[#This Row],[Ежем доход]]</f>
        <v>0.21400039816842528</v>
      </c>
      <c r="Y1121" s="3"/>
      <c r="Z1121" s="3"/>
      <c r="AA1121" s="3"/>
      <c r="AB1121" s="3"/>
    </row>
    <row r="1122" spans="1:28" x14ac:dyDescent="0.2">
      <c r="A1122">
        <v>1687</v>
      </c>
      <c r="B1122" s="4" t="s">
        <v>1725</v>
      </c>
      <c r="C1122" t="s">
        <v>35</v>
      </c>
      <c r="D1122" t="s">
        <v>19</v>
      </c>
      <c r="E1122" t="s">
        <v>24</v>
      </c>
      <c r="F1122" t="s">
        <v>33</v>
      </c>
      <c r="G1122" t="s">
        <v>25</v>
      </c>
      <c r="H1122" s="1">
        <v>242528</v>
      </c>
      <c r="I1122" s="3">
        <v>698</v>
      </c>
      <c r="J1122" s="3">
        <v>582730</v>
      </c>
      <c r="K1122" s="3">
        <v>13451.43</v>
      </c>
      <c r="L1122" s="2">
        <v>14.2</v>
      </c>
      <c r="M1122" s="11">
        <v>30</v>
      </c>
      <c r="N1122" s="3">
        <v>13</v>
      </c>
      <c r="O1122" s="3">
        <v>252301</v>
      </c>
      <c r="P1122" s="3">
        <v>404052</v>
      </c>
      <c r="Q1122" s="10">
        <v>2</v>
      </c>
      <c r="R1122" s="3">
        <f>(Таблица1[Размер кредита]-$AA$2)/$AA$3</f>
        <v>-0.38182856271568216</v>
      </c>
      <c r="S1122" s="3">
        <f>(Таблица1[Кредитный рейтинг]-$AA$7)/($AA$8-$AA$7)</f>
        <v>0.92942743009320905</v>
      </c>
      <c r="T1122" s="3">
        <f>(Таблица1[Срок с последнего нарушения кредитного договора (мес,)]-$AA$12)/($AA$13-$AA$12)</f>
        <v>0.34090909090909088</v>
      </c>
      <c r="U1122" s="3">
        <f>(Таблица1[Количество кредитных карт]-$AA$18)/($AA$19-$AA$18)</f>
        <v>0.2857142857142857</v>
      </c>
      <c r="V1122" s="3">
        <f>(Таблица1[Число нарушений кредитных договоров]-$AA$23)/($AA$24-$AA$23)</f>
        <v>0.2857142857142857</v>
      </c>
      <c r="W1122" s="3">
        <f>Таблица1[[#This Row],[Годовой доход]]/12</f>
        <v>48560.833333333336</v>
      </c>
      <c r="X1122" s="3">
        <f>Таблица1[[#This Row],[Ежемесячный платеж]]/Таблица1[[#This Row],[Ежем доход]]</f>
        <v>0.27700163025758068</v>
      </c>
      <c r="Y1122" s="3"/>
      <c r="Z1122" s="3"/>
      <c r="AA1122" s="3"/>
      <c r="AB1122" s="3"/>
    </row>
    <row r="1123" spans="1:28" x14ac:dyDescent="0.2">
      <c r="A1123">
        <v>467</v>
      </c>
      <c r="B1123" t="s">
        <v>508</v>
      </c>
      <c r="C1123" t="s">
        <v>18</v>
      </c>
      <c r="D1123" t="s">
        <v>29</v>
      </c>
      <c r="E1123" t="s">
        <v>63</v>
      </c>
      <c r="F1123" t="s">
        <v>27</v>
      </c>
      <c r="G1123" t="s">
        <v>25</v>
      </c>
      <c r="H1123" s="1">
        <v>267784</v>
      </c>
      <c r="I1123" s="3">
        <v>689</v>
      </c>
      <c r="J1123" s="3">
        <v>1638104</v>
      </c>
      <c r="K1123" s="3">
        <v>48050.62</v>
      </c>
      <c r="L1123" s="2">
        <v>12.2</v>
      </c>
      <c r="M1123" s="11">
        <v>20</v>
      </c>
      <c r="N1123" s="3">
        <v>10</v>
      </c>
      <c r="O1123" s="3">
        <v>60325</v>
      </c>
      <c r="P1123" s="3">
        <v>403722</v>
      </c>
      <c r="Q1123" s="10">
        <v>0</v>
      </c>
      <c r="R1123" s="3">
        <f>(Таблица1[Размер кредита]-$AA$2)/$AA$3</f>
        <v>-0.2380390602315976</v>
      </c>
      <c r="S1123" s="3">
        <f>(Таблица1[Кредитный рейтинг]-$AA$7)/($AA$8-$AA$7)</f>
        <v>0.91744340878828234</v>
      </c>
      <c r="T1123" s="3">
        <f>(Таблица1[Срок с последнего нарушения кредитного договора (мес,)]-$AA$12)/($AA$13-$AA$12)</f>
        <v>0.22727272727272727</v>
      </c>
      <c r="U1123" s="3">
        <f>(Таблица1[Количество кредитных карт]-$AA$18)/($AA$19-$AA$18)</f>
        <v>0.21428571428571427</v>
      </c>
      <c r="V1123" s="3">
        <f>(Таблица1[Число нарушений кредитных договоров]-$AA$23)/($AA$24-$AA$23)</f>
        <v>0</v>
      </c>
      <c r="W1123" s="3">
        <f>Таблица1[[#This Row],[Годовой доход]]/12</f>
        <v>136508.66666666666</v>
      </c>
      <c r="X1123" s="3">
        <f>Таблица1[[#This Row],[Ежемесячный платеж]]/Таблица1[[#This Row],[Ежем доход]]</f>
        <v>0.35199684513315399</v>
      </c>
      <c r="Y1123" s="3"/>
      <c r="Z1123" s="3"/>
      <c r="AA1123" s="3"/>
      <c r="AB1123" s="3"/>
    </row>
    <row r="1124" spans="1:28" x14ac:dyDescent="0.2">
      <c r="A1124">
        <v>757</v>
      </c>
      <c r="B1124" t="s">
        <v>798</v>
      </c>
      <c r="C1124" t="s">
        <v>18</v>
      </c>
      <c r="D1124" t="s">
        <v>19</v>
      </c>
      <c r="E1124" t="s">
        <v>47</v>
      </c>
      <c r="F1124" t="s">
        <v>21</v>
      </c>
      <c r="G1124" t="s">
        <v>25</v>
      </c>
      <c r="H1124" s="1">
        <v>347028</v>
      </c>
      <c r="I1124" s="3">
        <v>743</v>
      </c>
      <c r="J1124" s="3">
        <v>1685889</v>
      </c>
      <c r="K1124" s="3">
        <v>8836.9</v>
      </c>
      <c r="L1124" s="2">
        <v>16.899999999999999</v>
      </c>
      <c r="M1124" s="11">
        <v>35.265240640000002</v>
      </c>
      <c r="N1124" s="3">
        <v>13</v>
      </c>
      <c r="O1124" s="3">
        <v>127224</v>
      </c>
      <c r="P1124" s="3">
        <v>403612</v>
      </c>
      <c r="Q1124" s="10">
        <v>1</v>
      </c>
      <c r="R1124" s="3">
        <f>(Таблица1[Размер кредита]-$AA$2)/$AA$3</f>
        <v>0.21311929163919735</v>
      </c>
      <c r="S1124" s="3">
        <f>(Таблица1[Кредитный рейтинг]-$AA$7)/($AA$8-$AA$7)</f>
        <v>0.98934753661784292</v>
      </c>
      <c r="T1124" s="3">
        <f>(Таблица1[Срок с последнего нарушения кредитного договора (мес,)]-$AA$12)/($AA$13-$AA$12)</f>
        <v>0.40074137090909095</v>
      </c>
      <c r="U1124" s="3">
        <f>(Таблица1[Количество кредитных карт]-$AA$18)/($AA$19-$AA$18)</f>
        <v>0.2857142857142857</v>
      </c>
      <c r="V1124" s="3">
        <f>(Таблица1[Число нарушений кредитных договоров]-$AA$23)/($AA$24-$AA$23)</f>
        <v>0.14285714285714285</v>
      </c>
      <c r="W1124" s="3">
        <f>Таблица1[[#This Row],[Годовой доход]]/12</f>
        <v>140490.75</v>
      </c>
      <c r="X1124" s="3">
        <f>Таблица1[[#This Row],[Ежемесячный платеж]]/Таблица1[[#This Row],[Ежем доход]]</f>
        <v>6.2900226527369235E-2</v>
      </c>
      <c r="Y1124" s="3"/>
      <c r="Z1124" s="3"/>
      <c r="AA1124" s="3"/>
      <c r="AB1124" s="3"/>
    </row>
    <row r="1125" spans="1:28" x14ac:dyDescent="0.2">
      <c r="A1125">
        <v>321</v>
      </c>
      <c r="B1125" t="s">
        <v>363</v>
      </c>
      <c r="C1125" t="s">
        <v>18</v>
      </c>
      <c r="D1125" t="s">
        <v>19</v>
      </c>
      <c r="E1125" t="s">
        <v>20</v>
      </c>
      <c r="F1125" t="s">
        <v>21</v>
      </c>
      <c r="G1125" t="s">
        <v>25</v>
      </c>
      <c r="H1125" s="1">
        <v>309594.52439999999</v>
      </c>
      <c r="I1125" s="3">
        <v>747</v>
      </c>
      <c r="J1125" s="3">
        <v>914432</v>
      </c>
      <c r="K1125" s="3">
        <v>15088.09</v>
      </c>
      <c r="L1125" s="2">
        <v>16.600000000000001</v>
      </c>
      <c r="M1125" s="11">
        <v>35.265240640000002</v>
      </c>
      <c r="N1125" s="3">
        <v>8</v>
      </c>
      <c r="O1125" s="3">
        <v>202084</v>
      </c>
      <c r="P1125" s="3">
        <v>403458</v>
      </c>
      <c r="Q1125" s="10">
        <v>0</v>
      </c>
      <c r="R1125" s="3">
        <f>(Таблица1[Размер кредита]-$AA$2)/$AA$3</f>
        <v>-1.2411115481956205E-10</v>
      </c>
      <c r="S1125" s="3">
        <f>(Таблица1[Кредитный рейтинг]-$AA$7)/($AA$8-$AA$7)</f>
        <v>0.9946737683089214</v>
      </c>
      <c r="T1125" s="3">
        <f>(Таблица1[Срок с последнего нарушения кредитного договора (мес,)]-$AA$12)/($AA$13-$AA$12)</f>
        <v>0.40074137090909095</v>
      </c>
      <c r="U1125" s="3">
        <f>(Таблица1[Количество кредитных карт]-$AA$18)/($AA$19-$AA$18)</f>
        <v>0.16666666666666666</v>
      </c>
      <c r="V1125" s="3">
        <f>(Таблица1[Число нарушений кредитных договоров]-$AA$23)/($AA$24-$AA$23)</f>
        <v>0</v>
      </c>
      <c r="W1125" s="3">
        <f>Таблица1[[#This Row],[Годовой доход]]/12</f>
        <v>76202.666666666672</v>
      </c>
      <c r="X1125" s="3">
        <f>Таблица1[[#This Row],[Ежемесячный платеж]]/Таблица1[[#This Row],[Ежем доход]]</f>
        <v>0.19799950132978722</v>
      </c>
      <c r="Y1125" s="3"/>
      <c r="Z1125" s="3"/>
      <c r="AA1125" s="3"/>
      <c r="AB1125" s="3"/>
    </row>
    <row r="1126" spans="1:28" x14ac:dyDescent="0.2">
      <c r="A1126">
        <v>1076</v>
      </c>
      <c r="B1126" t="s">
        <v>1115</v>
      </c>
      <c r="C1126" t="s">
        <v>18</v>
      </c>
      <c r="D1126" t="s">
        <v>19</v>
      </c>
      <c r="E1126" t="s">
        <v>41</v>
      </c>
      <c r="F1126" t="s">
        <v>27</v>
      </c>
      <c r="G1126" t="s">
        <v>25</v>
      </c>
      <c r="H1126" s="1">
        <v>183326</v>
      </c>
      <c r="I1126" s="3">
        <v>707</v>
      </c>
      <c r="J1126" s="3">
        <v>1248053</v>
      </c>
      <c r="K1126" s="3">
        <v>15392.47</v>
      </c>
      <c r="L1126" s="2">
        <v>11.4</v>
      </c>
      <c r="M1126" s="11">
        <v>35.265240640000002</v>
      </c>
      <c r="N1126" s="3">
        <v>13</v>
      </c>
      <c r="O1126" s="3">
        <v>266361</v>
      </c>
      <c r="P1126" s="3">
        <v>403172</v>
      </c>
      <c r="Q1126" s="10">
        <v>0</v>
      </c>
      <c r="R1126" s="3">
        <f>(Таблица1[Размер кредита]-$AA$2)/$AA$3</f>
        <v>-0.71888217873020444</v>
      </c>
      <c r="S1126" s="3">
        <f>(Таблица1[Кредитный рейтинг]-$AA$7)/($AA$8-$AA$7)</f>
        <v>0.94141145139813587</v>
      </c>
      <c r="T1126" s="3">
        <f>(Таблица1[Срок с последнего нарушения кредитного договора (мес,)]-$AA$12)/($AA$13-$AA$12)</f>
        <v>0.40074137090909095</v>
      </c>
      <c r="U1126" s="3">
        <f>(Таблица1[Количество кредитных карт]-$AA$18)/($AA$19-$AA$18)</f>
        <v>0.2857142857142857</v>
      </c>
      <c r="V1126" s="3">
        <f>(Таблица1[Число нарушений кредитных договоров]-$AA$23)/($AA$24-$AA$23)</f>
        <v>0</v>
      </c>
      <c r="W1126" s="3">
        <f>Таблица1[[#This Row],[Годовой доход]]/12</f>
        <v>104004.41666666667</v>
      </c>
      <c r="X1126" s="3">
        <f>Таблица1[[#This Row],[Ежемесячный платеж]]/Таблица1[[#This Row],[Ежем доход]]</f>
        <v>0.14799823404935528</v>
      </c>
      <c r="Y1126" s="3"/>
      <c r="Z1126" s="3"/>
      <c r="AA1126" s="3"/>
      <c r="AB1126" s="3"/>
    </row>
    <row r="1127" spans="1:28" x14ac:dyDescent="0.2">
      <c r="A1127">
        <v>1626</v>
      </c>
      <c r="B1127" t="s">
        <v>1665</v>
      </c>
      <c r="C1127" t="s">
        <v>18</v>
      </c>
      <c r="D1127" t="s">
        <v>19</v>
      </c>
      <c r="E1127" t="s">
        <v>41</v>
      </c>
      <c r="F1127" t="s">
        <v>33</v>
      </c>
      <c r="G1127" t="s">
        <v>67</v>
      </c>
      <c r="H1127" s="1">
        <v>387244</v>
      </c>
      <c r="I1127" s="3">
        <v>725</v>
      </c>
      <c r="J1127" s="3">
        <v>2316480</v>
      </c>
      <c r="K1127" s="3">
        <v>4285.45</v>
      </c>
      <c r="L1127" s="2">
        <v>7.1</v>
      </c>
      <c r="M1127" s="11">
        <v>35.265240640000002</v>
      </c>
      <c r="N1127" s="3">
        <v>6</v>
      </c>
      <c r="O1127" s="3">
        <v>75544</v>
      </c>
      <c r="P1127" s="3">
        <v>403062</v>
      </c>
      <c r="Q1127" s="10">
        <v>0</v>
      </c>
      <c r="R1127" s="3">
        <f>(Таблица1[Размер кредита]-$AA$2)/$AA$3</f>
        <v>0.44208027643092784</v>
      </c>
      <c r="S1127" s="3">
        <f>(Таблица1[Кредитный рейтинг]-$AA$7)/($AA$8-$AA$7)</f>
        <v>0.96537949400798939</v>
      </c>
      <c r="T1127" s="3">
        <f>(Таблица1[Срок с последнего нарушения кредитного договора (мес,)]-$AA$12)/($AA$13-$AA$12)</f>
        <v>0.40074137090909095</v>
      </c>
      <c r="U1127" s="3">
        <f>(Таблица1[Количество кредитных карт]-$AA$18)/($AA$19-$AA$18)</f>
        <v>0.11904761904761904</v>
      </c>
      <c r="V1127" s="3">
        <f>(Таблица1[Число нарушений кредитных договоров]-$AA$23)/($AA$24-$AA$23)</f>
        <v>0</v>
      </c>
      <c r="W1127" s="3">
        <f>Таблица1[[#This Row],[Годовой доход]]/12</f>
        <v>193040</v>
      </c>
      <c r="X1127" s="3">
        <f>Таблица1[[#This Row],[Ежемесячный платеж]]/Таблица1[[#This Row],[Ежем доход]]</f>
        <v>2.2199803149606297E-2</v>
      </c>
      <c r="Y1127" s="3"/>
      <c r="Z1127" s="3"/>
      <c r="AA1127" s="3"/>
      <c r="AB1127" s="3"/>
    </row>
    <row r="1128" spans="1:28" x14ac:dyDescent="0.2">
      <c r="A1128">
        <v>1438</v>
      </c>
      <c r="B1128" t="s">
        <v>1477</v>
      </c>
      <c r="C1128" t="s">
        <v>18</v>
      </c>
      <c r="D1128" t="s">
        <v>29</v>
      </c>
      <c r="E1128" t="s">
        <v>24</v>
      </c>
      <c r="F1128" t="s">
        <v>21</v>
      </c>
      <c r="G1128" t="s">
        <v>2039</v>
      </c>
      <c r="H1128" s="1">
        <v>548790</v>
      </c>
      <c r="I1128" s="3">
        <v>686</v>
      </c>
      <c r="J1128" s="3">
        <v>2972189</v>
      </c>
      <c r="K1128" s="3">
        <v>6885.6</v>
      </c>
      <c r="L1128" s="2">
        <v>30</v>
      </c>
      <c r="M1128" s="11">
        <v>41</v>
      </c>
      <c r="N1128" s="3">
        <v>12</v>
      </c>
      <c r="O1128" s="3">
        <v>21565</v>
      </c>
      <c r="P1128" s="3">
        <v>402930</v>
      </c>
      <c r="Q1128" s="10">
        <v>0</v>
      </c>
      <c r="R1128" s="3">
        <f>(Таблица1[Размер кредита]-$AA$2)/$AA$3</f>
        <v>1.3618070331736396</v>
      </c>
      <c r="S1128" s="3">
        <f>(Таблица1[Кредитный рейтинг]-$AA$7)/($AA$8-$AA$7)</f>
        <v>0.91344873501997337</v>
      </c>
      <c r="T1128" s="3">
        <f>(Таблица1[Срок с последнего нарушения кредитного договора (мес,)]-$AA$12)/($AA$13-$AA$12)</f>
        <v>0.46590909090909088</v>
      </c>
      <c r="U1128" s="3">
        <f>(Таблица1[Количество кредитных карт]-$AA$18)/($AA$19-$AA$18)</f>
        <v>0.26190476190476192</v>
      </c>
      <c r="V1128" s="3">
        <f>(Таблица1[Число нарушений кредитных договоров]-$AA$23)/($AA$24-$AA$23)</f>
        <v>0</v>
      </c>
      <c r="W1128" s="3">
        <f>Таблица1[[#This Row],[Годовой доход]]/12</f>
        <v>247682.41666666666</v>
      </c>
      <c r="X1128" s="3">
        <f>Таблица1[[#This Row],[Ежемесячный платеж]]/Таблица1[[#This Row],[Ежем доход]]</f>
        <v>2.7800116345225691E-2</v>
      </c>
      <c r="Y1128" s="3"/>
      <c r="Z1128" s="3"/>
      <c r="AA1128" s="3"/>
      <c r="AB1128" s="3"/>
    </row>
    <row r="1129" spans="1:28" x14ac:dyDescent="0.2">
      <c r="A1129">
        <v>53</v>
      </c>
      <c r="B1129" t="s">
        <v>93</v>
      </c>
      <c r="C1129" t="s">
        <v>35</v>
      </c>
      <c r="D1129" t="s">
        <v>19</v>
      </c>
      <c r="E1129" t="s">
        <v>41</v>
      </c>
      <c r="F1129" t="s">
        <v>33</v>
      </c>
      <c r="G1129" t="s">
        <v>25</v>
      </c>
      <c r="H1129" s="1">
        <v>214874</v>
      </c>
      <c r="I1129" s="3">
        <v>0</v>
      </c>
      <c r="J1129" s="3">
        <v>1168044</v>
      </c>
      <c r="K1129" s="3">
        <v>20322.78</v>
      </c>
      <c r="L1129" s="2">
        <v>15.6</v>
      </c>
      <c r="M1129" s="11">
        <v>69</v>
      </c>
      <c r="N1129" s="3">
        <v>8</v>
      </c>
      <c r="O1129" s="3">
        <v>285589</v>
      </c>
      <c r="P1129" s="3">
        <v>402776</v>
      </c>
      <c r="Q1129" s="10">
        <v>0</v>
      </c>
      <c r="R1129" s="3">
        <f>(Таблица1[Размер кредита]-$AA$2)/$AA$3</f>
        <v>-0.53927055280496294</v>
      </c>
      <c r="S1129" s="3">
        <f>(Таблица1[Кредитный рейтинг]-$AA$7)/($AA$8-$AA$7)</f>
        <v>0</v>
      </c>
      <c r="T1129" s="3">
        <f>(Таблица1[Срок с последнего нарушения кредитного договора (мес,)]-$AA$12)/($AA$13-$AA$12)</f>
        <v>0.78409090909090906</v>
      </c>
      <c r="U1129" s="3">
        <f>(Таблица1[Количество кредитных карт]-$AA$18)/($AA$19-$AA$18)</f>
        <v>0.16666666666666666</v>
      </c>
      <c r="V1129" s="3">
        <f>(Таблица1[Число нарушений кредитных договоров]-$AA$23)/($AA$24-$AA$23)</f>
        <v>0</v>
      </c>
      <c r="W1129" s="3">
        <f>Таблица1[[#This Row],[Годовой доход]]/12</f>
        <v>97337</v>
      </c>
      <c r="X1129" s="3">
        <f>Таблица1[[#This Row],[Ежемесячный платеж]]/Таблица1[[#This Row],[Ежем доход]]</f>
        <v>0.20878781963693147</v>
      </c>
      <c r="Y1129" s="3"/>
      <c r="Z1129" s="3"/>
      <c r="AA1129" s="3"/>
      <c r="AB1129" s="3"/>
    </row>
    <row r="1130" spans="1:28" x14ac:dyDescent="0.2">
      <c r="A1130">
        <v>19</v>
      </c>
      <c r="B1130" t="s">
        <v>54</v>
      </c>
      <c r="C1130" t="s">
        <v>18</v>
      </c>
      <c r="D1130" t="s">
        <v>19</v>
      </c>
      <c r="E1130" t="s">
        <v>24</v>
      </c>
      <c r="F1130" t="s">
        <v>33</v>
      </c>
      <c r="G1130" t="s">
        <v>25</v>
      </c>
      <c r="H1130" s="1">
        <v>66396</v>
      </c>
      <c r="I1130" s="3">
        <v>0</v>
      </c>
      <c r="J1130" s="3">
        <v>1168044</v>
      </c>
      <c r="K1130" s="3">
        <v>9898.81</v>
      </c>
      <c r="L1130" s="2">
        <v>27.1</v>
      </c>
      <c r="M1130" s="11">
        <v>35.265240640000002</v>
      </c>
      <c r="N1130" s="3">
        <v>23</v>
      </c>
      <c r="O1130" s="3">
        <v>9728</v>
      </c>
      <c r="P1130" s="3">
        <v>402380</v>
      </c>
      <c r="Q1130" s="10">
        <v>1</v>
      </c>
      <c r="R1130" s="3">
        <f>(Таблица1[Размер кредита]-$AA$2)/$AA$3</f>
        <v>-1.3845975147083487</v>
      </c>
      <c r="S1130" s="3">
        <f>(Таблица1[Кредитный рейтинг]-$AA$7)/($AA$8-$AA$7)</f>
        <v>0</v>
      </c>
      <c r="T1130" s="3">
        <f>(Таблица1[Срок с последнего нарушения кредитного договора (мес,)]-$AA$12)/($AA$13-$AA$12)</f>
        <v>0.40074137090909095</v>
      </c>
      <c r="U1130" s="3">
        <f>(Таблица1[Количество кредитных карт]-$AA$18)/($AA$19-$AA$18)</f>
        <v>0.52380952380952384</v>
      </c>
      <c r="V1130" s="3">
        <f>(Таблица1[Число нарушений кредитных договоров]-$AA$23)/($AA$24-$AA$23)</f>
        <v>0.14285714285714285</v>
      </c>
      <c r="W1130" s="3">
        <f>Таблица1[[#This Row],[Годовой доход]]/12</f>
        <v>97337</v>
      </c>
      <c r="X1130" s="3">
        <f>Таблица1[[#This Row],[Ежемесячный платеж]]/Таблица1[[#This Row],[Ежем доход]]</f>
        <v>0.10169627171579153</v>
      </c>
      <c r="Y1130" s="3"/>
      <c r="Z1130" s="3"/>
      <c r="AA1130" s="3"/>
      <c r="AB1130" s="3"/>
    </row>
    <row r="1131" spans="1:28" x14ac:dyDescent="0.2">
      <c r="A1131">
        <v>1865</v>
      </c>
      <c r="B1131" t="s">
        <v>1902</v>
      </c>
      <c r="C1131" t="s">
        <v>18</v>
      </c>
      <c r="D1131" t="s">
        <v>19</v>
      </c>
      <c r="E1131" t="s">
        <v>37</v>
      </c>
      <c r="F1131" t="s">
        <v>33</v>
      </c>
      <c r="G1131" t="s">
        <v>25</v>
      </c>
      <c r="H1131" s="1">
        <v>328944</v>
      </c>
      <c r="I1131" s="3">
        <v>663</v>
      </c>
      <c r="J1131" s="3">
        <v>1231048</v>
      </c>
      <c r="K1131" s="3">
        <v>25954.57</v>
      </c>
      <c r="L1131" s="2">
        <v>22.5</v>
      </c>
      <c r="M1131" s="11">
        <v>27</v>
      </c>
      <c r="N1131" s="3">
        <v>17</v>
      </c>
      <c r="O1131" s="3">
        <v>205523</v>
      </c>
      <c r="P1131" s="3">
        <v>401302</v>
      </c>
      <c r="Q1131" s="10">
        <v>0</v>
      </c>
      <c r="R1131" s="3">
        <f>(Таблица1[Размер кредита]-$AA$2)/$AA$3</f>
        <v>0.11016199979083716</v>
      </c>
      <c r="S1131" s="3">
        <f>(Таблица1[Кредитный рейтинг]-$AA$7)/($AA$8-$AA$7)</f>
        <v>0.88282290279627162</v>
      </c>
      <c r="T1131" s="3">
        <f>(Таблица1[Срок с последнего нарушения кредитного договора (мес,)]-$AA$12)/($AA$13-$AA$12)</f>
        <v>0.30681818181818182</v>
      </c>
      <c r="U1131" s="3">
        <f>(Таблица1[Количество кредитных карт]-$AA$18)/($AA$19-$AA$18)</f>
        <v>0.38095238095238093</v>
      </c>
      <c r="V1131" s="3">
        <f>(Таблица1[Число нарушений кредитных договоров]-$AA$23)/($AA$24-$AA$23)</f>
        <v>0</v>
      </c>
      <c r="W1131" s="3">
        <f>Таблица1[[#This Row],[Годовой доход]]/12</f>
        <v>102587.33333333333</v>
      </c>
      <c r="X1131" s="3">
        <f>Таблица1[[#This Row],[Ежемесячный платеж]]/Таблица1[[#This Row],[Ежем доход]]</f>
        <v>0.25299975305593286</v>
      </c>
      <c r="Y1131" s="3"/>
      <c r="Z1131" s="3"/>
      <c r="AA1131" s="3"/>
      <c r="AB1131" s="3"/>
    </row>
    <row r="1132" spans="1:28" x14ac:dyDescent="0.2">
      <c r="A1132">
        <v>1983</v>
      </c>
      <c r="B1132" t="s">
        <v>2019</v>
      </c>
      <c r="C1132" t="s">
        <v>18</v>
      </c>
      <c r="D1132" t="s">
        <v>19</v>
      </c>
      <c r="E1132" t="s">
        <v>37</v>
      </c>
      <c r="F1132" t="s">
        <v>21</v>
      </c>
      <c r="G1132" t="s">
        <v>25</v>
      </c>
      <c r="H1132" s="1">
        <v>139414</v>
      </c>
      <c r="I1132" s="3">
        <v>726</v>
      </c>
      <c r="J1132" s="3">
        <v>526794</v>
      </c>
      <c r="K1132" s="3">
        <v>7989.69</v>
      </c>
      <c r="L1132" s="2">
        <v>6.5</v>
      </c>
      <c r="M1132" s="11">
        <v>35.265240640000002</v>
      </c>
      <c r="N1132" s="3">
        <v>14</v>
      </c>
      <c r="O1132" s="3">
        <v>187625</v>
      </c>
      <c r="P1132" s="3">
        <v>400840</v>
      </c>
      <c r="Q1132" s="10">
        <v>0</v>
      </c>
      <c r="R1132" s="3">
        <f>(Таблица1[Размер кредита]-$AA$2)/$AA$3</f>
        <v>-0.96888552973911801</v>
      </c>
      <c r="S1132" s="3">
        <f>(Таблица1[Кредитный рейтинг]-$AA$7)/($AA$8-$AA$7)</f>
        <v>0.96671105193075901</v>
      </c>
      <c r="T1132" s="3">
        <f>(Таблица1[Срок с последнего нарушения кредитного договора (мес,)]-$AA$12)/($AA$13-$AA$12)</f>
        <v>0.40074137090909095</v>
      </c>
      <c r="U1132" s="3">
        <f>(Таблица1[Количество кредитных карт]-$AA$18)/($AA$19-$AA$18)</f>
        <v>0.30952380952380953</v>
      </c>
      <c r="V1132" s="3">
        <f>(Таблица1[Число нарушений кредитных договоров]-$AA$23)/($AA$24-$AA$23)</f>
        <v>0</v>
      </c>
      <c r="W1132" s="3">
        <f>Таблица1[[#This Row],[Годовой доход]]/12</f>
        <v>43899.5</v>
      </c>
      <c r="X1132" s="3">
        <f>Таблица1[[#This Row],[Ежемесячный платеж]]/Таблица1[[#This Row],[Ежем доход]]</f>
        <v>0.1819995671932482</v>
      </c>
      <c r="Y1132" s="3"/>
      <c r="Z1132" s="3"/>
      <c r="AA1132" s="3"/>
      <c r="AB1132" s="3"/>
    </row>
    <row r="1133" spans="1:28" x14ac:dyDescent="0.2">
      <c r="A1133">
        <v>1021</v>
      </c>
      <c r="B1133" t="s">
        <v>1060</v>
      </c>
      <c r="C1133" t="s">
        <v>18</v>
      </c>
      <c r="D1133" t="s">
        <v>19</v>
      </c>
      <c r="E1133" t="s">
        <v>69</v>
      </c>
      <c r="F1133" t="s">
        <v>33</v>
      </c>
      <c r="G1133" t="s">
        <v>25</v>
      </c>
      <c r="H1133" s="1">
        <v>307538</v>
      </c>
      <c r="I1133" s="3">
        <v>739</v>
      </c>
      <c r="J1133" s="3">
        <v>1043442</v>
      </c>
      <c r="K1133" s="3">
        <v>22259.83</v>
      </c>
      <c r="L1133" s="2">
        <v>9</v>
      </c>
      <c r="M1133" s="11">
        <v>35.265240640000002</v>
      </c>
      <c r="N1133" s="3">
        <v>10</v>
      </c>
      <c r="O1133" s="3">
        <v>170525</v>
      </c>
      <c r="P1133" s="3">
        <v>399674</v>
      </c>
      <c r="Q1133" s="10">
        <v>0</v>
      </c>
      <c r="R1133" s="3">
        <f>(Таблица1[Размер кредита]-$AA$2)/$AA$3</f>
        <v>-1.1708371217015011E-2</v>
      </c>
      <c r="S1133" s="3">
        <f>(Таблица1[Кредитный рейтинг]-$AA$7)/($AA$8-$AA$7)</f>
        <v>0.98402130492676432</v>
      </c>
      <c r="T1133" s="3">
        <f>(Таблица1[Срок с последнего нарушения кредитного договора (мес,)]-$AA$12)/($AA$13-$AA$12)</f>
        <v>0.40074137090909095</v>
      </c>
      <c r="U1133" s="3">
        <f>(Таблица1[Количество кредитных карт]-$AA$18)/($AA$19-$AA$18)</f>
        <v>0.21428571428571427</v>
      </c>
      <c r="V1133" s="3">
        <f>(Таблица1[Число нарушений кредитных договоров]-$AA$23)/($AA$24-$AA$23)</f>
        <v>0</v>
      </c>
      <c r="W1133" s="3">
        <f>Таблица1[[#This Row],[Годовой доход]]/12</f>
        <v>86953.5</v>
      </c>
      <c r="X1133" s="3">
        <f>Таблица1[[#This Row],[Ежемесячный платеж]]/Таблица1[[#This Row],[Ежем доход]]</f>
        <v>0.25599694089369607</v>
      </c>
      <c r="Y1133" s="3"/>
      <c r="Z1133" s="3"/>
      <c r="AA1133" s="3"/>
      <c r="AB1133" s="3"/>
    </row>
    <row r="1134" spans="1:28" x14ac:dyDescent="0.2">
      <c r="A1134">
        <v>491</v>
      </c>
      <c r="B1134" t="s">
        <v>532</v>
      </c>
      <c r="C1134" t="s">
        <v>18</v>
      </c>
      <c r="D1134" t="s">
        <v>19</v>
      </c>
      <c r="E1134" t="s">
        <v>24</v>
      </c>
      <c r="F1134" t="s">
        <v>21</v>
      </c>
      <c r="G1134" t="s">
        <v>25</v>
      </c>
      <c r="H1134" s="1">
        <v>214962</v>
      </c>
      <c r="I1134" s="3">
        <v>745</v>
      </c>
      <c r="J1134" s="3">
        <v>540607</v>
      </c>
      <c r="K1134" s="3">
        <v>7703.74</v>
      </c>
      <c r="L1134" s="2">
        <v>19.399999999999999</v>
      </c>
      <c r="M1134" s="11">
        <v>35.265240640000002</v>
      </c>
      <c r="N1134" s="3">
        <v>7</v>
      </c>
      <c r="O1134" s="3">
        <v>114247</v>
      </c>
      <c r="P1134" s="3">
        <v>399652</v>
      </c>
      <c r="Q1134" s="10">
        <v>0</v>
      </c>
      <c r="R1134" s="3">
        <f>(Таблица1[Размер кредита]-$AA$2)/$AA$3</f>
        <v>-0.53876954408550615</v>
      </c>
      <c r="S1134" s="3">
        <f>(Таблица1[Кредитный рейтинг]-$AA$7)/($AA$8-$AA$7)</f>
        <v>0.99201065246338216</v>
      </c>
      <c r="T1134" s="3">
        <f>(Таблица1[Срок с последнего нарушения кредитного договора (мес,)]-$AA$12)/($AA$13-$AA$12)</f>
        <v>0.40074137090909095</v>
      </c>
      <c r="U1134" s="3">
        <f>(Таблица1[Количество кредитных карт]-$AA$18)/($AA$19-$AA$18)</f>
        <v>0.14285714285714285</v>
      </c>
      <c r="V1134" s="3">
        <f>(Таблица1[Число нарушений кредитных договоров]-$AA$23)/($AA$24-$AA$23)</f>
        <v>0</v>
      </c>
      <c r="W1134" s="3">
        <f>Таблица1[[#This Row],[Годовой доход]]/12</f>
        <v>45050.583333333336</v>
      </c>
      <c r="X1134" s="3">
        <f>Таблица1[[#This Row],[Ежемесячный платеж]]/Таблица1[[#This Row],[Ежем доход]]</f>
        <v>0.17100200330369381</v>
      </c>
      <c r="Y1134" s="3"/>
      <c r="Z1134" s="3"/>
      <c r="AA1134" s="3"/>
      <c r="AB1134" s="3"/>
    </row>
    <row r="1135" spans="1:28" x14ac:dyDescent="0.2">
      <c r="A1135">
        <v>1775</v>
      </c>
      <c r="B1135" t="s">
        <v>1813</v>
      </c>
      <c r="C1135" t="s">
        <v>35</v>
      </c>
      <c r="D1135" t="s">
        <v>29</v>
      </c>
      <c r="E1135" t="s">
        <v>24</v>
      </c>
      <c r="F1135" t="s">
        <v>21</v>
      </c>
      <c r="G1135" t="s">
        <v>25</v>
      </c>
      <c r="H1135" s="1">
        <v>419298</v>
      </c>
      <c r="I1135" s="3">
        <v>687</v>
      </c>
      <c r="J1135" s="3">
        <v>1524712</v>
      </c>
      <c r="K1135" s="3">
        <v>24268.32</v>
      </c>
      <c r="L1135" s="2">
        <v>10.5</v>
      </c>
      <c r="M1135" s="11">
        <v>35.265240640000002</v>
      </c>
      <c r="N1135" s="3">
        <v>11</v>
      </c>
      <c r="O1135" s="3">
        <v>208658</v>
      </c>
      <c r="P1135" s="3">
        <v>399344</v>
      </c>
      <c r="Q1135" s="10">
        <v>0</v>
      </c>
      <c r="R1135" s="3">
        <f>(Таблица1[Размер кредита]-$AA$2)/$AA$3</f>
        <v>0.62457270249304564</v>
      </c>
      <c r="S1135" s="3">
        <f>(Таблица1[Кредитный рейтинг]-$AA$7)/($AA$8-$AA$7)</f>
        <v>0.91478029294274299</v>
      </c>
      <c r="T1135" s="3">
        <f>(Таблица1[Срок с последнего нарушения кредитного договора (мес,)]-$AA$12)/($AA$13-$AA$12)</f>
        <v>0.40074137090909095</v>
      </c>
      <c r="U1135" s="3">
        <f>(Таблица1[Количество кредитных карт]-$AA$18)/($AA$19-$AA$18)</f>
        <v>0.23809523809523808</v>
      </c>
      <c r="V1135" s="3">
        <f>(Таблица1[Число нарушений кредитных договоров]-$AA$23)/($AA$24-$AA$23)</f>
        <v>0</v>
      </c>
      <c r="W1135" s="3">
        <f>Таблица1[[#This Row],[Годовой доход]]/12</f>
        <v>127059.33333333333</v>
      </c>
      <c r="X1135" s="3">
        <f>Таблица1[[#This Row],[Ежемесячный платеж]]/Таблица1[[#This Row],[Ежем доход]]</f>
        <v>0.19099990030904199</v>
      </c>
      <c r="Y1135" s="3"/>
      <c r="Z1135" s="3"/>
      <c r="AA1135" s="3"/>
      <c r="AB1135" s="3"/>
    </row>
    <row r="1136" spans="1:28" x14ac:dyDescent="0.2">
      <c r="A1136">
        <v>1684</v>
      </c>
      <c r="B1136" t="s">
        <v>1722</v>
      </c>
      <c r="C1136" t="s">
        <v>18</v>
      </c>
      <c r="D1136" t="s">
        <v>19</v>
      </c>
      <c r="E1136" t="s">
        <v>41</v>
      </c>
      <c r="F1136" t="s">
        <v>33</v>
      </c>
      <c r="G1136" t="s">
        <v>25</v>
      </c>
      <c r="H1136" s="1">
        <v>266992</v>
      </c>
      <c r="I1136" s="3">
        <v>745</v>
      </c>
      <c r="J1136" s="3">
        <v>864671</v>
      </c>
      <c r="K1136" s="3">
        <v>1441.15</v>
      </c>
      <c r="L1136" s="2">
        <v>17.2</v>
      </c>
      <c r="M1136" s="11">
        <v>35.265240640000002</v>
      </c>
      <c r="N1136" s="3">
        <v>8</v>
      </c>
      <c r="O1136" s="3">
        <v>31008</v>
      </c>
      <c r="P1136" s="3">
        <v>398992</v>
      </c>
      <c r="Q1136" s="10">
        <v>1</v>
      </c>
      <c r="R1136" s="3">
        <f>(Таблица1[Размер кредита]-$AA$2)/$AA$3</f>
        <v>-0.24254813870670827</v>
      </c>
      <c r="S1136" s="3">
        <f>(Таблица1[Кредитный рейтинг]-$AA$7)/($AA$8-$AA$7)</f>
        <v>0.99201065246338216</v>
      </c>
      <c r="T1136" s="3">
        <f>(Таблица1[Срок с последнего нарушения кредитного договора (мес,)]-$AA$12)/($AA$13-$AA$12)</f>
        <v>0.40074137090909095</v>
      </c>
      <c r="U1136" s="3">
        <f>(Таблица1[Количество кредитных карт]-$AA$18)/($AA$19-$AA$18)</f>
        <v>0.16666666666666666</v>
      </c>
      <c r="V1136" s="3">
        <f>(Таблица1[Число нарушений кредитных договоров]-$AA$23)/($AA$24-$AA$23)</f>
        <v>0.14285714285714285</v>
      </c>
      <c r="W1136" s="3">
        <f>Таблица1[[#This Row],[Годовой доход]]/12</f>
        <v>72055.916666666672</v>
      </c>
      <c r="X1136" s="3">
        <f>Таблица1[[#This Row],[Ежемесячный платеж]]/Таблица1[[#This Row],[Ежем доход]]</f>
        <v>2.0000439473510732E-2</v>
      </c>
      <c r="Y1136" s="3"/>
      <c r="Z1136" s="3"/>
      <c r="AA1136" s="3"/>
      <c r="AB1136" s="3"/>
    </row>
    <row r="1137" spans="1:28" x14ac:dyDescent="0.2">
      <c r="A1137">
        <v>778</v>
      </c>
      <c r="B1137" t="s">
        <v>819</v>
      </c>
      <c r="C1137" t="s">
        <v>18</v>
      </c>
      <c r="D1137" t="s">
        <v>19</v>
      </c>
      <c r="E1137" t="s">
        <v>52</v>
      </c>
      <c r="F1137" t="s">
        <v>27</v>
      </c>
      <c r="G1137" t="s">
        <v>25</v>
      </c>
      <c r="H1137" s="1">
        <v>172436</v>
      </c>
      <c r="I1137" s="3">
        <v>740</v>
      </c>
      <c r="J1137" s="3">
        <v>1340222</v>
      </c>
      <c r="K1137" s="3">
        <v>14965.92</v>
      </c>
      <c r="L1137" s="2">
        <v>19.8</v>
      </c>
      <c r="M1137" s="11">
        <v>35.265240640000002</v>
      </c>
      <c r="N1137" s="3">
        <v>6</v>
      </c>
      <c r="O1137" s="3">
        <v>178410</v>
      </c>
      <c r="P1137" s="3">
        <v>398816</v>
      </c>
      <c r="Q1137" s="10">
        <v>7</v>
      </c>
      <c r="R1137" s="3">
        <f>(Таблица1[Размер кредита]-$AA$2)/$AA$3</f>
        <v>-0.78088200776297612</v>
      </c>
      <c r="S1137" s="3">
        <f>(Таблица1[Кредитный рейтинг]-$AA$7)/($AA$8-$AA$7)</f>
        <v>0.98535286284953394</v>
      </c>
      <c r="T1137" s="3">
        <f>(Таблица1[Срок с последнего нарушения кредитного договора (мес,)]-$AA$12)/($AA$13-$AA$12)</f>
        <v>0.40074137090909095</v>
      </c>
      <c r="U1137" s="3">
        <f>(Таблица1[Количество кредитных карт]-$AA$18)/($AA$19-$AA$18)</f>
        <v>0.11904761904761904</v>
      </c>
      <c r="V1137" s="3">
        <f>(Таблица1[Число нарушений кредитных договоров]-$AA$23)/($AA$24-$AA$23)</f>
        <v>1</v>
      </c>
      <c r="W1137" s="3">
        <f>Таблица1[[#This Row],[Годовой доход]]/12</f>
        <v>111685.16666666667</v>
      </c>
      <c r="X1137" s="3">
        <f>Таблица1[[#This Row],[Ежемесячный платеж]]/Таблица1[[#This Row],[Ежем доход]]</f>
        <v>0.13400096401939379</v>
      </c>
      <c r="Y1137" s="3"/>
      <c r="Z1137" s="3"/>
      <c r="AA1137" s="3"/>
      <c r="AB1137" s="3"/>
    </row>
    <row r="1138" spans="1:28" x14ac:dyDescent="0.2">
      <c r="A1138">
        <v>71</v>
      </c>
      <c r="B1138" t="s">
        <v>113</v>
      </c>
      <c r="C1138" t="s">
        <v>18</v>
      </c>
      <c r="D1138" t="s">
        <v>19</v>
      </c>
      <c r="E1138" t="s">
        <v>47</v>
      </c>
      <c r="F1138" t="s">
        <v>33</v>
      </c>
      <c r="G1138" t="s">
        <v>25</v>
      </c>
      <c r="H1138" s="1">
        <v>211222</v>
      </c>
      <c r="I1138" s="3">
        <v>694</v>
      </c>
      <c r="J1138" s="3">
        <v>947625</v>
      </c>
      <c r="K1138" s="3">
        <v>8923.35</v>
      </c>
      <c r="L1138" s="2">
        <v>18</v>
      </c>
      <c r="M1138" s="11">
        <v>65</v>
      </c>
      <c r="N1138" s="3">
        <v>9</v>
      </c>
      <c r="O1138" s="3">
        <v>93081</v>
      </c>
      <c r="P1138" s="3">
        <v>397694</v>
      </c>
      <c r="Q1138" s="10">
        <v>1</v>
      </c>
      <c r="R1138" s="3">
        <f>(Таблица1[Размер кредита]-$AA$2)/$AA$3</f>
        <v>-0.56006241466241768</v>
      </c>
      <c r="S1138" s="3">
        <f>(Таблица1[Кредитный рейтинг]-$AA$7)/($AA$8-$AA$7)</f>
        <v>0.92410119840213045</v>
      </c>
      <c r="T1138" s="3">
        <f>(Таблица1[Срок с последнего нарушения кредитного договора (мес,)]-$AA$12)/($AA$13-$AA$12)</f>
        <v>0.73863636363636365</v>
      </c>
      <c r="U1138" s="3">
        <f>(Таблица1[Количество кредитных карт]-$AA$18)/($AA$19-$AA$18)</f>
        <v>0.19047619047619047</v>
      </c>
      <c r="V1138" s="3">
        <f>(Таблица1[Число нарушений кредитных договоров]-$AA$23)/($AA$24-$AA$23)</f>
        <v>0.14285714285714285</v>
      </c>
      <c r="W1138" s="3">
        <f>Таблица1[[#This Row],[Годовой доход]]/12</f>
        <v>78968.75</v>
      </c>
      <c r="X1138" s="3">
        <f>Таблица1[[#This Row],[Ежемесячный платеж]]/Таблица1[[#This Row],[Ежем доход]]</f>
        <v>0.11299849624060151</v>
      </c>
      <c r="Y1138" s="3"/>
      <c r="Z1138" s="3"/>
      <c r="AA1138" s="3"/>
      <c r="AB1138" s="3"/>
    </row>
    <row r="1139" spans="1:28" x14ac:dyDescent="0.2">
      <c r="A1139">
        <v>194</v>
      </c>
      <c r="B1139" t="s">
        <v>236</v>
      </c>
      <c r="C1139" t="s">
        <v>18</v>
      </c>
      <c r="D1139" t="s">
        <v>19</v>
      </c>
      <c r="E1139" t="s">
        <v>24</v>
      </c>
      <c r="F1139" t="s">
        <v>21</v>
      </c>
      <c r="G1139" t="s">
        <v>25</v>
      </c>
      <c r="H1139" s="1">
        <v>355410</v>
      </c>
      <c r="I1139" s="3">
        <v>0</v>
      </c>
      <c r="J1139" s="3">
        <v>1168044</v>
      </c>
      <c r="K1139" s="3">
        <v>13237.11</v>
      </c>
      <c r="L1139" s="2">
        <v>13.7</v>
      </c>
      <c r="M1139" s="11">
        <v>35.265240640000002</v>
      </c>
      <c r="N1139" s="3">
        <v>6</v>
      </c>
      <c r="O1139" s="3">
        <v>297293</v>
      </c>
      <c r="P1139" s="3">
        <v>397518</v>
      </c>
      <c r="Q1139" s="10">
        <v>1</v>
      </c>
      <c r="R1139" s="3">
        <f>(Таблица1[Размер кредита]-$AA$2)/$AA$3</f>
        <v>0.26084037216745193</v>
      </c>
      <c r="S1139" s="3">
        <f>(Таблица1[Кредитный рейтинг]-$AA$7)/($AA$8-$AA$7)</f>
        <v>0</v>
      </c>
      <c r="T1139" s="3">
        <f>(Таблица1[Срок с последнего нарушения кредитного договора (мес,)]-$AA$12)/($AA$13-$AA$12)</f>
        <v>0.40074137090909095</v>
      </c>
      <c r="U1139" s="3">
        <f>(Таблица1[Количество кредитных карт]-$AA$18)/($AA$19-$AA$18)</f>
        <v>0.11904761904761904</v>
      </c>
      <c r="V1139" s="3">
        <f>(Таблица1[Число нарушений кредитных договоров]-$AA$23)/($AA$24-$AA$23)</f>
        <v>0.14285714285714285</v>
      </c>
      <c r="W1139" s="3">
        <f>Таблица1[[#This Row],[Годовой доход]]/12</f>
        <v>97337</v>
      </c>
      <c r="X1139" s="3">
        <f>Таблица1[[#This Row],[Ежемесячный платеж]]/Таблица1[[#This Row],[Ежем доход]]</f>
        <v>0.1359925824712083</v>
      </c>
      <c r="Y1139" s="3"/>
      <c r="Z1139" s="3"/>
      <c r="AA1139" s="3"/>
      <c r="AB1139" s="3"/>
    </row>
    <row r="1140" spans="1:28" x14ac:dyDescent="0.2">
      <c r="A1140">
        <v>233</v>
      </c>
      <c r="B1140" t="s">
        <v>275</v>
      </c>
      <c r="C1140" t="s">
        <v>18</v>
      </c>
      <c r="D1140" t="s">
        <v>19</v>
      </c>
      <c r="E1140" t="s">
        <v>24</v>
      </c>
      <c r="F1140" t="s">
        <v>33</v>
      </c>
      <c r="G1140" t="s">
        <v>25</v>
      </c>
      <c r="H1140" s="1">
        <v>504658</v>
      </c>
      <c r="I1140" s="3">
        <v>685</v>
      </c>
      <c r="J1140" s="3">
        <v>3874100</v>
      </c>
      <c r="K1140" s="3">
        <v>4100.2</v>
      </c>
      <c r="L1140" s="2">
        <v>16</v>
      </c>
      <c r="M1140" s="11">
        <v>1</v>
      </c>
      <c r="N1140" s="3">
        <v>7</v>
      </c>
      <c r="O1140" s="3">
        <v>167827</v>
      </c>
      <c r="P1140" s="3">
        <v>397408</v>
      </c>
      <c r="Q1140" s="10">
        <v>0</v>
      </c>
      <c r="R1140" s="3">
        <f>(Таблица1[Размер кредита]-$AA$2)/$AA$3</f>
        <v>1.110551160366084</v>
      </c>
      <c r="S1140" s="3">
        <f>(Таблица1[Кредитный рейтинг]-$AA$7)/($AA$8-$AA$7)</f>
        <v>0.91211717709720375</v>
      </c>
      <c r="T1140" s="3">
        <f>(Таблица1[Срок с последнего нарушения кредитного договора (мес,)]-$AA$12)/($AA$13-$AA$12)</f>
        <v>1.1363636363636364E-2</v>
      </c>
      <c r="U1140" s="3">
        <f>(Таблица1[Количество кредитных карт]-$AA$18)/($AA$19-$AA$18)</f>
        <v>0.14285714285714285</v>
      </c>
      <c r="V1140" s="3">
        <f>(Таблица1[Число нарушений кредитных договоров]-$AA$23)/($AA$24-$AA$23)</f>
        <v>0</v>
      </c>
      <c r="W1140" s="3">
        <f>Таблица1[[#This Row],[Годовой доход]]/12</f>
        <v>322841.66666666669</v>
      </c>
      <c r="X1140" s="3">
        <f>Таблица1[[#This Row],[Ежемесячный платеж]]/Таблица1[[#This Row],[Ежем доход]]</f>
        <v>1.2700343305541931E-2</v>
      </c>
      <c r="Y1140" s="3"/>
      <c r="Z1140" s="3"/>
      <c r="AA1140" s="3"/>
      <c r="AB1140" s="3"/>
    </row>
    <row r="1141" spans="1:28" x14ac:dyDescent="0.2">
      <c r="A1141">
        <v>1197</v>
      </c>
      <c r="B1141" t="s">
        <v>1236</v>
      </c>
      <c r="C1141" t="s">
        <v>35</v>
      </c>
      <c r="D1141" t="s">
        <v>29</v>
      </c>
      <c r="E1141" t="s">
        <v>24</v>
      </c>
      <c r="F1141" t="s">
        <v>21</v>
      </c>
      <c r="G1141" t="s">
        <v>67</v>
      </c>
      <c r="H1141" s="1">
        <v>359392</v>
      </c>
      <c r="I1141" s="3">
        <v>0</v>
      </c>
      <c r="J1141" s="3">
        <v>1168044</v>
      </c>
      <c r="K1141" s="3">
        <v>19534.849999999999</v>
      </c>
      <c r="L1141" s="2">
        <v>12</v>
      </c>
      <c r="M1141" s="11">
        <v>7</v>
      </c>
      <c r="N1141" s="3">
        <v>7</v>
      </c>
      <c r="O1141" s="3">
        <v>58539</v>
      </c>
      <c r="P1141" s="3">
        <v>396440</v>
      </c>
      <c r="Q1141" s="10">
        <v>0</v>
      </c>
      <c r="R1141" s="3">
        <f>(Таблица1[Размер кредита]-$AA$2)/$AA$3</f>
        <v>0.28351101672286944</v>
      </c>
      <c r="S1141" s="3">
        <f>(Таблица1[Кредитный рейтинг]-$AA$7)/($AA$8-$AA$7)</f>
        <v>0</v>
      </c>
      <c r="T1141" s="3">
        <f>(Таблица1[Срок с последнего нарушения кредитного договора (мес,)]-$AA$12)/($AA$13-$AA$12)</f>
        <v>7.9545454545454544E-2</v>
      </c>
      <c r="U1141" s="3">
        <f>(Таблица1[Количество кредитных карт]-$AA$18)/($AA$19-$AA$18)</f>
        <v>0.14285714285714285</v>
      </c>
      <c r="V1141" s="3">
        <f>(Таблица1[Число нарушений кредитных договоров]-$AA$23)/($AA$24-$AA$23)</f>
        <v>0</v>
      </c>
      <c r="W1141" s="3">
        <f>Таблица1[[#This Row],[Годовой доход]]/12</f>
        <v>97337</v>
      </c>
      <c r="X1141" s="3">
        <f>Таблица1[[#This Row],[Ежемесячный платеж]]/Таблица1[[#This Row],[Ежем доход]]</f>
        <v>0.20069295334764783</v>
      </c>
      <c r="Y1141" s="3"/>
      <c r="Z1141" s="3"/>
      <c r="AA1141" s="3"/>
      <c r="AB1141" s="3"/>
    </row>
    <row r="1142" spans="1:28" x14ac:dyDescent="0.2">
      <c r="A1142">
        <v>479</v>
      </c>
      <c r="B1142" t="s">
        <v>520</v>
      </c>
      <c r="C1142" t="s">
        <v>18</v>
      </c>
      <c r="D1142" t="s">
        <v>19</v>
      </c>
      <c r="E1142" t="s">
        <v>32</v>
      </c>
      <c r="F1142" t="s">
        <v>33</v>
      </c>
      <c r="G1142" t="s">
        <v>25</v>
      </c>
      <c r="H1142" s="1">
        <v>309594.52439999999</v>
      </c>
      <c r="I1142" s="3">
        <v>723</v>
      </c>
      <c r="J1142" s="3">
        <v>898092</v>
      </c>
      <c r="K1142" s="3">
        <v>22976.13</v>
      </c>
      <c r="L1142" s="2">
        <v>18.3</v>
      </c>
      <c r="M1142" s="11">
        <v>35.265240640000002</v>
      </c>
      <c r="N1142" s="3">
        <v>13</v>
      </c>
      <c r="O1142" s="3">
        <v>187777</v>
      </c>
      <c r="P1142" s="3">
        <v>396044</v>
      </c>
      <c r="Q1142" s="10">
        <v>1</v>
      </c>
      <c r="R1142" s="3">
        <f>(Таблица1[Размер кредита]-$AA$2)/$AA$3</f>
        <v>-1.2411115481956205E-10</v>
      </c>
      <c r="S1142" s="3">
        <f>(Таблица1[Кредитный рейтинг]-$AA$7)/($AA$8-$AA$7)</f>
        <v>0.96271637816245004</v>
      </c>
      <c r="T1142" s="3">
        <f>(Таблица1[Срок с последнего нарушения кредитного договора (мес,)]-$AA$12)/($AA$13-$AA$12)</f>
        <v>0.40074137090909095</v>
      </c>
      <c r="U1142" s="3">
        <f>(Таблица1[Количество кредитных карт]-$AA$18)/($AA$19-$AA$18)</f>
        <v>0.2857142857142857</v>
      </c>
      <c r="V1142" s="3">
        <f>(Таблица1[Число нарушений кредитных договоров]-$AA$23)/($AA$24-$AA$23)</f>
        <v>0.14285714285714285</v>
      </c>
      <c r="W1142" s="3">
        <f>Таблица1[[#This Row],[Годовой доход]]/12</f>
        <v>74841</v>
      </c>
      <c r="X1142" s="3">
        <f>Таблица1[[#This Row],[Ежемесячный платеж]]/Таблица1[[#This Row],[Ежем доход]]</f>
        <v>0.30699923838537702</v>
      </c>
      <c r="Y1142" s="3"/>
      <c r="Z1142" s="3"/>
      <c r="AA1142" s="3"/>
      <c r="AB1142" s="3"/>
    </row>
    <row r="1143" spans="1:28" x14ac:dyDescent="0.2">
      <c r="A1143">
        <v>472</v>
      </c>
      <c r="B1143" t="s">
        <v>513</v>
      </c>
      <c r="C1143" t="s">
        <v>18</v>
      </c>
      <c r="D1143" t="s">
        <v>19</v>
      </c>
      <c r="E1143" t="s">
        <v>30</v>
      </c>
      <c r="F1143" t="s">
        <v>33</v>
      </c>
      <c r="G1143" t="s">
        <v>25</v>
      </c>
      <c r="H1143" s="1">
        <v>151602</v>
      </c>
      <c r="I1143" s="3">
        <v>739</v>
      </c>
      <c r="J1143" s="3">
        <v>1084805</v>
      </c>
      <c r="K1143" s="3">
        <v>7204.99</v>
      </c>
      <c r="L1143" s="2">
        <v>10.7</v>
      </c>
      <c r="M1143" s="11">
        <v>61</v>
      </c>
      <c r="N1143" s="3">
        <v>6</v>
      </c>
      <c r="O1143" s="3">
        <v>69331</v>
      </c>
      <c r="P1143" s="3">
        <v>395472</v>
      </c>
      <c r="Q1143" s="10">
        <v>0</v>
      </c>
      <c r="R1143" s="3">
        <f>(Таблица1[Размер кредита]-$AA$2)/$AA$3</f>
        <v>-0.89949582209435941</v>
      </c>
      <c r="S1143" s="3">
        <f>(Таблица1[Кредитный рейтинг]-$AA$7)/($AA$8-$AA$7)</f>
        <v>0.98402130492676432</v>
      </c>
      <c r="T1143" s="3">
        <f>(Таблица1[Срок с последнего нарушения кредитного договора (мес,)]-$AA$12)/($AA$13-$AA$12)</f>
        <v>0.69318181818181823</v>
      </c>
      <c r="U1143" s="3">
        <f>(Таблица1[Количество кредитных карт]-$AA$18)/($AA$19-$AA$18)</f>
        <v>0.11904761904761904</v>
      </c>
      <c r="V1143" s="3">
        <f>(Таблица1[Число нарушений кредитных договоров]-$AA$23)/($AA$24-$AA$23)</f>
        <v>0</v>
      </c>
      <c r="W1143" s="3">
        <f>Таблица1[[#This Row],[Годовой доход]]/12</f>
        <v>90400.416666666672</v>
      </c>
      <c r="X1143" s="3">
        <f>Таблица1[[#This Row],[Ежемесячный платеж]]/Таблица1[[#This Row],[Ежем доход]]</f>
        <v>7.9700849461423931E-2</v>
      </c>
      <c r="Y1143" s="3"/>
      <c r="Z1143" s="3"/>
      <c r="AA1143" s="3"/>
      <c r="AB1143" s="3"/>
    </row>
    <row r="1144" spans="1:28" x14ac:dyDescent="0.2">
      <c r="A1144">
        <v>1224</v>
      </c>
      <c r="B1144" t="s">
        <v>1263</v>
      </c>
      <c r="C1144" t="s">
        <v>18</v>
      </c>
      <c r="D1144" t="s">
        <v>19</v>
      </c>
      <c r="E1144" t="s">
        <v>30</v>
      </c>
      <c r="F1144" t="s">
        <v>33</v>
      </c>
      <c r="G1144" t="s">
        <v>25</v>
      </c>
      <c r="H1144" s="1">
        <v>255662</v>
      </c>
      <c r="I1144" s="3">
        <v>724</v>
      </c>
      <c r="J1144" s="3">
        <v>763040</v>
      </c>
      <c r="K1144" s="3">
        <v>14561.22</v>
      </c>
      <c r="L1144" s="2">
        <v>12.5</v>
      </c>
      <c r="M1144" s="11">
        <v>35.265240640000002</v>
      </c>
      <c r="N1144" s="3">
        <v>13</v>
      </c>
      <c r="O1144" s="3">
        <v>273714</v>
      </c>
      <c r="P1144" s="3">
        <v>395208</v>
      </c>
      <c r="Q1144" s="10">
        <v>0</v>
      </c>
      <c r="R1144" s="3">
        <f>(Таблица1[Размер кредита]-$AA$2)/$AA$3</f>
        <v>-0.3070530113367636</v>
      </c>
      <c r="S1144" s="3">
        <f>(Таблица1[Кредитный рейтинг]-$AA$7)/($AA$8-$AA$7)</f>
        <v>0.96404793608521966</v>
      </c>
      <c r="T1144" s="3">
        <f>(Таблица1[Срок с последнего нарушения кредитного договора (мес,)]-$AA$12)/($AA$13-$AA$12)</f>
        <v>0.40074137090909095</v>
      </c>
      <c r="U1144" s="3">
        <f>(Таблица1[Количество кредитных карт]-$AA$18)/($AA$19-$AA$18)</f>
        <v>0.2857142857142857</v>
      </c>
      <c r="V1144" s="3">
        <f>(Таблица1[Число нарушений кредитных договоров]-$AA$23)/($AA$24-$AA$23)</f>
        <v>0</v>
      </c>
      <c r="W1144" s="3">
        <f>Таблица1[[#This Row],[Годовой доход]]/12</f>
        <v>63586.666666666664</v>
      </c>
      <c r="X1144" s="3">
        <f>Таблица1[[#This Row],[Ежемесячный платеж]]/Таблица1[[#This Row],[Ежем доход]]</f>
        <v>0.2289980079681275</v>
      </c>
      <c r="Y1144" s="3"/>
      <c r="Z1144" s="3"/>
      <c r="AA1144" s="3"/>
      <c r="AB1144" s="3"/>
    </row>
    <row r="1145" spans="1:28" x14ac:dyDescent="0.2">
      <c r="A1145">
        <v>133</v>
      </c>
      <c r="B1145" t="s">
        <v>175</v>
      </c>
      <c r="C1145" t="s">
        <v>18</v>
      </c>
      <c r="D1145" t="s">
        <v>29</v>
      </c>
      <c r="E1145" t="s">
        <v>47</v>
      </c>
      <c r="F1145" t="s">
        <v>33</v>
      </c>
      <c r="G1145" t="s">
        <v>25</v>
      </c>
      <c r="H1145" s="1">
        <v>262724</v>
      </c>
      <c r="I1145" s="3">
        <v>695</v>
      </c>
      <c r="J1145" s="3">
        <v>1229072</v>
      </c>
      <c r="K1145" s="3">
        <v>21508.76</v>
      </c>
      <c r="L1145" s="2">
        <v>21.8</v>
      </c>
      <c r="M1145" s="11">
        <v>35.265240640000002</v>
      </c>
      <c r="N1145" s="3">
        <v>5</v>
      </c>
      <c r="O1145" s="3">
        <v>337725</v>
      </c>
      <c r="P1145" s="3">
        <v>394218</v>
      </c>
      <c r="Q1145" s="10">
        <v>0</v>
      </c>
      <c r="R1145" s="3">
        <f>(Таблица1[Размер кредита]-$AA$2)/$AA$3</f>
        <v>-0.2668470616003602</v>
      </c>
      <c r="S1145" s="3">
        <f>(Таблица1[Кредитный рейтинг]-$AA$7)/($AA$8-$AA$7)</f>
        <v>0.92543275632490019</v>
      </c>
      <c r="T1145" s="3">
        <f>(Таблица1[Срок с последнего нарушения кредитного договора (мес,)]-$AA$12)/($AA$13-$AA$12)</f>
        <v>0.40074137090909095</v>
      </c>
      <c r="U1145" s="3">
        <f>(Таблица1[Количество кредитных карт]-$AA$18)/($AA$19-$AA$18)</f>
        <v>9.5238095238095233E-2</v>
      </c>
      <c r="V1145" s="3">
        <f>(Таблица1[Число нарушений кредитных договоров]-$AA$23)/($AA$24-$AA$23)</f>
        <v>0</v>
      </c>
      <c r="W1145" s="3">
        <f>Таблица1[[#This Row],[Годовой доход]]/12</f>
        <v>102422.66666666667</v>
      </c>
      <c r="X1145" s="3">
        <f>Таблица1[[#This Row],[Ежемесячный платеж]]/Таблица1[[#This Row],[Ежем доход]]</f>
        <v>0.20999999999999996</v>
      </c>
      <c r="Y1145" s="3"/>
      <c r="Z1145" s="3"/>
      <c r="AA1145" s="3"/>
      <c r="AB1145" s="3"/>
    </row>
    <row r="1146" spans="1:28" x14ac:dyDescent="0.2">
      <c r="A1146">
        <v>392</v>
      </c>
      <c r="B1146" t="s">
        <v>434</v>
      </c>
      <c r="C1146" t="s">
        <v>18</v>
      </c>
      <c r="D1146" t="s">
        <v>19</v>
      </c>
      <c r="E1146" t="s">
        <v>50</v>
      </c>
      <c r="F1146" t="s">
        <v>21</v>
      </c>
      <c r="G1146" t="s">
        <v>25</v>
      </c>
      <c r="H1146" s="1">
        <v>161656</v>
      </c>
      <c r="I1146" s="3">
        <v>749</v>
      </c>
      <c r="J1146" s="3">
        <v>874874</v>
      </c>
      <c r="K1146" s="3">
        <v>12226.5</v>
      </c>
      <c r="L1146" s="2">
        <v>16.100000000000001</v>
      </c>
      <c r="M1146" s="11">
        <v>19</v>
      </c>
      <c r="N1146" s="3">
        <v>10</v>
      </c>
      <c r="O1146" s="3">
        <v>159676</v>
      </c>
      <c r="P1146" s="3">
        <v>394218</v>
      </c>
      <c r="Q1146" s="10">
        <v>0</v>
      </c>
      <c r="R1146" s="3">
        <f>(Таблица1[Размер кредита]-$AA$2)/$AA$3</f>
        <v>-0.84225557589642686</v>
      </c>
      <c r="S1146" s="3">
        <f>(Таблица1[Кредитный рейтинг]-$AA$7)/($AA$8-$AA$7)</f>
        <v>0.99733688415446076</v>
      </c>
      <c r="T1146" s="3">
        <f>(Таблица1[Срок с последнего нарушения кредитного договора (мес,)]-$AA$12)/($AA$13-$AA$12)</f>
        <v>0.21590909090909091</v>
      </c>
      <c r="U1146" s="3">
        <f>(Таблица1[Количество кредитных карт]-$AA$18)/($AA$19-$AA$18)</f>
        <v>0.21428571428571427</v>
      </c>
      <c r="V1146" s="3">
        <f>(Таблица1[Число нарушений кредитных договоров]-$AA$23)/($AA$24-$AA$23)</f>
        <v>0</v>
      </c>
      <c r="W1146" s="3">
        <f>Таблица1[[#This Row],[Годовой доход]]/12</f>
        <v>72906.166666666672</v>
      </c>
      <c r="X1146" s="3">
        <f>Таблица1[[#This Row],[Ежемесячный платеж]]/Таблица1[[#This Row],[Ежем доход]]</f>
        <v>0.16770186335403725</v>
      </c>
      <c r="Y1146" s="3"/>
      <c r="Z1146" s="3"/>
      <c r="AA1146" s="3"/>
      <c r="AB1146" s="3"/>
    </row>
    <row r="1147" spans="1:28" x14ac:dyDescent="0.2">
      <c r="A1147">
        <v>698</v>
      </c>
      <c r="B1147" t="s">
        <v>739</v>
      </c>
      <c r="C1147" t="s">
        <v>18</v>
      </c>
      <c r="D1147" t="s">
        <v>19</v>
      </c>
      <c r="E1147" t="s">
        <v>50</v>
      </c>
      <c r="F1147" t="s">
        <v>21</v>
      </c>
      <c r="G1147" t="s">
        <v>25</v>
      </c>
      <c r="H1147" s="1">
        <v>265738</v>
      </c>
      <c r="I1147" s="3">
        <v>0</v>
      </c>
      <c r="J1147" s="3">
        <v>1168044</v>
      </c>
      <c r="K1147" s="3">
        <v>11153.95</v>
      </c>
      <c r="L1147" s="2">
        <v>14</v>
      </c>
      <c r="M1147" s="11">
        <v>81</v>
      </c>
      <c r="N1147" s="3">
        <v>11</v>
      </c>
      <c r="O1147" s="3">
        <v>196669</v>
      </c>
      <c r="P1147" s="3">
        <v>393976</v>
      </c>
      <c r="Q1147" s="10">
        <v>1</v>
      </c>
      <c r="R1147" s="3">
        <f>(Таблица1[Размер кредита]-$AA$2)/$AA$3</f>
        <v>-0.24968751295896682</v>
      </c>
      <c r="S1147" s="3">
        <f>(Таблица1[Кредитный рейтинг]-$AA$7)/($AA$8-$AA$7)</f>
        <v>0</v>
      </c>
      <c r="T1147" s="3">
        <f>(Таблица1[Срок с последнего нарушения кредитного договора (мес,)]-$AA$12)/($AA$13-$AA$12)</f>
        <v>0.92045454545454541</v>
      </c>
      <c r="U1147" s="3">
        <f>(Таблица1[Количество кредитных карт]-$AA$18)/($AA$19-$AA$18)</f>
        <v>0.23809523809523808</v>
      </c>
      <c r="V1147" s="3">
        <f>(Таблица1[Число нарушений кредитных договоров]-$AA$23)/($AA$24-$AA$23)</f>
        <v>0.14285714285714285</v>
      </c>
      <c r="W1147" s="3">
        <f>Таблица1[[#This Row],[Годовой доход]]/12</f>
        <v>97337</v>
      </c>
      <c r="X1147" s="3">
        <f>Таблица1[[#This Row],[Ежемесячный платеж]]/Таблица1[[#This Row],[Ежем доход]]</f>
        <v>0.11459105992582472</v>
      </c>
      <c r="Y1147" s="3"/>
      <c r="Z1147" s="3"/>
      <c r="AA1147" s="3"/>
      <c r="AB1147" s="3"/>
    </row>
    <row r="1148" spans="1:28" x14ac:dyDescent="0.2">
      <c r="A1148">
        <v>1706</v>
      </c>
      <c r="B1148" t="s">
        <v>1744</v>
      </c>
      <c r="C1148" t="s">
        <v>35</v>
      </c>
      <c r="D1148" t="s">
        <v>19</v>
      </c>
      <c r="E1148" t="s">
        <v>24</v>
      </c>
      <c r="F1148" t="s">
        <v>21</v>
      </c>
      <c r="G1148" t="s">
        <v>25</v>
      </c>
      <c r="H1148" s="1">
        <v>215138</v>
      </c>
      <c r="I1148" s="3">
        <v>734</v>
      </c>
      <c r="J1148" s="3">
        <v>1746461</v>
      </c>
      <c r="K1148" s="3">
        <v>11424.7</v>
      </c>
      <c r="L1148" s="2">
        <v>25.8</v>
      </c>
      <c r="M1148" s="11">
        <v>25</v>
      </c>
      <c r="N1148" s="3">
        <v>8</v>
      </c>
      <c r="O1148" s="3">
        <v>324501</v>
      </c>
      <c r="P1148" s="3">
        <v>393844</v>
      </c>
      <c r="Q1148" s="10">
        <v>0</v>
      </c>
      <c r="R1148" s="3">
        <f>(Таблица1[Размер кредита]-$AA$2)/$AA$3</f>
        <v>-0.53776752664659266</v>
      </c>
      <c r="S1148" s="3">
        <f>(Таблица1[Кредитный рейтинг]-$AA$7)/($AA$8-$AA$7)</f>
        <v>0.9773635153129161</v>
      </c>
      <c r="T1148" s="3">
        <f>(Таблица1[Срок с последнего нарушения кредитного договора (мес,)]-$AA$12)/($AA$13-$AA$12)</f>
        <v>0.28409090909090912</v>
      </c>
      <c r="U1148" s="3">
        <f>(Таблица1[Количество кредитных карт]-$AA$18)/($AA$19-$AA$18)</f>
        <v>0.16666666666666666</v>
      </c>
      <c r="V1148" s="3">
        <f>(Таблица1[Число нарушений кредитных договоров]-$AA$23)/($AA$24-$AA$23)</f>
        <v>0</v>
      </c>
      <c r="W1148" s="3">
        <f>Таблица1[[#This Row],[Годовой доход]]/12</f>
        <v>145538.41666666666</v>
      </c>
      <c r="X1148" s="3">
        <f>Таблица1[[#This Row],[Ежемесячный платеж]]/Таблица1[[#This Row],[Ежем доход]]</f>
        <v>7.8499548515540862E-2</v>
      </c>
      <c r="Y1148" s="3"/>
      <c r="Z1148" s="3"/>
      <c r="AA1148" s="3"/>
      <c r="AB1148" s="3"/>
    </row>
    <row r="1149" spans="1:28" x14ac:dyDescent="0.2">
      <c r="A1149">
        <v>1884</v>
      </c>
      <c r="B1149" t="s">
        <v>1920</v>
      </c>
      <c r="C1149" t="s">
        <v>18</v>
      </c>
      <c r="D1149" t="s">
        <v>29</v>
      </c>
      <c r="E1149" t="s">
        <v>69</v>
      </c>
      <c r="F1149" t="s">
        <v>21</v>
      </c>
      <c r="G1149" t="s">
        <v>25</v>
      </c>
      <c r="H1149" s="1">
        <v>371822</v>
      </c>
      <c r="I1149" s="3">
        <v>731</v>
      </c>
      <c r="J1149" s="3">
        <v>2198110</v>
      </c>
      <c r="K1149" s="3">
        <v>34803.25</v>
      </c>
      <c r="L1149" s="2">
        <v>18.5</v>
      </c>
      <c r="M1149" s="11">
        <v>50</v>
      </c>
      <c r="N1149" s="3">
        <v>10</v>
      </c>
      <c r="O1149" s="3">
        <v>154242</v>
      </c>
      <c r="P1149" s="3">
        <v>391666</v>
      </c>
      <c r="Q1149" s="10">
        <v>0</v>
      </c>
      <c r="R1149" s="3">
        <f>(Таблица1[Размер кредита]-$AA$2)/$AA$3</f>
        <v>0.35427849834613406</v>
      </c>
      <c r="S1149" s="3">
        <f>(Таблица1[Кредитный рейтинг]-$AA$7)/($AA$8-$AA$7)</f>
        <v>0.97336884154460723</v>
      </c>
      <c r="T1149" s="3">
        <f>(Таблица1[Срок с последнего нарушения кредитного договора (мес,)]-$AA$12)/($AA$13-$AA$12)</f>
        <v>0.56818181818181823</v>
      </c>
      <c r="U1149" s="3">
        <f>(Таблица1[Количество кредитных карт]-$AA$18)/($AA$19-$AA$18)</f>
        <v>0.21428571428571427</v>
      </c>
      <c r="V1149" s="3">
        <f>(Таблица1[Число нарушений кредитных договоров]-$AA$23)/($AA$24-$AA$23)</f>
        <v>0</v>
      </c>
      <c r="W1149" s="3">
        <f>Таблица1[[#This Row],[Годовой доход]]/12</f>
        <v>183175.83333333334</v>
      </c>
      <c r="X1149" s="3">
        <f>Таблица1[[#This Row],[Ежемесячный платеж]]/Таблица1[[#This Row],[Ежем доход]]</f>
        <v>0.18999913562105625</v>
      </c>
      <c r="Y1149" s="3"/>
      <c r="Z1149" s="3"/>
      <c r="AA1149" s="3"/>
      <c r="AB1149" s="3"/>
    </row>
    <row r="1150" spans="1:28" x14ac:dyDescent="0.2">
      <c r="A1150">
        <v>1435</v>
      </c>
      <c r="B1150" s="4" t="s">
        <v>1474</v>
      </c>
      <c r="C1150" t="s">
        <v>35</v>
      </c>
      <c r="D1150" t="s">
        <v>19</v>
      </c>
      <c r="E1150" t="s">
        <v>24</v>
      </c>
      <c r="F1150" t="s">
        <v>21</v>
      </c>
      <c r="G1150" t="s">
        <v>25</v>
      </c>
      <c r="H1150" s="1">
        <v>207680</v>
      </c>
      <c r="I1150" s="3">
        <v>733</v>
      </c>
      <c r="J1150" s="3">
        <v>529511</v>
      </c>
      <c r="K1150" s="3">
        <v>7589.74</v>
      </c>
      <c r="L1150" s="2">
        <v>14.5</v>
      </c>
      <c r="M1150" s="11">
        <v>35.265240640000002</v>
      </c>
      <c r="N1150" s="3">
        <v>9</v>
      </c>
      <c r="O1150" s="3">
        <v>113316</v>
      </c>
      <c r="P1150" s="3">
        <v>390522</v>
      </c>
      <c r="Q1150" s="10">
        <v>0</v>
      </c>
      <c r="R1150" s="3">
        <f>(Таблица1[Размер кредита]-$AA$2)/$AA$3</f>
        <v>-0.58022801562055148</v>
      </c>
      <c r="S1150" s="3">
        <f>(Таблица1[Кредитный рейтинг]-$AA$7)/($AA$8-$AA$7)</f>
        <v>0.97603195739014648</v>
      </c>
      <c r="T1150" s="3">
        <f>(Таблица1[Срок с последнего нарушения кредитного договора (мес,)]-$AA$12)/($AA$13-$AA$12)</f>
        <v>0.40074137090909095</v>
      </c>
      <c r="U1150" s="3">
        <f>(Таблица1[Количество кредитных карт]-$AA$18)/($AA$19-$AA$18)</f>
        <v>0.19047619047619047</v>
      </c>
      <c r="V1150" s="3">
        <f>(Таблица1[Число нарушений кредитных договоров]-$AA$23)/($AA$24-$AA$23)</f>
        <v>0</v>
      </c>
      <c r="W1150" s="3">
        <f>Таблица1[[#This Row],[Годовой доход]]/12</f>
        <v>44125.916666666664</v>
      </c>
      <c r="X1150" s="3">
        <f>Таблица1[[#This Row],[Ежемесячный платеж]]/Таблица1[[#This Row],[Ежем доход]]</f>
        <v>0.17200186587247479</v>
      </c>
      <c r="Y1150" s="3"/>
      <c r="Z1150" s="3"/>
      <c r="AA1150" s="3"/>
      <c r="AB1150" s="3"/>
    </row>
    <row r="1151" spans="1:28" x14ac:dyDescent="0.2">
      <c r="A1151">
        <v>545</v>
      </c>
      <c r="B1151" t="s">
        <v>586</v>
      </c>
      <c r="C1151" t="s">
        <v>18</v>
      </c>
      <c r="D1151" t="s">
        <v>19</v>
      </c>
      <c r="E1151" t="s">
        <v>24</v>
      </c>
      <c r="F1151" t="s">
        <v>33</v>
      </c>
      <c r="G1151" t="s">
        <v>25</v>
      </c>
      <c r="H1151" s="1">
        <v>306482</v>
      </c>
      <c r="I1151" s="3">
        <v>740</v>
      </c>
      <c r="J1151" s="3">
        <v>1134414</v>
      </c>
      <c r="K1151" s="3">
        <v>22688.28</v>
      </c>
      <c r="L1151" s="2">
        <v>19.600000000000001</v>
      </c>
      <c r="M1151" s="11">
        <v>41</v>
      </c>
      <c r="N1151" s="3">
        <v>12</v>
      </c>
      <c r="O1151" s="3">
        <v>194389</v>
      </c>
      <c r="P1151" s="3">
        <v>389400</v>
      </c>
      <c r="Q1151" s="10">
        <v>0</v>
      </c>
      <c r="R1151" s="3">
        <f>(Таблица1[Размер кредита]-$AA$2)/$AA$3</f>
        <v>-1.7720475850495899E-2</v>
      </c>
      <c r="S1151" s="3">
        <f>(Таблица1[Кредитный рейтинг]-$AA$7)/($AA$8-$AA$7)</f>
        <v>0.98535286284953394</v>
      </c>
      <c r="T1151" s="3">
        <f>(Таблица1[Срок с последнего нарушения кредитного договора (мес,)]-$AA$12)/($AA$13-$AA$12)</f>
        <v>0.46590909090909088</v>
      </c>
      <c r="U1151" s="3">
        <f>(Таблица1[Количество кредитных карт]-$AA$18)/($AA$19-$AA$18)</f>
        <v>0.26190476190476192</v>
      </c>
      <c r="V1151" s="3">
        <f>(Таблица1[Число нарушений кредитных договоров]-$AA$23)/($AA$24-$AA$23)</f>
        <v>0</v>
      </c>
      <c r="W1151" s="3">
        <f>Таблица1[[#This Row],[Годовой доход]]/12</f>
        <v>94534.5</v>
      </c>
      <c r="X1151" s="3">
        <f>Таблица1[[#This Row],[Ежемесячный платеж]]/Таблица1[[#This Row],[Ежем доход]]</f>
        <v>0.24</v>
      </c>
      <c r="Y1151" s="3"/>
      <c r="Z1151" s="3"/>
      <c r="AA1151" s="3"/>
      <c r="AB1151" s="3"/>
    </row>
    <row r="1152" spans="1:28" x14ac:dyDescent="0.2">
      <c r="A1152">
        <v>107</v>
      </c>
      <c r="B1152" s="4" t="s">
        <v>149</v>
      </c>
      <c r="C1152" t="s">
        <v>35</v>
      </c>
      <c r="D1152" t="s">
        <v>29</v>
      </c>
      <c r="E1152" t="s">
        <v>24</v>
      </c>
      <c r="F1152" t="s">
        <v>21</v>
      </c>
      <c r="G1152" t="s">
        <v>25</v>
      </c>
      <c r="H1152" s="1">
        <v>556336</v>
      </c>
      <c r="I1152" s="3">
        <v>714</v>
      </c>
      <c r="J1152" s="3">
        <v>1402960</v>
      </c>
      <c r="K1152" s="3">
        <v>19524.400000000001</v>
      </c>
      <c r="L1152" s="2">
        <v>19.5</v>
      </c>
      <c r="M1152" s="11">
        <v>38</v>
      </c>
      <c r="N1152" s="3">
        <v>5</v>
      </c>
      <c r="O1152" s="3">
        <v>317338</v>
      </c>
      <c r="P1152" s="3">
        <v>389246</v>
      </c>
      <c r="Q1152" s="10">
        <v>0</v>
      </c>
      <c r="R1152" s="3">
        <f>(Таблица1[Размер кредита]-$AA$2)/$AA$3</f>
        <v>1.404768530867055</v>
      </c>
      <c r="S1152" s="3">
        <f>(Таблица1[Кредитный рейтинг]-$AA$7)/($AA$8-$AA$7)</f>
        <v>0.95073235685752333</v>
      </c>
      <c r="T1152" s="3">
        <f>(Таблица1[Срок с последнего нарушения кредитного договора (мес,)]-$AA$12)/($AA$13-$AA$12)</f>
        <v>0.43181818181818182</v>
      </c>
      <c r="U1152" s="3">
        <f>(Таблица1[Количество кредитных карт]-$AA$18)/($AA$19-$AA$18)</f>
        <v>9.5238095238095233E-2</v>
      </c>
      <c r="V1152" s="3">
        <f>(Таблица1[Число нарушений кредитных договоров]-$AA$23)/($AA$24-$AA$23)</f>
        <v>0</v>
      </c>
      <c r="W1152" s="3">
        <f>Таблица1[[#This Row],[Годовой доход]]/12</f>
        <v>116913.33333333333</v>
      </c>
      <c r="X1152" s="3">
        <f>Таблица1[[#This Row],[Ежемесячный платеж]]/Таблица1[[#This Row],[Ежем доход]]</f>
        <v>0.16699891657638138</v>
      </c>
      <c r="Y1152" s="3"/>
      <c r="Z1152" s="3"/>
      <c r="AA1152" s="3"/>
      <c r="AB1152" s="3"/>
    </row>
    <row r="1153" spans="1:28" x14ac:dyDescent="0.2">
      <c r="A1153">
        <v>141</v>
      </c>
      <c r="B1153" s="4" t="s">
        <v>183</v>
      </c>
      <c r="C1153" t="s">
        <v>35</v>
      </c>
      <c r="D1153" t="s">
        <v>19</v>
      </c>
      <c r="E1153" t="s">
        <v>32</v>
      </c>
      <c r="F1153" t="s">
        <v>33</v>
      </c>
      <c r="G1153" t="s">
        <v>22</v>
      </c>
      <c r="H1153" s="1">
        <v>232716</v>
      </c>
      <c r="I1153" s="3">
        <v>637</v>
      </c>
      <c r="J1153" s="3">
        <v>1049427</v>
      </c>
      <c r="K1153" s="3">
        <v>12942.99</v>
      </c>
      <c r="L1153" s="2">
        <v>9.5</v>
      </c>
      <c r="M1153" s="11">
        <v>61</v>
      </c>
      <c r="N1153" s="3">
        <v>20</v>
      </c>
      <c r="O1153" s="3">
        <v>226442</v>
      </c>
      <c r="P1153" s="3">
        <v>389026</v>
      </c>
      <c r="Q1153" s="10">
        <v>0</v>
      </c>
      <c r="R1153" s="3">
        <f>(Таблица1[Размер кредита]-$AA$2)/$AA$3</f>
        <v>-0.43769103493510875</v>
      </c>
      <c r="S1153" s="3">
        <f>(Таблица1[Кредитный рейтинг]-$AA$7)/($AA$8-$AA$7)</f>
        <v>0.84820239680426102</v>
      </c>
      <c r="T1153" s="3">
        <f>(Таблица1[Срок с последнего нарушения кредитного договора (мес,)]-$AA$12)/($AA$13-$AA$12)</f>
        <v>0.69318181818181823</v>
      </c>
      <c r="U1153" s="3">
        <f>(Таблица1[Количество кредитных карт]-$AA$18)/($AA$19-$AA$18)</f>
        <v>0.45238095238095238</v>
      </c>
      <c r="V1153" s="3">
        <f>(Таблица1[Число нарушений кредитных договоров]-$AA$23)/($AA$24-$AA$23)</f>
        <v>0</v>
      </c>
      <c r="W1153" s="3">
        <f>Таблица1[[#This Row],[Годовой доход]]/12</f>
        <v>87452.25</v>
      </c>
      <c r="X1153" s="3">
        <f>Таблица1[[#This Row],[Ежемесячный платеж]]/Таблица1[[#This Row],[Ежем доход]]</f>
        <v>0.14800065178425942</v>
      </c>
      <c r="Y1153" s="3"/>
      <c r="Z1153" s="3"/>
      <c r="AA1153" s="3"/>
      <c r="AB1153" s="3"/>
    </row>
    <row r="1154" spans="1:28" x14ac:dyDescent="0.2">
      <c r="A1154">
        <v>825</v>
      </c>
      <c r="B1154" t="s">
        <v>866</v>
      </c>
      <c r="C1154" t="s">
        <v>35</v>
      </c>
      <c r="D1154" t="s">
        <v>29</v>
      </c>
      <c r="E1154" t="s">
        <v>52</v>
      </c>
      <c r="F1154" t="s">
        <v>33</v>
      </c>
      <c r="G1154" t="s">
        <v>75</v>
      </c>
      <c r="H1154" s="1">
        <v>133012</v>
      </c>
      <c r="I1154" s="3">
        <v>717</v>
      </c>
      <c r="J1154" s="3">
        <v>1194606</v>
      </c>
      <c r="K1154" s="3">
        <v>12712.71</v>
      </c>
      <c r="L1154" s="2">
        <v>16.399999999999999</v>
      </c>
      <c r="M1154" s="11">
        <v>56</v>
      </c>
      <c r="N1154" s="3">
        <v>9</v>
      </c>
      <c r="O1154" s="3">
        <v>119586</v>
      </c>
      <c r="P1154" s="3">
        <v>387904</v>
      </c>
      <c r="Q1154" s="10">
        <v>0</v>
      </c>
      <c r="R1154" s="3">
        <f>(Таблица1[Размер кредита]-$AA$2)/$AA$3</f>
        <v>-1.0053339140795958</v>
      </c>
      <c r="S1154" s="3">
        <f>(Таблица1[Кредитный рейтинг]-$AA$7)/($AA$8-$AA$7)</f>
        <v>0.9547270306258322</v>
      </c>
      <c r="T1154" s="3">
        <f>(Таблица1[Срок с последнего нарушения кредитного договора (мес,)]-$AA$12)/($AA$13-$AA$12)</f>
        <v>0.63636363636363635</v>
      </c>
      <c r="U1154" s="3">
        <f>(Таблица1[Количество кредитных карт]-$AA$18)/($AA$19-$AA$18)</f>
        <v>0.19047619047619047</v>
      </c>
      <c r="V1154" s="3">
        <f>(Таблица1[Число нарушений кредитных договоров]-$AA$23)/($AA$24-$AA$23)</f>
        <v>0</v>
      </c>
      <c r="W1154" s="3">
        <f>Таблица1[[#This Row],[Годовой доход]]/12</f>
        <v>99550.5</v>
      </c>
      <c r="X1154" s="3">
        <f>Таблица1[[#This Row],[Ежемесячный платеж]]/Таблица1[[#This Row],[Ежем доход]]</f>
        <v>0.12770111651875177</v>
      </c>
      <c r="Y1154" s="3"/>
      <c r="Z1154" s="3"/>
      <c r="AA1154" s="3"/>
      <c r="AB1154" s="3"/>
    </row>
    <row r="1155" spans="1:28" x14ac:dyDescent="0.2">
      <c r="A1155">
        <v>831</v>
      </c>
      <c r="B1155" t="s">
        <v>872</v>
      </c>
      <c r="C1155" t="s">
        <v>18</v>
      </c>
      <c r="D1155" t="s">
        <v>19</v>
      </c>
      <c r="E1155" t="s">
        <v>63</v>
      </c>
      <c r="F1155" t="s">
        <v>33</v>
      </c>
      <c r="G1155" t="s">
        <v>25</v>
      </c>
      <c r="H1155" s="1">
        <v>267542</v>
      </c>
      <c r="I1155" s="3">
        <v>746</v>
      </c>
      <c r="J1155" s="3">
        <v>1578881</v>
      </c>
      <c r="K1155" s="3">
        <v>15657.33</v>
      </c>
      <c r="L1155" s="2">
        <v>10</v>
      </c>
      <c r="M1155" s="11">
        <v>71</v>
      </c>
      <c r="N1155" s="3">
        <v>11</v>
      </c>
      <c r="O1155" s="3">
        <v>195966</v>
      </c>
      <c r="P1155" s="3">
        <v>387882</v>
      </c>
      <c r="Q1155" s="10">
        <v>0</v>
      </c>
      <c r="R1155" s="3">
        <f>(Таблица1[Размер кредита]-$AA$2)/$AA$3</f>
        <v>-0.23941683421010365</v>
      </c>
      <c r="S1155" s="3">
        <f>(Таблица1[Кредитный рейтинг]-$AA$7)/($AA$8-$AA$7)</f>
        <v>0.99334221038615178</v>
      </c>
      <c r="T1155" s="3">
        <f>(Таблица1[Срок с последнего нарушения кредитного договора (мес,)]-$AA$12)/($AA$13-$AA$12)</f>
        <v>0.80681818181818177</v>
      </c>
      <c r="U1155" s="3">
        <f>(Таблица1[Количество кредитных карт]-$AA$18)/($AA$19-$AA$18)</f>
        <v>0.23809523809523808</v>
      </c>
      <c r="V1155" s="3">
        <f>(Таблица1[Число нарушений кредитных договоров]-$AA$23)/($AA$24-$AA$23)</f>
        <v>0</v>
      </c>
      <c r="W1155" s="3">
        <f>Таблица1[[#This Row],[Годовой доход]]/12</f>
        <v>131573.41666666666</v>
      </c>
      <c r="X1155" s="3">
        <f>Таблица1[[#This Row],[Ежемесячный платеж]]/Таблица1[[#This Row],[Ежем доход]]</f>
        <v>0.11900070999651019</v>
      </c>
      <c r="Y1155" s="3"/>
      <c r="Z1155" s="3"/>
      <c r="AA1155" s="3"/>
      <c r="AB1155" s="3"/>
    </row>
    <row r="1156" spans="1:28" x14ac:dyDescent="0.2">
      <c r="A1156">
        <v>95</v>
      </c>
      <c r="B1156" t="s">
        <v>137</v>
      </c>
      <c r="C1156" t="s">
        <v>18</v>
      </c>
      <c r="D1156" t="s">
        <v>19</v>
      </c>
      <c r="E1156" t="s">
        <v>69</v>
      </c>
      <c r="F1156" t="s">
        <v>33</v>
      </c>
      <c r="G1156" t="s">
        <v>25</v>
      </c>
      <c r="H1156" s="1">
        <v>306548</v>
      </c>
      <c r="I1156" s="3">
        <v>0</v>
      </c>
      <c r="J1156" s="3">
        <v>1168044</v>
      </c>
      <c r="K1156" s="3">
        <v>11157.37</v>
      </c>
      <c r="L1156" s="2">
        <v>17.5</v>
      </c>
      <c r="M1156" s="11">
        <v>35.265240640000002</v>
      </c>
      <c r="N1156" s="3">
        <v>10</v>
      </c>
      <c r="O1156" s="3">
        <v>200127</v>
      </c>
      <c r="P1156" s="3">
        <v>387508</v>
      </c>
      <c r="Q1156" s="10">
        <v>0</v>
      </c>
      <c r="R1156" s="3">
        <f>(Таблица1[Размер кредита]-$AA$2)/$AA$3</f>
        <v>-1.7344719310903343E-2</v>
      </c>
      <c r="S1156" s="3">
        <f>(Таблица1[Кредитный рейтинг]-$AA$7)/($AA$8-$AA$7)</f>
        <v>0</v>
      </c>
      <c r="T1156" s="3">
        <f>(Таблица1[Срок с последнего нарушения кредитного договора (мес,)]-$AA$12)/($AA$13-$AA$12)</f>
        <v>0.40074137090909095</v>
      </c>
      <c r="U1156" s="3">
        <f>(Таблица1[Количество кредитных карт]-$AA$18)/($AA$19-$AA$18)</f>
        <v>0.21428571428571427</v>
      </c>
      <c r="V1156" s="3">
        <f>(Таблица1[Число нарушений кредитных договоров]-$AA$23)/($AA$24-$AA$23)</f>
        <v>0</v>
      </c>
      <c r="W1156" s="3">
        <f>Таблица1[[#This Row],[Годовой доход]]/12</f>
        <v>97337</v>
      </c>
      <c r="X1156" s="3">
        <f>Таблица1[[#This Row],[Ежемесячный платеж]]/Таблица1[[#This Row],[Ежем доход]]</f>
        <v>0.11462619558852236</v>
      </c>
      <c r="Y1156" s="3"/>
      <c r="Z1156" s="3"/>
      <c r="AA1156" s="3"/>
      <c r="AB1156" s="3"/>
    </row>
    <row r="1157" spans="1:28" x14ac:dyDescent="0.2">
      <c r="A1157">
        <v>4</v>
      </c>
      <c r="B1157" t="s">
        <v>28</v>
      </c>
      <c r="C1157" t="s">
        <v>18</v>
      </c>
      <c r="D1157" t="s">
        <v>29</v>
      </c>
      <c r="E1157" t="s">
        <v>30</v>
      </c>
      <c r="F1157" t="s">
        <v>27</v>
      </c>
      <c r="G1157" t="s">
        <v>25</v>
      </c>
      <c r="H1157" s="1">
        <v>347666</v>
      </c>
      <c r="I1157" s="3">
        <v>721</v>
      </c>
      <c r="J1157" s="3">
        <v>806949</v>
      </c>
      <c r="K1157" s="3">
        <v>8741.9</v>
      </c>
      <c r="L1157" s="2">
        <v>12</v>
      </c>
      <c r="M1157" s="11">
        <v>35.265240640000002</v>
      </c>
      <c r="N1157" s="3">
        <v>9</v>
      </c>
      <c r="O1157" s="3">
        <v>256329</v>
      </c>
      <c r="P1157" s="3">
        <v>386958</v>
      </c>
      <c r="Q1157" s="10">
        <v>0</v>
      </c>
      <c r="R1157" s="3">
        <f>(Таблица1[Размер кредита]-$AA$2)/$AA$3</f>
        <v>0.21675160485525874</v>
      </c>
      <c r="S1157" s="3">
        <f>(Таблица1[Кредитный рейтинг]-$AA$7)/($AA$8-$AA$7)</f>
        <v>0.96005326231691079</v>
      </c>
      <c r="T1157" s="3">
        <f>(Таблица1[Срок с последнего нарушения кредитного договора (мес,)]-$AA$12)/($AA$13-$AA$12)</f>
        <v>0.40074137090909095</v>
      </c>
      <c r="U1157" s="3">
        <f>(Таблица1[Количество кредитных карт]-$AA$18)/($AA$19-$AA$18)</f>
        <v>0.19047619047619047</v>
      </c>
      <c r="V1157" s="3">
        <f>(Таблица1[Число нарушений кредитных договоров]-$AA$23)/($AA$24-$AA$23)</f>
        <v>0</v>
      </c>
      <c r="W1157" s="3">
        <f>Таблица1[[#This Row],[Годовой доход]]/12</f>
        <v>67245.75</v>
      </c>
      <c r="X1157" s="3">
        <f>Таблица1[[#This Row],[Ежемесячный платеж]]/Таблица1[[#This Row],[Ежем доход]]</f>
        <v>0.12999929363565726</v>
      </c>
      <c r="Y1157" s="3"/>
      <c r="Z1157" s="3"/>
      <c r="AA1157" s="3"/>
      <c r="AB1157" s="3"/>
    </row>
    <row r="1158" spans="1:28" x14ac:dyDescent="0.2">
      <c r="A1158">
        <v>1331</v>
      </c>
      <c r="B1158" t="s">
        <v>1370</v>
      </c>
      <c r="C1158" t="s">
        <v>35</v>
      </c>
      <c r="D1158" t="s">
        <v>19</v>
      </c>
      <c r="E1158" t="s">
        <v>30</v>
      </c>
      <c r="F1158" t="s">
        <v>33</v>
      </c>
      <c r="G1158" t="s">
        <v>67</v>
      </c>
      <c r="H1158" s="1">
        <v>212058</v>
      </c>
      <c r="I1158" s="3">
        <v>690</v>
      </c>
      <c r="J1158" s="3">
        <v>763116</v>
      </c>
      <c r="K1158" s="3">
        <v>7313.1</v>
      </c>
      <c r="L1158" s="2">
        <v>6.8</v>
      </c>
      <c r="M1158" s="11">
        <v>35.265240640000002</v>
      </c>
      <c r="N1158" s="3">
        <v>10</v>
      </c>
      <c r="O1158" s="3">
        <v>142861</v>
      </c>
      <c r="P1158" s="3">
        <v>386474</v>
      </c>
      <c r="Q1158" s="10">
        <v>0</v>
      </c>
      <c r="R1158" s="3">
        <f>(Таблица1[Размер кредита]-$AA$2)/$AA$3</f>
        <v>-0.55530283182757867</v>
      </c>
      <c r="S1158" s="3">
        <f>(Таблица1[Кредитный рейтинг]-$AA$7)/($AA$8-$AA$7)</f>
        <v>0.91877496671105197</v>
      </c>
      <c r="T1158" s="3">
        <f>(Таблица1[Срок с последнего нарушения кредитного договора (мес,)]-$AA$12)/($AA$13-$AA$12)</f>
        <v>0.40074137090909095</v>
      </c>
      <c r="U1158" s="3">
        <f>(Таблица1[Количество кредитных карт]-$AA$18)/($AA$19-$AA$18)</f>
        <v>0.21428571428571427</v>
      </c>
      <c r="V1158" s="3">
        <f>(Таблица1[Число нарушений кредитных договоров]-$AA$23)/($AA$24-$AA$23)</f>
        <v>0</v>
      </c>
      <c r="W1158" s="3">
        <f>Таблица1[[#This Row],[Годовой доход]]/12</f>
        <v>63593</v>
      </c>
      <c r="X1158" s="3">
        <f>Таблица1[[#This Row],[Ежемесячный платеж]]/Таблица1[[#This Row],[Ежем доход]]</f>
        <v>0.11499850612488796</v>
      </c>
      <c r="Y1158" s="3"/>
      <c r="Z1158" s="3"/>
      <c r="AA1158" s="3"/>
      <c r="AB1158" s="3"/>
    </row>
    <row r="1159" spans="1:28" x14ac:dyDescent="0.2">
      <c r="A1159">
        <v>738</v>
      </c>
      <c r="B1159" t="s">
        <v>779</v>
      </c>
      <c r="C1159" t="s">
        <v>18</v>
      </c>
      <c r="D1159" t="s">
        <v>19</v>
      </c>
      <c r="E1159" t="s">
        <v>37</v>
      </c>
      <c r="F1159" t="s">
        <v>33</v>
      </c>
      <c r="G1159" t="s">
        <v>25</v>
      </c>
      <c r="H1159" s="1">
        <v>259820</v>
      </c>
      <c r="I1159" s="3">
        <v>0</v>
      </c>
      <c r="J1159" s="3">
        <v>1168044</v>
      </c>
      <c r="K1159" s="3">
        <v>19026.98</v>
      </c>
      <c r="L1159" s="2">
        <v>9.9</v>
      </c>
      <c r="M1159" s="11">
        <v>35.265240640000002</v>
      </c>
      <c r="N1159" s="3">
        <v>8</v>
      </c>
      <c r="O1159" s="3">
        <v>181678</v>
      </c>
      <c r="P1159" s="3">
        <v>385308</v>
      </c>
      <c r="Q1159" s="10">
        <v>1</v>
      </c>
      <c r="R1159" s="3">
        <f>(Таблица1[Размер кредита]-$AA$2)/$AA$3</f>
        <v>-0.28338034934243261</v>
      </c>
      <c r="S1159" s="3">
        <f>(Таблица1[Кредитный рейтинг]-$AA$7)/($AA$8-$AA$7)</f>
        <v>0</v>
      </c>
      <c r="T1159" s="3">
        <f>(Таблица1[Срок с последнего нарушения кредитного договора (мес,)]-$AA$12)/($AA$13-$AA$12)</f>
        <v>0.40074137090909095</v>
      </c>
      <c r="U1159" s="3">
        <f>(Таблица1[Количество кредитных карт]-$AA$18)/($AA$19-$AA$18)</f>
        <v>0.16666666666666666</v>
      </c>
      <c r="V1159" s="3">
        <f>(Таблица1[Число нарушений кредитных договоров]-$AA$23)/($AA$24-$AA$23)</f>
        <v>0.14285714285714285</v>
      </c>
      <c r="W1159" s="3">
        <f>Таблица1[[#This Row],[Годовой доход]]/12</f>
        <v>97337</v>
      </c>
      <c r="X1159" s="3">
        <f>Таблица1[[#This Row],[Ежемесячный платеж]]/Таблица1[[#This Row],[Ежем доход]]</f>
        <v>0.19547530743704861</v>
      </c>
      <c r="Y1159" s="3"/>
      <c r="Z1159" s="3"/>
      <c r="AA1159" s="3"/>
      <c r="AB1159" s="3"/>
    </row>
    <row r="1160" spans="1:28" x14ac:dyDescent="0.2">
      <c r="A1160">
        <v>1472</v>
      </c>
      <c r="B1160" t="s">
        <v>1511</v>
      </c>
      <c r="C1160" t="s">
        <v>18</v>
      </c>
      <c r="D1160" t="s">
        <v>19</v>
      </c>
      <c r="E1160" t="s">
        <v>69</v>
      </c>
      <c r="F1160" t="s">
        <v>33</v>
      </c>
      <c r="G1160" t="s">
        <v>25</v>
      </c>
      <c r="H1160" s="1">
        <v>328152</v>
      </c>
      <c r="I1160" s="3">
        <v>699</v>
      </c>
      <c r="J1160" s="3">
        <v>944680</v>
      </c>
      <c r="K1160" s="3">
        <v>18027.77</v>
      </c>
      <c r="L1160" s="2">
        <v>15.6</v>
      </c>
      <c r="M1160" s="11">
        <v>71</v>
      </c>
      <c r="N1160" s="3">
        <v>16</v>
      </c>
      <c r="O1160" s="3">
        <v>301169</v>
      </c>
      <c r="P1160" s="3">
        <v>385308</v>
      </c>
      <c r="Q1160" s="10">
        <v>0</v>
      </c>
      <c r="R1160" s="3">
        <f>(Таблица1[Размер кредита]-$AA$2)/$AA$3</f>
        <v>0.10565292131572648</v>
      </c>
      <c r="S1160" s="3">
        <f>(Таблица1[Кредитный рейтинг]-$AA$7)/($AA$8-$AA$7)</f>
        <v>0.93075898801597867</v>
      </c>
      <c r="T1160" s="3">
        <f>(Таблица1[Срок с последнего нарушения кредитного договора (мес,)]-$AA$12)/($AA$13-$AA$12)</f>
        <v>0.80681818181818177</v>
      </c>
      <c r="U1160" s="3">
        <f>(Таблица1[Количество кредитных карт]-$AA$18)/($AA$19-$AA$18)</f>
        <v>0.35714285714285715</v>
      </c>
      <c r="V1160" s="3">
        <f>(Таблица1[Число нарушений кредитных договоров]-$AA$23)/($AA$24-$AA$23)</f>
        <v>0</v>
      </c>
      <c r="W1160" s="3">
        <f>Таблица1[[#This Row],[Годовой доход]]/12</f>
        <v>78723.333333333328</v>
      </c>
      <c r="X1160" s="3">
        <f>Таблица1[[#This Row],[Ежемесячный платеж]]/Таблица1[[#This Row],[Ежем доход]]</f>
        <v>0.2290016090104586</v>
      </c>
      <c r="Y1160" s="3"/>
      <c r="Z1160" s="3"/>
      <c r="AA1160" s="3"/>
      <c r="AB1160" s="3"/>
    </row>
    <row r="1161" spans="1:28" x14ac:dyDescent="0.2">
      <c r="A1161">
        <v>184</v>
      </c>
      <c r="B1161" t="s">
        <v>226</v>
      </c>
      <c r="C1161" t="s">
        <v>18</v>
      </c>
      <c r="D1161" t="s">
        <v>19</v>
      </c>
      <c r="E1161" t="s">
        <v>24</v>
      </c>
      <c r="F1161" t="s">
        <v>21</v>
      </c>
      <c r="G1161" t="s">
        <v>25</v>
      </c>
      <c r="H1161" s="1">
        <v>333124</v>
      </c>
      <c r="I1161" s="3">
        <v>703</v>
      </c>
      <c r="J1161" s="3">
        <v>1300246</v>
      </c>
      <c r="K1161" s="3">
        <v>13110.76</v>
      </c>
      <c r="L1161" s="2">
        <v>14.6</v>
      </c>
      <c r="M1161" s="11">
        <v>22</v>
      </c>
      <c r="N1161" s="3">
        <v>10</v>
      </c>
      <c r="O1161" s="3">
        <v>173128</v>
      </c>
      <c r="P1161" s="3">
        <v>384032</v>
      </c>
      <c r="Q1161" s="10">
        <v>0</v>
      </c>
      <c r="R1161" s="3">
        <f>(Таблица1[Размер кредита]-$AA$2)/$AA$3</f>
        <v>0.13395991396503235</v>
      </c>
      <c r="S1161" s="3">
        <f>(Таблица1[Кредитный рейтинг]-$AA$7)/($AA$8-$AA$7)</f>
        <v>0.93608521970705727</v>
      </c>
      <c r="T1161" s="3">
        <f>(Таблица1[Срок с последнего нарушения кредитного договора (мес,)]-$AA$12)/($AA$13-$AA$12)</f>
        <v>0.25</v>
      </c>
      <c r="U1161" s="3">
        <f>(Таблица1[Количество кредитных карт]-$AA$18)/($AA$19-$AA$18)</f>
        <v>0.21428571428571427</v>
      </c>
      <c r="V1161" s="3">
        <f>(Таблица1[Число нарушений кредитных договоров]-$AA$23)/($AA$24-$AA$23)</f>
        <v>0</v>
      </c>
      <c r="W1161" s="3">
        <f>Таблица1[[#This Row],[Годовой доход]]/12</f>
        <v>108353.83333333333</v>
      </c>
      <c r="X1161" s="3">
        <f>Таблица1[[#This Row],[Ежемесячный платеж]]/Таблица1[[#This Row],[Ежем доход]]</f>
        <v>0.12099950317093842</v>
      </c>
      <c r="Y1161" s="3"/>
      <c r="Z1161" s="3"/>
      <c r="AA1161" s="3"/>
      <c r="AB1161" s="3"/>
    </row>
    <row r="1162" spans="1:28" x14ac:dyDescent="0.2">
      <c r="A1162">
        <v>1116</v>
      </c>
      <c r="B1162" t="s">
        <v>1155</v>
      </c>
      <c r="C1162" t="s">
        <v>18</v>
      </c>
      <c r="D1162" t="s">
        <v>19</v>
      </c>
      <c r="E1162" t="s">
        <v>20</v>
      </c>
      <c r="F1162" t="s">
        <v>21</v>
      </c>
      <c r="G1162" t="s">
        <v>25</v>
      </c>
      <c r="H1162" s="1">
        <v>115566</v>
      </c>
      <c r="I1162" s="3">
        <v>0</v>
      </c>
      <c r="J1162" s="3">
        <v>1168044</v>
      </c>
      <c r="K1162" s="3">
        <v>17219.13</v>
      </c>
      <c r="L1162" s="2">
        <v>15.2</v>
      </c>
      <c r="M1162" s="11">
        <v>35.265240640000002</v>
      </c>
      <c r="N1162" s="3">
        <v>13</v>
      </c>
      <c r="O1162" s="3">
        <v>116375</v>
      </c>
      <c r="P1162" s="3">
        <v>383878</v>
      </c>
      <c r="Q1162" s="10">
        <v>1</v>
      </c>
      <c r="R1162" s="3">
        <f>(Таблица1[Размер кредита]-$AA$2)/$AA$3</f>
        <v>-1.1046588927118948</v>
      </c>
      <c r="S1162" s="3">
        <f>(Таблица1[Кредитный рейтинг]-$AA$7)/($AA$8-$AA$7)</f>
        <v>0</v>
      </c>
      <c r="T1162" s="3">
        <f>(Таблица1[Срок с последнего нарушения кредитного договора (мес,)]-$AA$12)/($AA$13-$AA$12)</f>
        <v>0.40074137090909095</v>
      </c>
      <c r="U1162" s="3">
        <f>(Таблица1[Количество кредитных карт]-$AA$18)/($AA$19-$AA$18)</f>
        <v>0.2857142857142857</v>
      </c>
      <c r="V1162" s="3">
        <f>(Таблица1[Число нарушений кредитных договоров]-$AA$23)/($AA$24-$AA$23)</f>
        <v>0.14285714285714285</v>
      </c>
      <c r="W1162" s="3">
        <f>Таблица1[[#This Row],[Годовой доход]]/12</f>
        <v>97337</v>
      </c>
      <c r="X1162" s="3">
        <f>Таблица1[[#This Row],[Ежемесячный платеж]]/Таблица1[[#This Row],[Ежем доход]]</f>
        <v>0.17690220573882492</v>
      </c>
      <c r="Y1162" s="3"/>
      <c r="Z1162" s="3"/>
      <c r="AA1162" s="3"/>
      <c r="AB1162" s="3"/>
    </row>
    <row r="1163" spans="1:28" x14ac:dyDescent="0.2">
      <c r="A1163">
        <v>818</v>
      </c>
      <c r="B1163" t="s">
        <v>859</v>
      </c>
      <c r="C1163" t="s">
        <v>18</v>
      </c>
      <c r="D1163" t="s">
        <v>19</v>
      </c>
      <c r="E1163" t="s">
        <v>32</v>
      </c>
      <c r="F1163" t="s">
        <v>27</v>
      </c>
      <c r="G1163" t="s">
        <v>22</v>
      </c>
      <c r="H1163" s="1">
        <v>158620</v>
      </c>
      <c r="I1163" s="3">
        <v>694</v>
      </c>
      <c r="J1163" s="3">
        <v>475665</v>
      </c>
      <c r="K1163" s="3">
        <v>3900.51</v>
      </c>
      <c r="L1163" s="2">
        <v>9.8000000000000007</v>
      </c>
      <c r="M1163" s="11">
        <v>31</v>
      </c>
      <c r="N1163" s="3">
        <v>11</v>
      </c>
      <c r="O1163" s="3">
        <v>84835</v>
      </c>
      <c r="P1163" s="3">
        <v>383724</v>
      </c>
      <c r="Q1163" s="10">
        <v>0</v>
      </c>
      <c r="R1163" s="3">
        <f>(Таблица1[Размер кредита]-$AA$2)/$AA$3</f>
        <v>-0.85954037671768435</v>
      </c>
      <c r="S1163" s="3">
        <f>(Таблица1[Кредитный рейтинг]-$AA$7)/($AA$8-$AA$7)</f>
        <v>0.92410119840213045</v>
      </c>
      <c r="T1163" s="3">
        <f>(Таблица1[Срок с последнего нарушения кредитного договора (мес,)]-$AA$12)/($AA$13-$AA$12)</f>
        <v>0.35227272727272729</v>
      </c>
      <c r="U1163" s="3">
        <f>(Таблица1[Количество кредитных карт]-$AA$18)/($AA$19-$AA$18)</f>
        <v>0.23809523809523808</v>
      </c>
      <c r="V1163" s="3">
        <f>(Таблица1[Число нарушений кредитных договоров]-$AA$23)/($AA$24-$AA$23)</f>
        <v>0</v>
      </c>
      <c r="W1163" s="3">
        <f>Таблица1[[#This Row],[Годовой доход]]/12</f>
        <v>39638.75</v>
      </c>
      <c r="X1163" s="3">
        <f>Таблица1[[#This Row],[Ежемесячный платеж]]/Таблица1[[#This Row],[Ежем доход]]</f>
        <v>9.8401437986818455E-2</v>
      </c>
      <c r="Y1163" s="3"/>
      <c r="Z1163" s="3"/>
      <c r="AA1163" s="3"/>
      <c r="AB1163" s="3"/>
    </row>
    <row r="1164" spans="1:28" x14ac:dyDescent="0.2">
      <c r="A1164">
        <v>1318</v>
      </c>
      <c r="B1164" t="s">
        <v>1357</v>
      </c>
      <c r="C1164" t="s">
        <v>18</v>
      </c>
      <c r="D1164" t="s">
        <v>19</v>
      </c>
      <c r="E1164" t="s">
        <v>24</v>
      </c>
      <c r="F1164" t="s">
        <v>33</v>
      </c>
      <c r="G1164" t="s">
        <v>25</v>
      </c>
      <c r="H1164" s="1">
        <v>111012</v>
      </c>
      <c r="I1164" s="3">
        <v>699</v>
      </c>
      <c r="J1164" s="3">
        <v>325945</v>
      </c>
      <c r="K1164" s="3">
        <v>2015.52</v>
      </c>
      <c r="L1164" s="2">
        <v>9.1999999999999993</v>
      </c>
      <c r="M1164" s="11">
        <v>35.265240640000002</v>
      </c>
      <c r="N1164" s="3">
        <v>7</v>
      </c>
      <c r="O1164" s="3">
        <v>45410</v>
      </c>
      <c r="P1164" s="3">
        <v>383724</v>
      </c>
      <c r="Q1164" s="10">
        <v>0</v>
      </c>
      <c r="R1164" s="3">
        <f>(Таблица1[Размер кредита]-$AA$2)/$AA$3</f>
        <v>-1.1305860939437811</v>
      </c>
      <c r="S1164" s="3">
        <f>(Таблица1[Кредитный рейтинг]-$AA$7)/($AA$8-$AA$7)</f>
        <v>0.93075898801597867</v>
      </c>
      <c r="T1164" s="3">
        <f>(Таблица1[Срок с последнего нарушения кредитного договора (мес,)]-$AA$12)/($AA$13-$AA$12)</f>
        <v>0.40074137090909095</v>
      </c>
      <c r="U1164" s="3">
        <f>(Таблица1[Количество кредитных карт]-$AA$18)/($AA$19-$AA$18)</f>
        <v>0.14285714285714285</v>
      </c>
      <c r="V1164" s="3">
        <f>(Таблица1[Число нарушений кредитных договоров]-$AA$23)/($AA$24-$AA$23)</f>
        <v>0</v>
      </c>
      <c r="W1164" s="3">
        <f>Таблица1[[#This Row],[Годовой доход]]/12</f>
        <v>27162.083333333332</v>
      </c>
      <c r="X1164" s="3">
        <f>Таблица1[[#This Row],[Ежемесячный платеж]]/Таблица1[[#This Row],[Ежем доход]]</f>
        <v>7.4203439230545037E-2</v>
      </c>
      <c r="Y1164" s="3"/>
      <c r="Z1164" s="3"/>
      <c r="AA1164" s="3"/>
      <c r="AB1164" s="3"/>
    </row>
    <row r="1165" spans="1:28" x14ac:dyDescent="0.2">
      <c r="A1165">
        <v>982</v>
      </c>
      <c r="B1165" t="s">
        <v>1022</v>
      </c>
      <c r="C1165" t="s">
        <v>35</v>
      </c>
      <c r="D1165" t="s">
        <v>29</v>
      </c>
      <c r="E1165" t="s">
        <v>41</v>
      </c>
      <c r="F1165" t="s">
        <v>33</v>
      </c>
      <c r="G1165" t="s">
        <v>25</v>
      </c>
      <c r="H1165" s="1">
        <v>268730</v>
      </c>
      <c r="I1165" s="3">
        <v>681</v>
      </c>
      <c r="J1165" s="3">
        <v>1218432</v>
      </c>
      <c r="K1165" s="3">
        <v>19819.66</v>
      </c>
      <c r="L1165" s="2">
        <v>16.3</v>
      </c>
      <c r="M1165" s="11">
        <v>35.265240640000002</v>
      </c>
      <c r="N1165" s="3">
        <v>6</v>
      </c>
      <c r="O1165" s="3">
        <v>265677</v>
      </c>
      <c r="P1165" s="3">
        <v>383086</v>
      </c>
      <c r="Q1165" s="10">
        <v>0</v>
      </c>
      <c r="R1165" s="3">
        <f>(Таблица1[Размер кредита]-$AA$2)/$AA$3</f>
        <v>-0.23265321649743764</v>
      </c>
      <c r="S1165" s="3">
        <f>(Таблица1[Кредитный рейтинг]-$AA$7)/($AA$8-$AA$7)</f>
        <v>0.90679094540612515</v>
      </c>
      <c r="T1165" s="3">
        <f>(Таблица1[Срок с последнего нарушения кредитного договора (мес,)]-$AA$12)/($AA$13-$AA$12)</f>
        <v>0.40074137090909095</v>
      </c>
      <c r="U1165" s="3">
        <f>(Таблица1[Количество кредитных карт]-$AA$18)/($AA$19-$AA$18)</f>
        <v>0.11904761904761904</v>
      </c>
      <c r="V1165" s="3">
        <f>(Таблица1[Число нарушений кредитных договоров]-$AA$23)/($AA$24-$AA$23)</f>
        <v>0</v>
      </c>
      <c r="W1165" s="3">
        <f>Таблица1[[#This Row],[Годовой доход]]/12</f>
        <v>101536</v>
      </c>
      <c r="X1165" s="3">
        <f>Таблица1[[#This Row],[Ежемесячный платеж]]/Таблица1[[#This Row],[Ежем доход]]</f>
        <v>0.19519835329341317</v>
      </c>
      <c r="Y1165" s="3"/>
      <c r="Z1165" s="3"/>
      <c r="AA1165" s="3"/>
      <c r="AB1165" s="3"/>
    </row>
    <row r="1166" spans="1:28" x14ac:dyDescent="0.2">
      <c r="A1166">
        <v>1824</v>
      </c>
      <c r="B1166" t="s">
        <v>1862</v>
      </c>
      <c r="C1166" t="s">
        <v>18</v>
      </c>
      <c r="D1166" t="s">
        <v>19</v>
      </c>
      <c r="E1166" t="s">
        <v>52</v>
      </c>
      <c r="F1166" t="s">
        <v>21</v>
      </c>
      <c r="G1166" t="s">
        <v>25</v>
      </c>
      <c r="H1166" s="1">
        <v>262966</v>
      </c>
      <c r="I1166" s="3">
        <v>746</v>
      </c>
      <c r="J1166" s="3">
        <v>757036</v>
      </c>
      <c r="K1166" s="3">
        <v>7128.8</v>
      </c>
      <c r="L1166" s="2">
        <v>16.8</v>
      </c>
      <c r="M1166" s="11">
        <v>35.265240640000002</v>
      </c>
      <c r="N1166" s="3">
        <v>7</v>
      </c>
      <c r="O1166" s="3">
        <v>189601</v>
      </c>
      <c r="P1166" s="3">
        <v>381128</v>
      </c>
      <c r="Q1166" s="10">
        <v>2</v>
      </c>
      <c r="R1166" s="3">
        <f>(Таблица1[Размер кредита]-$AA$2)/$AA$3</f>
        <v>-0.26546928762185418</v>
      </c>
      <c r="S1166" s="3">
        <f>(Таблица1[Кредитный рейтинг]-$AA$7)/($AA$8-$AA$7)</f>
        <v>0.99334221038615178</v>
      </c>
      <c r="T1166" s="3">
        <f>(Таблица1[Срок с последнего нарушения кредитного договора (мес,)]-$AA$12)/($AA$13-$AA$12)</f>
        <v>0.40074137090909095</v>
      </c>
      <c r="U1166" s="3">
        <f>(Таблица1[Количество кредитных карт]-$AA$18)/($AA$19-$AA$18)</f>
        <v>0.14285714285714285</v>
      </c>
      <c r="V1166" s="3">
        <f>(Таблица1[Число нарушений кредитных договоров]-$AA$23)/($AA$24-$AA$23)</f>
        <v>0.2857142857142857</v>
      </c>
      <c r="W1166" s="3">
        <f>Таблица1[[#This Row],[Годовой доход]]/12</f>
        <v>63086.333333333336</v>
      </c>
      <c r="X1166" s="3">
        <f>Таблица1[[#This Row],[Ежемесячный платеж]]/Таблица1[[#This Row],[Ежем доход]]</f>
        <v>0.11300070274068869</v>
      </c>
      <c r="Y1166" s="3"/>
      <c r="Z1166" s="3"/>
      <c r="AA1166" s="3"/>
      <c r="AB1166" s="3"/>
    </row>
    <row r="1167" spans="1:28" x14ac:dyDescent="0.2">
      <c r="A1167">
        <v>1895</v>
      </c>
      <c r="B1167" t="s">
        <v>1931</v>
      </c>
      <c r="C1167" t="s">
        <v>35</v>
      </c>
      <c r="D1167" t="s">
        <v>19</v>
      </c>
      <c r="E1167" t="s">
        <v>24</v>
      </c>
      <c r="F1167" t="s">
        <v>33</v>
      </c>
      <c r="G1167" t="s">
        <v>25</v>
      </c>
      <c r="H1167" s="1">
        <v>103686</v>
      </c>
      <c r="I1167" s="3">
        <v>0</v>
      </c>
      <c r="J1167" s="3">
        <v>1168044</v>
      </c>
      <c r="K1167" s="3">
        <v>9779.8700000000008</v>
      </c>
      <c r="L1167" s="2">
        <v>9.4</v>
      </c>
      <c r="M1167" s="11">
        <v>35.265240640000002</v>
      </c>
      <c r="N1167" s="3">
        <v>12</v>
      </c>
      <c r="O1167" s="3">
        <v>114152</v>
      </c>
      <c r="P1167" s="3">
        <v>380864</v>
      </c>
      <c r="Q1167" s="10">
        <v>0</v>
      </c>
      <c r="R1167" s="3">
        <f>(Таблица1[Размер кредита]-$AA$2)/$AA$3</f>
        <v>-1.1722950698385548</v>
      </c>
      <c r="S1167" s="3">
        <f>(Таблица1[Кредитный рейтинг]-$AA$7)/($AA$8-$AA$7)</f>
        <v>0</v>
      </c>
      <c r="T1167" s="3">
        <f>(Таблица1[Срок с последнего нарушения кредитного договора (мес,)]-$AA$12)/($AA$13-$AA$12)</f>
        <v>0.40074137090909095</v>
      </c>
      <c r="U1167" s="3">
        <f>(Таблица1[Количество кредитных карт]-$AA$18)/($AA$19-$AA$18)</f>
        <v>0.26190476190476192</v>
      </c>
      <c r="V1167" s="3">
        <f>(Таблица1[Число нарушений кредитных договоров]-$AA$23)/($AA$24-$AA$23)</f>
        <v>0</v>
      </c>
      <c r="W1167" s="3">
        <f>Таблица1[[#This Row],[Годовой доход]]/12</f>
        <v>97337</v>
      </c>
      <c r="X1167" s="3">
        <f>Таблица1[[#This Row],[Ежемесячный платеж]]/Таблица1[[#This Row],[Ежем доход]]</f>
        <v>0.10047433144641812</v>
      </c>
      <c r="Y1167" s="3"/>
      <c r="Z1167" s="3"/>
      <c r="AA1167" s="3"/>
      <c r="AB1167" s="3"/>
    </row>
    <row r="1168" spans="1:28" x14ac:dyDescent="0.2">
      <c r="A1168">
        <v>998</v>
      </c>
      <c r="B1168" t="s">
        <v>1038</v>
      </c>
      <c r="C1168" t="s">
        <v>18</v>
      </c>
      <c r="D1168" t="s">
        <v>29</v>
      </c>
      <c r="E1168" t="s">
        <v>24</v>
      </c>
      <c r="F1168" t="s">
        <v>33</v>
      </c>
      <c r="G1168" t="s">
        <v>25</v>
      </c>
      <c r="H1168" s="1">
        <v>387310</v>
      </c>
      <c r="I1168" s="3">
        <v>708</v>
      </c>
      <c r="J1168" s="3">
        <v>1368418</v>
      </c>
      <c r="K1168" s="3">
        <v>14368.37</v>
      </c>
      <c r="L1168" s="2">
        <v>22.9</v>
      </c>
      <c r="M1168" s="11">
        <v>24</v>
      </c>
      <c r="N1168" s="3">
        <v>3</v>
      </c>
      <c r="O1168" s="3">
        <v>234422</v>
      </c>
      <c r="P1168" s="3">
        <v>380688</v>
      </c>
      <c r="Q1168" s="10">
        <v>0</v>
      </c>
      <c r="R1168" s="3">
        <f>(Таблица1[Размер кредита]-$AA$2)/$AA$3</f>
        <v>0.44245603297052039</v>
      </c>
      <c r="S1168" s="3">
        <f>(Таблица1[Кредитный рейтинг]-$AA$7)/($AA$8-$AA$7)</f>
        <v>0.94274300932090549</v>
      </c>
      <c r="T1168" s="3">
        <f>(Таблица1[Срок с последнего нарушения кредитного договора (мес,)]-$AA$12)/($AA$13-$AA$12)</f>
        <v>0.27272727272727271</v>
      </c>
      <c r="U1168" s="3">
        <f>(Таблица1[Количество кредитных карт]-$AA$18)/($AA$19-$AA$18)</f>
        <v>4.7619047619047616E-2</v>
      </c>
      <c r="V1168" s="3">
        <f>(Таблица1[Число нарушений кредитных договоров]-$AA$23)/($AA$24-$AA$23)</f>
        <v>0</v>
      </c>
      <c r="W1168" s="3">
        <f>Таблица1[[#This Row],[Годовой доход]]/12</f>
        <v>114034.83333333333</v>
      </c>
      <c r="X1168" s="3">
        <f>Таблица1[[#This Row],[Ежемесячный платеж]]/Таблица1[[#This Row],[Ежем доход]]</f>
        <v>0.12599983338424373</v>
      </c>
      <c r="Y1168" s="3"/>
      <c r="Z1168" s="3"/>
      <c r="AA1168" s="3"/>
      <c r="AB1168" s="3"/>
    </row>
    <row r="1169" spans="1:28" x14ac:dyDescent="0.2">
      <c r="A1169">
        <v>733</v>
      </c>
      <c r="B1169" t="s">
        <v>774</v>
      </c>
      <c r="C1169" t="s">
        <v>35</v>
      </c>
      <c r="D1169" t="s">
        <v>29</v>
      </c>
      <c r="E1169" t="s">
        <v>41</v>
      </c>
      <c r="F1169" t="s">
        <v>33</v>
      </c>
      <c r="G1169" t="s">
        <v>25</v>
      </c>
      <c r="H1169" s="1">
        <v>263362</v>
      </c>
      <c r="I1169" s="3">
        <v>731</v>
      </c>
      <c r="J1169" s="3">
        <v>614118</v>
      </c>
      <c r="K1169" s="3">
        <v>8300.91</v>
      </c>
      <c r="L1169" s="2">
        <v>14.1</v>
      </c>
      <c r="M1169" s="11">
        <v>35.265240640000002</v>
      </c>
      <c r="N1169" s="3">
        <v>8</v>
      </c>
      <c r="O1169" s="3">
        <v>158213</v>
      </c>
      <c r="P1169" s="3">
        <v>380050</v>
      </c>
      <c r="Q1169" s="10">
        <v>0</v>
      </c>
      <c r="R1169" s="3">
        <f>(Таблица1[Размер кредита]-$AA$2)/$AA$3</f>
        <v>-0.26321474838429881</v>
      </c>
      <c r="S1169" s="3">
        <f>(Таблица1[Кредитный рейтинг]-$AA$7)/($AA$8-$AA$7)</f>
        <v>0.97336884154460723</v>
      </c>
      <c r="T1169" s="3">
        <f>(Таблица1[Срок с последнего нарушения кредитного договора (мес,)]-$AA$12)/($AA$13-$AA$12)</f>
        <v>0.40074137090909095</v>
      </c>
      <c r="U1169" s="3">
        <f>(Таблица1[Количество кредитных карт]-$AA$18)/($AA$19-$AA$18)</f>
        <v>0.16666666666666666</v>
      </c>
      <c r="V1169" s="3">
        <f>(Таблица1[Число нарушений кредитных договоров]-$AA$23)/($AA$24-$AA$23)</f>
        <v>0</v>
      </c>
      <c r="W1169" s="3">
        <f>Таблица1[[#This Row],[Годовой доход]]/12</f>
        <v>51176.5</v>
      </c>
      <c r="X1169" s="3">
        <f>Таблица1[[#This Row],[Ежемесячный платеж]]/Таблица1[[#This Row],[Ежем доход]]</f>
        <v>0.16220159643586413</v>
      </c>
      <c r="Y1169" s="3"/>
      <c r="Z1169" s="3"/>
      <c r="AA1169" s="3"/>
      <c r="AB1169" s="3"/>
    </row>
    <row r="1170" spans="1:28" x14ac:dyDescent="0.2">
      <c r="A1170">
        <v>1631</v>
      </c>
      <c r="B1170" t="s">
        <v>1669</v>
      </c>
      <c r="C1170" t="s">
        <v>35</v>
      </c>
      <c r="D1170" t="s">
        <v>19</v>
      </c>
      <c r="E1170" t="s">
        <v>24</v>
      </c>
      <c r="F1170" t="s">
        <v>21</v>
      </c>
      <c r="G1170" t="s">
        <v>25</v>
      </c>
      <c r="H1170" s="1">
        <v>213378</v>
      </c>
      <c r="I1170" s="3">
        <v>0</v>
      </c>
      <c r="J1170" s="3">
        <v>1168044</v>
      </c>
      <c r="K1170" s="3">
        <v>10135.36</v>
      </c>
      <c r="L1170" s="2">
        <v>9.3000000000000007</v>
      </c>
      <c r="M1170" s="11">
        <v>35.265240640000002</v>
      </c>
      <c r="N1170" s="3">
        <v>10</v>
      </c>
      <c r="O1170" s="3">
        <v>231686</v>
      </c>
      <c r="P1170" s="3">
        <v>379984</v>
      </c>
      <c r="Q1170" s="10">
        <v>0</v>
      </c>
      <c r="R1170" s="3">
        <f>(Таблица1[Размер кредита]-$AA$2)/$AA$3</f>
        <v>-0.54778770103572749</v>
      </c>
      <c r="S1170" s="3">
        <f>(Таблица1[Кредитный рейтинг]-$AA$7)/($AA$8-$AA$7)</f>
        <v>0</v>
      </c>
      <c r="T1170" s="3">
        <f>(Таблица1[Срок с последнего нарушения кредитного договора (мес,)]-$AA$12)/($AA$13-$AA$12)</f>
        <v>0.40074137090909095</v>
      </c>
      <c r="U1170" s="3">
        <f>(Таблица1[Количество кредитных карт]-$AA$18)/($AA$19-$AA$18)</f>
        <v>0.21428571428571427</v>
      </c>
      <c r="V1170" s="3">
        <f>(Таблица1[Число нарушений кредитных договоров]-$AA$23)/($AA$24-$AA$23)</f>
        <v>0</v>
      </c>
      <c r="W1170" s="3">
        <f>Таблица1[[#This Row],[Годовой доход]]/12</f>
        <v>97337</v>
      </c>
      <c r="X1170" s="3">
        <f>Таблица1[[#This Row],[Ежемесячный платеж]]/Таблица1[[#This Row],[Ежем доход]]</f>
        <v>0.10412648838571151</v>
      </c>
      <c r="Y1170" s="3"/>
      <c r="Z1170" s="3"/>
      <c r="AA1170" s="3"/>
      <c r="AB1170" s="3"/>
    </row>
    <row r="1171" spans="1:28" x14ac:dyDescent="0.2">
      <c r="A1171">
        <v>52</v>
      </c>
      <c r="B1171" t="s">
        <v>92</v>
      </c>
      <c r="C1171" t="s">
        <v>35</v>
      </c>
      <c r="D1171" t="s">
        <v>29</v>
      </c>
      <c r="E1171" t="s">
        <v>24</v>
      </c>
      <c r="F1171" t="s">
        <v>33</v>
      </c>
      <c r="G1171" t="s">
        <v>25</v>
      </c>
      <c r="H1171" s="1">
        <v>219692</v>
      </c>
      <c r="I1171" s="3">
        <v>661</v>
      </c>
      <c r="J1171" s="3">
        <v>527839</v>
      </c>
      <c r="K1171" s="3">
        <v>14207.63</v>
      </c>
      <c r="L1171" s="2">
        <v>17</v>
      </c>
      <c r="M1171" s="11">
        <v>48</v>
      </c>
      <c r="N1171" s="3">
        <v>9</v>
      </c>
      <c r="O1171" s="3">
        <v>254277</v>
      </c>
      <c r="P1171" s="3">
        <v>379918</v>
      </c>
      <c r="Q1171" s="10">
        <v>0</v>
      </c>
      <c r="R1171" s="3">
        <f>(Таблица1[Размер кредита]-$AA$2)/$AA$3</f>
        <v>-0.51184032541470637</v>
      </c>
      <c r="S1171" s="3">
        <f>(Таблица1[Кредитный рейтинг]-$AA$7)/($AA$8-$AA$7)</f>
        <v>0.88015978695073238</v>
      </c>
      <c r="T1171" s="3">
        <f>(Таблица1[Срок с последнего нарушения кредитного договора (мес,)]-$AA$12)/($AA$13-$AA$12)</f>
        <v>0.54545454545454541</v>
      </c>
      <c r="U1171" s="3">
        <f>(Таблица1[Количество кредитных карт]-$AA$18)/($AA$19-$AA$18)</f>
        <v>0.19047619047619047</v>
      </c>
      <c r="V1171" s="3">
        <f>(Таблица1[Число нарушений кредитных договоров]-$AA$23)/($AA$24-$AA$23)</f>
        <v>0</v>
      </c>
      <c r="W1171" s="3">
        <f>Таблица1[[#This Row],[Годовой доход]]/12</f>
        <v>43986.583333333336</v>
      </c>
      <c r="X1171" s="3">
        <f>Таблица1[[#This Row],[Ежемесячный платеж]]/Таблица1[[#This Row],[Ежем доход]]</f>
        <v>0.32299917209603685</v>
      </c>
      <c r="Y1171" s="3"/>
      <c r="Z1171" s="3"/>
      <c r="AA1171" s="3"/>
      <c r="AB1171" s="3"/>
    </row>
    <row r="1172" spans="1:28" x14ac:dyDescent="0.2">
      <c r="A1172">
        <v>1693</v>
      </c>
      <c r="B1172" t="s">
        <v>1731</v>
      </c>
      <c r="C1172" t="s">
        <v>35</v>
      </c>
      <c r="D1172" t="s">
        <v>19</v>
      </c>
      <c r="E1172" t="s">
        <v>50</v>
      </c>
      <c r="F1172" t="s">
        <v>33</v>
      </c>
      <c r="G1172" t="s">
        <v>25</v>
      </c>
      <c r="H1172" s="1">
        <v>171710</v>
      </c>
      <c r="I1172" s="3">
        <v>731</v>
      </c>
      <c r="J1172" s="3">
        <v>926820</v>
      </c>
      <c r="K1172" s="3">
        <v>12203.13</v>
      </c>
      <c r="L1172" s="2">
        <v>16.5</v>
      </c>
      <c r="M1172" s="11">
        <v>35.265240640000002</v>
      </c>
      <c r="N1172" s="3">
        <v>19</v>
      </c>
      <c r="O1172" s="3">
        <v>115672</v>
      </c>
      <c r="P1172" s="3">
        <v>379412</v>
      </c>
      <c r="Q1172" s="10">
        <v>1</v>
      </c>
      <c r="R1172" s="3">
        <f>(Таблица1[Размер кредита]-$AA$2)/$AA$3</f>
        <v>-0.78501532969849419</v>
      </c>
      <c r="S1172" s="3">
        <f>(Таблица1[Кредитный рейтинг]-$AA$7)/($AA$8-$AA$7)</f>
        <v>0.97336884154460723</v>
      </c>
      <c r="T1172" s="3">
        <f>(Таблица1[Срок с последнего нарушения кредитного договора (мес,)]-$AA$12)/($AA$13-$AA$12)</f>
        <v>0.40074137090909095</v>
      </c>
      <c r="U1172" s="3">
        <f>(Таблица1[Количество кредитных карт]-$AA$18)/($AA$19-$AA$18)</f>
        <v>0.42857142857142855</v>
      </c>
      <c r="V1172" s="3">
        <f>(Таблица1[Число нарушений кредитных договоров]-$AA$23)/($AA$24-$AA$23)</f>
        <v>0.14285714285714285</v>
      </c>
      <c r="W1172" s="3">
        <f>Таблица1[[#This Row],[Годовой доход]]/12</f>
        <v>77235</v>
      </c>
      <c r="X1172" s="3">
        <f>Таблица1[[#This Row],[Ежемесячный платеж]]/Таблица1[[#This Row],[Ежем доход]]</f>
        <v>0.158</v>
      </c>
      <c r="Y1172" s="3"/>
      <c r="Z1172" s="3"/>
      <c r="AA1172" s="3"/>
      <c r="AB1172" s="3"/>
    </row>
    <row r="1173" spans="1:28" x14ac:dyDescent="0.2">
      <c r="A1173">
        <v>1928</v>
      </c>
      <c r="B1173" t="s">
        <v>1964</v>
      </c>
      <c r="C1173" t="s">
        <v>18</v>
      </c>
      <c r="D1173" t="s">
        <v>29</v>
      </c>
      <c r="E1173" t="s">
        <v>41</v>
      </c>
      <c r="F1173" t="s">
        <v>21</v>
      </c>
      <c r="G1173" t="s">
        <v>25</v>
      </c>
      <c r="H1173" s="1">
        <v>445588</v>
      </c>
      <c r="I1173" s="3">
        <v>0</v>
      </c>
      <c r="J1173" s="3">
        <v>1168044</v>
      </c>
      <c r="K1173" s="3">
        <v>26681.32</v>
      </c>
      <c r="L1173" s="2">
        <v>23.1</v>
      </c>
      <c r="M1173" s="11">
        <v>35.265240640000002</v>
      </c>
      <c r="N1173" s="3">
        <v>8</v>
      </c>
      <c r="O1173" s="3">
        <v>220267</v>
      </c>
      <c r="P1173" s="3">
        <v>378972</v>
      </c>
      <c r="Q1173" s="10">
        <v>0</v>
      </c>
      <c r="R1173" s="3">
        <f>(Таблица1[Размер кредита]-$AA$2)/$AA$3</f>
        <v>0.7742490574307469</v>
      </c>
      <c r="S1173" s="3">
        <f>(Таблица1[Кредитный рейтинг]-$AA$7)/($AA$8-$AA$7)</f>
        <v>0</v>
      </c>
      <c r="T1173" s="3">
        <f>(Таблица1[Срок с последнего нарушения кредитного договора (мес,)]-$AA$12)/($AA$13-$AA$12)</f>
        <v>0.40074137090909095</v>
      </c>
      <c r="U1173" s="3">
        <f>(Таблица1[Количество кредитных карт]-$AA$18)/($AA$19-$AA$18)</f>
        <v>0.16666666666666666</v>
      </c>
      <c r="V1173" s="3">
        <f>(Таблица1[Число нарушений кредитных договоров]-$AA$23)/($AA$24-$AA$23)</f>
        <v>0</v>
      </c>
      <c r="W1173" s="3">
        <f>Таблица1[[#This Row],[Годовой доход]]/12</f>
        <v>97337</v>
      </c>
      <c r="X1173" s="3">
        <f>Таблица1[[#This Row],[Ежемесячный платеж]]/Таблица1[[#This Row],[Ежем доход]]</f>
        <v>0.27411282451688462</v>
      </c>
      <c r="Y1173" s="3"/>
      <c r="Z1173" s="3"/>
      <c r="AA1173" s="3"/>
      <c r="AB1173" s="3"/>
    </row>
    <row r="1174" spans="1:28" x14ac:dyDescent="0.2">
      <c r="A1174">
        <v>436</v>
      </c>
      <c r="B1174" t="s">
        <v>477</v>
      </c>
      <c r="C1174" t="s">
        <v>18</v>
      </c>
      <c r="D1174" t="s">
        <v>19</v>
      </c>
      <c r="E1174" t="s">
        <v>32</v>
      </c>
      <c r="F1174" t="s">
        <v>21</v>
      </c>
      <c r="G1174" t="s">
        <v>25</v>
      </c>
      <c r="H1174" s="1">
        <v>405746</v>
      </c>
      <c r="I1174" s="3">
        <v>742</v>
      </c>
      <c r="J1174" s="3">
        <v>1168044</v>
      </c>
      <c r="K1174" s="3">
        <v>21511.42</v>
      </c>
      <c r="L1174" s="2">
        <v>13.8</v>
      </c>
      <c r="M1174" s="11">
        <v>35.265240640000002</v>
      </c>
      <c r="N1174" s="3">
        <v>9</v>
      </c>
      <c r="O1174" s="3">
        <v>286748</v>
      </c>
      <c r="P1174" s="3">
        <v>378598</v>
      </c>
      <c r="Q1174" s="10">
        <v>1</v>
      </c>
      <c r="R1174" s="3">
        <f>(Таблица1[Размер кредита]-$AA$2)/$AA$3</f>
        <v>0.54741735969670757</v>
      </c>
      <c r="S1174" s="3">
        <f>(Таблица1[Кредитный рейтинг]-$AA$7)/($AA$8-$AA$7)</f>
        <v>0.98801597869507318</v>
      </c>
      <c r="T1174" s="3">
        <f>(Таблица1[Срок с последнего нарушения кредитного договора (мес,)]-$AA$12)/($AA$13-$AA$12)</f>
        <v>0.40074137090909095</v>
      </c>
      <c r="U1174" s="3">
        <f>(Таблица1[Количество кредитных карт]-$AA$18)/($AA$19-$AA$18)</f>
        <v>0.19047619047619047</v>
      </c>
      <c r="V1174" s="3">
        <f>(Таблица1[Число нарушений кредитных договоров]-$AA$23)/($AA$24-$AA$23)</f>
        <v>0.14285714285714285</v>
      </c>
      <c r="W1174" s="3">
        <f>Таблица1[[#This Row],[Годовой доход]]/12</f>
        <v>97337</v>
      </c>
      <c r="X1174" s="3">
        <f>Таблица1[[#This Row],[Ежемесячный платеж]]/Таблица1[[#This Row],[Ежем доход]]</f>
        <v>0.22099941440562168</v>
      </c>
      <c r="Y1174" s="3"/>
      <c r="Z1174" s="3"/>
      <c r="AA1174" s="3"/>
      <c r="AB1174" s="3"/>
    </row>
    <row r="1175" spans="1:28" x14ac:dyDescent="0.2">
      <c r="A1175">
        <v>1975</v>
      </c>
      <c r="B1175" t="s">
        <v>2011</v>
      </c>
      <c r="C1175" t="s">
        <v>18</v>
      </c>
      <c r="D1175" t="s">
        <v>19</v>
      </c>
      <c r="E1175" t="s">
        <v>37</v>
      </c>
      <c r="F1175" t="s">
        <v>33</v>
      </c>
      <c r="G1175" t="s">
        <v>25</v>
      </c>
      <c r="H1175" s="1">
        <v>109978</v>
      </c>
      <c r="I1175" s="3">
        <v>751</v>
      </c>
      <c r="J1175" s="3">
        <v>1044696</v>
      </c>
      <c r="K1175" s="3">
        <v>16540.830000000002</v>
      </c>
      <c r="L1175" s="2">
        <v>18.899999999999999</v>
      </c>
      <c r="M1175" s="11">
        <v>32</v>
      </c>
      <c r="N1175" s="3">
        <v>18</v>
      </c>
      <c r="O1175" s="3">
        <v>42826</v>
      </c>
      <c r="P1175" s="3">
        <v>378598</v>
      </c>
      <c r="Q1175" s="10">
        <v>0</v>
      </c>
      <c r="R1175" s="3">
        <f>(Таблица1[Размер кредита]-$AA$2)/$AA$3</f>
        <v>-1.1364729463973977</v>
      </c>
      <c r="S1175" s="3">
        <f>(Таблица1[Кредитный рейтинг]-$AA$7)/($AA$8-$AA$7)</f>
        <v>1</v>
      </c>
      <c r="T1175" s="3">
        <f>(Таблица1[Срок с последнего нарушения кредитного договора (мес,)]-$AA$12)/($AA$13-$AA$12)</f>
        <v>0.36363636363636365</v>
      </c>
      <c r="U1175" s="3">
        <f>(Таблица1[Количество кредитных карт]-$AA$18)/($AA$19-$AA$18)</f>
        <v>0.40476190476190477</v>
      </c>
      <c r="V1175" s="3">
        <f>(Таблица1[Число нарушений кредитных договоров]-$AA$23)/($AA$24-$AA$23)</f>
        <v>0</v>
      </c>
      <c r="W1175" s="3">
        <f>Таблица1[[#This Row],[Годовой доход]]/12</f>
        <v>87058</v>
      </c>
      <c r="X1175" s="3">
        <f>Таблица1[[#This Row],[Ежемесячный платеж]]/Таблица1[[#This Row],[Ежем доход]]</f>
        <v>0.18999781754692277</v>
      </c>
      <c r="Y1175" s="3"/>
      <c r="Z1175" s="3"/>
      <c r="AA1175" s="3"/>
      <c r="AB1175" s="3"/>
    </row>
    <row r="1176" spans="1:28" x14ac:dyDescent="0.2">
      <c r="A1176">
        <v>246</v>
      </c>
      <c r="B1176" t="s">
        <v>288</v>
      </c>
      <c r="C1176" t="s">
        <v>35</v>
      </c>
      <c r="D1176" t="s">
        <v>29</v>
      </c>
      <c r="E1176" t="s">
        <v>24</v>
      </c>
      <c r="F1176" t="s">
        <v>33</v>
      </c>
      <c r="G1176" t="s">
        <v>25</v>
      </c>
      <c r="H1176" s="1">
        <v>427988</v>
      </c>
      <c r="I1176" s="3">
        <v>729</v>
      </c>
      <c r="J1176" s="3">
        <v>1624082</v>
      </c>
      <c r="K1176" s="3">
        <v>3640.78</v>
      </c>
      <c r="L1176" s="2">
        <v>19.2</v>
      </c>
      <c r="M1176" s="11">
        <v>35.265240640000002</v>
      </c>
      <c r="N1176" s="3">
        <v>5</v>
      </c>
      <c r="O1176" s="3">
        <v>132088</v>
      </c>
      <c r="P1176" s="3">
        <v>378576</v>
      </c>
      <c r="Q1176" s="10">
        <v>0</v>
      </c>
      <c r="R1176" s="3">
        <f>(Таблица1[Размер кредита]-$AA$2)/$AA$3</f>
        <v>0.67404731353939873</v>
      </c>
      <c r="S1176" s="3">
        <f>(Таблица1[Кредитный рейтинг]-$AA$7)/($AA$8-$AA$7)</f>
        <v>0.97070572569906788</v>
      </c>
      <c r="T1176" s="3">
        <f>(Таблица1[Срок с последнего нарушения кредитного договора (мес,)]-$AA$12)/($AA$13-$AA$12)</f>
        <v>0.40074137090909095</v>
      </c>
      <c r="U1176" s="3">
        <f>(Таблица1[Количество кредитных карт]-$AA$18)/($AA$19-$AA$18)</f>
        <v>9.5238095238095233E-2</v>
      </c>
      <c r="V1176" s="3">
        <f>(Таблица1[Число нарушений кредитных договоров]-$AA$23)/($AA$24-$AA$23)</f>
        <v>0</v>
      </c>
      <c r="W1176" s="3">
        <f>Таблица1[[#This Row],[Годовой доход]]/12</f>
        <v>135340.16666666666</v>
      </c>
      <c r="X1176" s="3">
        <f>Таблица1[[#This Row],[Ежемесячный платеж]]/Таблица1[[#This Row],[Ежем доход]]</f>
        <v>2.6900956971384452E-2</v>
      </c>
      <c r="Y1176" s="3"/>
      <c r="Z1176" s="3"/>
      <c r="AA1176" s="3"/>
      <c r="AB1176" s="3"/>
    </row>
    <row r="1177" spans="1:28" x14ac:dyDescent="0.2">
      <c r="A1177">
        <v>498</v>
      </c>
      <c r="B1177" t="s">
        <v>539</v>
      </c>
      <c r="C1177" t="s">
        <v>35</v>
      </c>
      <c r="D1177" t="s">
        <v>19</v>
      </c>
      <c r="E1177" t="s">
        <v>24</v>
      </c>
      <c r="F1177" t="s">
        <v>21</v>
      </c>
      <c r="G1177" t="s">
        <v>25</v>
      </c>
      <c r="H1177" s="1">
        <v>221320</v>
      </c>
      <c r="I1177" s="3">
        <v>740</v>
      </c>
      <c r="J1177" s="3">
        <v>860130</v>
      </c>
      <c r="K1177" s="3">
        <v>5390.11</v>
      </c>
      <c r="L1177" s="2">
        <v>14</v>
      </c>
      <c r="M1177" s="11">
        <v>21</v>
      </c>
      <c r="N1177" s="3">
        <v>11</v>
      </c>
      <c r="O1177" s="3">
        <v>117952</v>
      </c>
      <c r="P1177" s="3">
        <v>378334</v>
      </c>
      <c r="Q1177" s="10">
        <v>1</v>
      </c>
      <c r="R1177" s="3">
        <f>(Таблица1[Размер кредита]-$AA$2)/$AA$3</f>
        <v>-0.50257166410475662</v>
      </c>
      <c r="S1177" s="3">
        <f>(Таблица1[Кредитный рейтинг]-$AA$7)/($AA$8-$AA$7)</f>
        <v>0.98535286284953394</v>
      </c>
      <c r="T1177" s="3">
        <f>(Таблица1[Срок с последнего нарушения кредитного договора (мес,)]-$AA$12)/($AA$13-$AA$12)</f>
        <v>0.23863636363636365</v>
      </c>
      <c r="U1177" s="3">
        <f>(Таблица1[Количество кредитных карт]-$AA$18)/($AA$19-$AA$18)</f>
        <v>0.23809523809523808</v>
      </c>
      <c r="V1177" s="3">
        <f>(Таблица1[Число нарушений кредитных договоров]-$AA$23)/($AA$24-$AA$23)</f>
        <v>0.14285714285714285</v>
      </c>
      <c r="W1177" s="3">
        <f>Таблица1[[#This Row],[Годовой доход]]/12</f>
        <v>71677.5</v>
      </c>
      <c r="X1177" s="3">
        <f>Таблица1[[#This Row],[Ежемесячный платеж]]/Таблица1[[#This Row],[Ежем доход]]</f>
        <v>7.5199469847581177E-2</v>
      </c>
      <c r="Y1177" s="3"/>
      <c r="Z1177" s="3"/>
      <c r="AA1177" s="3"/>
      <c r="AB1177" s="3"/>
    </row>
    <row r="1178" spans="1:28" x14ac:dyDescent="0.2">
      <c r="A1178">
        <v>1457</v>
      </c>
      <c r="B1178" t="s">
        <v>1496</v>
      </c>
      <c r="C1178" t="s">
        <v>18</v>
      </c>
      <c r="D1178" t="s">
        <v>29</v>
      </c>
      <c r="E1178" t="s">
        <v>41</v>
      </c>
      <c r="F1178" t="s">
        <v>21</v>
      </c>
      <c r="G1178" t="s">
        <v>25</v>
      </c>
      <c r="H1178" s="1">
        <v>432168</v>
      </c>
      <c r="I1178" s="3">
        <v>714</v>
      </c>
      <c r="J1178" s="3">
        <v>2090114</v>
      </c>
      <c r="K1178" s="3">
        <v>18114.41</v>
      </c>
      <c r="L1178" s="2">
        <v>18.7</v>
      </c>
      <c r="M1178" s="11">
        <v>18</v>
      </c>
      <c r="N1178" s="3">
        <v>10</v>
      </c>
      <c r="O1178" s="3">
        <v>154508</v>
      </c>
      <c r="P1178" s="3">
        <v>378202</v>
      </c>
      <c r="Q1178" s="10">
        <v>0</v>
      </c>
      <c r="R1178" s="3">
        <f>(Таблица1[Размер кредита]-$AA$2)/$AA$3</f>
        <v>0.69784522771359392</v>
      </c>
      <c r="S1178" s="3">
        <f>(Таблица1[Кредитный рейтинг]-$AA$7)/($AA$8-$AA$7)</f>
        <v>0.95073235685752333</v>
      </c>
      <c r="T1178" s="3">
        <f>(Таблица1[Срок с последнего нарушения кредитного договора (мес,)]-$AA$12)/($AA$13-$AA$12)</f>
        <v>0.20454545454545456</v>
      </c>
      <c r="U1178" s="3">
        <f>(Таблица1[Количество кредитных карт]-$AA$18)/($AA$19-$AA$18)</f>
        <v>0.21428571428571427</v>
      </c>
      <c r="V1178" s="3">
        <f>(Таблица1[Число нарушений кредитных договоров]-$AA$23)/($AA$24-$AA$23)</f>
        <v>0</v>
      </c>
      <c r="W1178" s="3">
        <f>Таблица1[[#This Row],[Годовой доход]]/12</f>
        <v>174176.16666666666</v>
      </c>
      <c r="X1178" s="3">
        <f>Таблица1[[#This Row],[Ежемесячный платеж]]/Таблица1[[#This Row],[Ежем доход]]</f>
        <v>0.10400050906314201</v>
      </c>
      <c r="Y1178" s="3"/>
      <c r="Z1178" s="3"/>
      <c r="AA1178" s="3"/>
      <c r="AB1178" s="3"/>
    </row>
    <row r="1179" spans="1:28" x14ac:dyDescent="0.2">
      <c r="A1179">
        <v>1498</v>
      </c>
      <c r="B1179" t="s">
        <v>1537</v>
      </c>
      <c r="C1179" t="s">
        <v>18</v>
      </c>
      <c r="D1179" t="s">
        <v>29</v>
      </c>
      <c r="E1179" t="s">
        <v>24</v>
      </c>
      <c r="F1179" t="s">
        <v>21</v>
      </c>
      <c r="G1179" t="s">
        <v>25</v>
      </c>
      <c r="H1179" s="1">
        <v>355454</v>
      </c>
      <c r="I1179" s="3">
        <v>0</v>
      </c>
      <c r="J1179" s="3">
        <v>1168044</v>
      </c>
      <c r="K1179" s="3">
        <v>24123.35</v>
      </c>
      <c r="L1179" s="2">
        <v>13.9</v>
      </c>
      <c r="M1179" s="11">
        <v>35.265240640000002</v>
      </c>
      <c r="N1179" s="3">
        <v>21</v>
      </c>
      <c r="O1179" s="3">
        <v>263663</v>
      </c>
      <c r="P1179" s="3">
        <v>377828</v>
      </c>
      <c r="Q1179" s="10">
        <v>0</v>
      </c>
      <c r="R1179" s="3">
        <f>(Таблица1[Размер кредита]-$AA$2)/$AA$3</f>
        <v>0.26109087652718027</v>
      </c>
      <c r="S1179" s="3">
        <f>(Таблица1[Кредитный рейтинг]-$AA$7)/($AA$8-$AA$7)</f>
        <v>0</v>
      </c>
      <c r="T1179" s="3">
        <f>(Таблица1[Срок с последнего нарушения кредитного договора (мес,)]-$AA$12)/($AA$13-$AA$12)</f>
        <v>0.40074137090909095</v>
      </c>
      <c r="U1179" s="3">
        <f>(Таблица1[Количество кредитных карт]-$AA$18)/($AA$19-$AA$18)</f>
        <v>0.47619047619047616</v>
      </c>
      <c r="V1179" s="3">
        <f>(Таблица1[Число нарушений кредитных договоров]-$AA$23)/($AA$24-$AA$23)</f>
        <v>0</v>
      </c>
      <c r="W1179" s="3">
        <f>Таблица1[[#This Row],[Годовой доход]]/12</f>
        <v>97337</v>
      </c>
      <c r="X1179" s="3">
        <f>Таблица1[[#This Row],[Ежемесячный платеж]]/Таблица1[[#This Row],[Ежем доход]]</f>
        <v>0.2478333008003123</v>
      </c>
      <c r="Y1179" s="3"/>
      <c r="Z1179" s="3"/>
      <c r="AA1179" s="3"/>
      <c r="AB1179" s="3"/>
    </row>
    <row r="1180" spans="1:28" x14ac:dyDescent="0.2">
      <c r="A1180">
        <v>1621</v>
      </c>
      <c r="B1180" t="s">
        <v>1660</v>
      </c>
      <c r="C1180" t="s">
        <v>18</v>
      </c>
      <c r="D1180" t="s">
        <v>19</v>
      </c>
      <c r="E1180" t="s">
        <v>37</v>
      </c>
      <c r="F1180" t="s">
        <v>33</v>
      </c>
      <c r="G1180" t="s">
        <v>25</v>
      </c>
      <c r="H1180" s="1">
        <v>143352</v>
      </c>
      <c r="I1180" s="3">
        <v>699</v>
      </c>
      <c r="J1180" s="3">
        <v>671783</v>
      </c>
      <c r="K1180" s="3">
        <v>11868.16</v>
      </c>
      <c r="L1180" s="2">
        <v>9.9</v>
      </c>
      <c r="M1180" s="11">
        <v>35.265240640000002</v>
      </c>
      <c r="N1180" s="3">
        <v>7</v>
      </c>
      <c r="O1180" s="3">
        <v>236531</v>
      </c>
      <c r="P1180" s="3">
        <v>377740</v>
      </c>
      <c r="Q1180" s="10">
        <v>0</v>
      </c>
      <c r="R1180" s="3">
        <f>(Таблица1[Размер кредита]-$AA$2)/$AA$3</f>
        <v>-0.94646538954342885</v>
      </c>
      <c r="S1180" s="3">
        <f>(Таблица1[Кредитный рейтинг]-$AA$7)/($AA$8-$AA$7)</f>
        <v>0.93075898801597867</v>
      </c>
      <c r="T1180" s="3">
        <f>(Таблица1[Срок с последнего нарушения кредитного договора (мес,)]-$AA$12)/($AA$13-$AA$12)</f>
        <v>0.40074137090909095</v>
      </c>
      <c r="U1180" s="3">
        <f>(Таблица1[Количество кредитных карт]-$AA$18)/($AA$19-$AA$18)</f>
        <v>0.14285714285714285</v>
      </c>
      <c r="V1180" s="3">
        <f>(Таблица1[Число нарушений кредитных договоров]-$AA$23)/($AA$24-$AA$23)</f>
        <v>0</v>
      </c>
      <c r="W1180" s="3">
        <f>Таблица1[[#This Row],[Годовой доход]]/12</f>
        <v>55981.916666666664</v>
      </c>
      <c r="X1180" s="3">
        <f>Таблица1[[#This Row],[Ежемесячный платеж]]/Таблица1[[#This Row],[Ежем доход]]</f>
        <v>0.21199988686822976</v>
      </c>
      <c r="Y1180" s="3"/>
      <c r="Z1180" s="3"/>
      <c r="AA1180" s="3"/>
      <c r="AB1180" s="3"/>
    </row>
    <row r="1181" spans="1:28" x14ac:dyDescent="0.2">
      <c r="A1181">
        <v>288</v>
      </c>
      <c r="B1181" t="s">
        <v>330</v>
      </c>
      <c r="C1181" t="s">
        <v>18</v>
      </c>
      <c r="D1181" t="s">
        <v>19</v>
      </c>
      <c r="E1181" t="s">
        <v>32</v>
      </c>
      <c r="F1181" t="s">
        <v>33</v>
      </c>
      <c r="G1181" t="s">
        <v>25</v>
      </c>
      <c r="H1181" s="1">
        <v>110902</v>
      </c>
      <c r="I1181" s="3">
        <v>697</v>
      </c>
      <c r="J1181" s="3">
        <v>2202917</v>
      </c>
      <c r="K1181" s="3">
        <v>30290.18</v>
      </c>
      <c r="L1181" s="2">
        <v>11.5</v>
      </c>
      <c r="M1181" s="11">
        <v>35.265240640000002</v>
      </c>
      <c r="N1181" s="3">
        <v>20</v>
      </c>
      <c r="O1181" s="3">
        <v>104291</v>
      </c>
      <c r="P1181" s="3">
        <v>377366</v>
      </c>
      <c r="Q1181" s="10">
        <v>0</v>
      </c>
      <c r="R1181" s="3">
        <f>(Таблица1[Размер кредита]-$AA$2)/$AA$3</f>
        <v>-1.1312123548431021</v>
      </c>
      <c r="S1181" s="3">
        <f>(Таблица1[Кредитный рейтинг]-$AA$7)/($AA$8-$AA$7)</f>
        <v>0.92809587217043943</v>
      </c>
      <c r="T1181" s="3">
        <f>(Таблица1[Срок с последнего нарушения кредитного договора (мес,)]-$AA$12)/($AA$13-$AA$12)</f>
        <v>0.40074137090909095</v>
      </c>
      <c r="U1181" s="3">
        <f>(Таблица1[Количество кредитных карт]-$AA$18)/($AA$19-$AA$18)</f>
        <v>0.45238095238095238</v>
      </c>
      <c r="V1181" s="3">
        <f>(Таблица1[Число нарушений кредитных договоров]-$AA$23)/($AA$24-$AA$23)</f>
        <v>0</v>
      </c>
      <c r="W1181" s="3">
        <f>Таблица1[[#This Row],[Годовой доход]]/12</f>
        <v>183576.41666666666</v>
      </c>
      <c r="X1181" s="3">
        <f>Таблица1[[#This Row],[Ежемесячный платеж]]/Таблица1[[#This Row],[Ежем доход]]</f>
        <v>0.1650003881217495</v>
      </c>
      <c r="Y1181" s="3"/>
      <c r="Z1181" s="3"/>
      <c r="AA1181" s="3"/>
      <c r="AB1181" s="3"/>
    </row>
    <row r="1182" spans="1:28" x14ac:dyDescent="0.2">
      <c r="A1182">
        <v>1660</v>
      </c>
      <c r="B1182" t="s">
        <v>1698</v>
      </c>
      <c r="C1182" t="s">
        <v>18</v>
      </c>
      <c r="D1182" t="s">
        <v>19</v>
      </c>
      <c r="E1182" t="s">
        <v>24</v>
      </c>
      <c r="F1182" t="s">
        <v>21</v>
      </c>
      <c r="G1182" t="s">
        <v>25</v>
      </c>
      <c r="H1182" s="1">
        <v>218020</v>
      </c>
      <c r="I1182" s="3">
        <v>737</v>
      </c>
      <c r="J1182" s="3">
        <v>860491</v>
      </c>
      <c r="K1182" s="3">
        <v>6403.38</v>
      </c>
      <c r="L1182" s="2">
        <v>24.9</v>
      </c>
      <c r="M1182" s="11">
        <v>78</v>
      </c>
      <c r="N1182" s="3">
        <v>11</v>
      </c>
      <c r="O1182" s="3">
        <v>140125</v>
      </c>
      <c r="P1182" s="3">
        <v>377322</v>
      </c>
      <c r="Q1182" s="10">
        <v>1</v>
      </c>
      <c r="R1182" s="3">
        <f>(Таблица1[Размер кредита]-$AA$2)/$AA$3</f>
        <v>-0.5213594910843844</v>
      </c>
      <c r="S1182" s="3">
        <f>(Таблица1[Кредитный рейтинг]-$AA$7)/($AA$8-$AA$7)</f>
        <v>0.98135818908122507</v>
      </c>
      <c r="T1182" s="3">
        <f>(Таблица1[Срок с последнего нарушения кредитного договора (мес,)]-$AA$12)/($AA$13-$AA$12)</f>
        <v>0.88636363636363635</v>
      </c>
      <c r="U1182" s="3">
        <f>(Таблица1[Количество кредитных карт]-$AA$18)/($AA$19-$AA$18)</f>
        <v>0.23809523809523808</v>
      </c>
      <c r="V1182" s="3">
        <f>(Таблица1[Число нарушений кредитных договоров]-$AA$23)/($AA$24-$AA$23)</f>
        <v>0.14285714285714285</v>
      </c>
      <c r="W1182" s="3">
        <f>Таблица1[[#This Row],[Годовой доход]]/12</f>
        <v>71707.583333333328</v>
      </c>
      <c r="X1182" s="3">
        <f>Таблица1[[#This Row],[Ежемесячный платеж]]/Таблица1[[#This Row],[Ежем доход]]</f>
        <v>8.929850515577735E-2</v>
      </c>
      <c r="Y1182" s="3"/>
      <c r="Z1182" s="3"/>
      <c r="AA1182" s="3"/>
      <c r="AB1182" s="3"/>
    </row>
    <row r="1183" spans="1:28" x14ac:dyDescent="0.2">
      <c r="A1183">
        <v>388</v>
      </c>
      <c r="B1183" t="s">
        <v>430</v>
      </c>
      <c r="C1183" t="s">
        <v>18</v>
      </c>
      <c r="D1183" t="s">
        <v>29</v>
      </c>
      <c r="E1183" t="s">
        <v>30</v>
      </c>
      <c r="F1183" t="s">
        <v>33</v>
      </c>
      <c r="G1183" t="s">
        <v>25</v>
      </c>
      <c r="H1183" s="1">
        <v>380622</v>
      </c>
      <c r="I1183" s="3">
        <v>657</v>
      </c>
      <c r="J1183" s="3">
        <v>969665</v>
      </c>
      <c r="K1183" s="3">
        <v>26665.74</v>
      </c>
      <c r="L1183" s="2">
        <v>10.6</v>
      </c>
      <c r="M1183" s="11">
        <v>35.265240640000002</v>
      </c>
      <c r="N1183" s="3">
        <v>5</v>
      </c>
      <c r="O1183" s="3">
        <v>305482</v>
      </c>
      <c r="P1183" s="3">
        <v>377102</v>
      </c>
      <c r="Q1183" s="10">
        <v>0</v>
      </c>
      <c r="R1183" s="3">
        <f>(Таблица1[Размер кредита]-$AA$2)/$AA$3</f>
        <v>0.40437937029180809</v>
      </c>
      <c r="S1183" s="3">
        <f>(Таблица1[Кредитный рейтинг]-$AA$7)/($AA$8-$AA$7)</f>
        <v>0.87483355525965378</v>
      </c>
      <c r="T1183" s="3">
        <f>(Таблица1[Срок с последнего нарушения кредитного договора (мес,)]-$AA$12)/($AA$13-$AA$12)</f>
        <v>0.40074137090909095</v>
      </c>
      <c r="U1183" s="3">
        <f>(Таблица1[Количество кредитных карт]-$AA$18)/($AA$19-$AA$18)</f>
        <v>9.5238095238095233E-2</v>
      </c>
      <c r="V1183" s="3">
        <f>(Таблица1[Число нарушений кредитных договоров]-$AA$23)/($AA$24-$AA$23)</f>
        <v>0</v>
      </c>
      <c r="W1183" s="3">
        <f>Таблица1[[#This Row],[Годовой доход]]/12</f>
        <v>80805.416666666672</v>
      </c>
      <c r="X1183" s="3">
        <f>Таблица1[[#This Row],[Ежемесячный платеж]]/Таблица1[[#This Row],[Ежем доход]]</f>
        <v>0.3299994121681199</v>
      </c>
      <c r="Y1183" s="3"/>
      <c r="Z1183" s="3"/>
      <c r="AA1183" s="3"/>
      <c r="AB1183" s="3"/>
    </row>
    <row r="1184" spans="1:28" x14ac:dyDescent="0.2">
      <c r="A1184">
        <v>955</v>
      </c>
      <c r="B1184" s="4" t="s">
        <v>996</v>
      </c>
      <c r="C1184" t="s">
        <v>18</v>
      </c>
      <c r="D1184" t="s">
        <v>19</v>
      </c>
      <c r="E1184" t="s">
        <v>41</v>
      </c>
      <c r="F1184" t="s">
        <v>21</v>
      </c>
      <c r="G1184" t="s">
        <v>25</v>
      </c>
      <c r="H1184" s="1">
        <v>309594.52439999999</v>
      </c>
      <c r="I1184" s="3">
        <v>749</v>
      </c>
      <c r="J1184" s="3">
        <v>677635</v>
      </c>
      <c r="K1184" s="3">
        <v>16302.95</v>
      </c>
      <c r="L1184" s="2">
        <v>20.100000000000001</v>
      </c>
      <c r="M1184" s="11">
        <v>35.265240640000002</v>
      </c>
      <c r="N1184" s="3">
        <v>8</v>
      </c>
      <c r="O1184" s="3">
        <v>205428</v>
      </c>
      <c r="P1184" s="3">
        <v>376948</v>
      </c>
      <c r="Q1184" s="10">
        <v>0</v>
      </c>
      <c r="R1184" s="3">
        <f>(Таблица1[Размер кредита]-$AA$2)/$AA$3</f>
        <v>-1.2411115481956205E-10</v>
      </c>
      <c r="S1184" s="3">
        <f>(Таблица1[Кредитный рейтинг]-$AA$7)/($AA$8-$AA$7)</f>
        <v>0.99733688415446076</v>
      </c>
      <c r="T1184" s="3">
        <f>(Таблица1[Срок с последнего нарушения кредитного договора (мес,)]-$AA$12)/($AA$13-$AA$12)</f>
        <v>0.40074137090909095</v>
      </c>
      <c r="U1184" s="3">
        <f>(Таблица1[Количество кредитных карт]-$AA$18)/($AA$19-$AA$18)</f>
        <v>0.16666666666666666</v>
      </c>
      <c r="V1184" s="3">
        <f>(Таблица1[Число нарушений кредитных договоров]-$AA$23)/($AA$24-$AA$23)</f>
        <v>0</v>
      </c>
      <c r="W1184" s="3">
        <f>Таблица1[[#This Row],[Годовой доход]]/12</f>
        <v>56469.583333333336</v>
      </c>
      <c r="X1184" s="3">
        <f>Таблица1[[#This Row],[Ежемесячный платеж]]/Таблица1[[#This Row],[Ежем доход]]</f>
        <v>0.28870321043039393</v>
      </c>
      <c r="Y1184" s="3"/>
      <c r="Z1184" s="3"/>
      <c r="AA1184" s="3"/>
      <c r="AB1184" s="3"/>
    </row>
    <row r="1185" spans="1:28" x14ac:dyDescent="0.2">
      <c r="A1185">
        <v>1060</v>
      </c>
      <c r="B1185" t="s">
        <v>1099</v>
      </c>
      <c r="C1185" t="s">
        <v>18</v>
      </c>
      <c r="D1185" t="s">
        <v>29</v>
      </c>
      <c r="E1185" t="s">
        <v>41</v>
      </c>
      <c r="F1185" t="s">
        <v>33</v>
      </c>
      <c r="G1185" t="s">
        <v>25</v>
      </c>
      <c r="H1185" s="1">
        <v>403810</v>
      </c>
      <c r="I1185" s="3">
        <v>674</v>
      </c>
      <c r="J1185" s="3">
        <v>1375581</v>
      </c>
      <c r="K1185" s="3">
        <v>13182.58</v>
      </c>
      <c r="L1185" s="2">
        <v>28.4</v>
      </c>
      <c r="M1185" s="11">
        <v>6</v>
      </c>
      <c r="N1185" s="3">
        <v>9</v>
      </c>
      <c r="O1185" s="3">
        <v>215422</v>
      </c>
      <c r="P1185" s="3">
        <v>376794</v>
      </c>
      <c r="Q1185" s="10">
        <v>0</v>
      </c>
      <c r="R1185" s="3">
        <f>(Таблица1[Размер кредита]-$AA$2)/$AA$3</f>
        <v>0.53639516786865926</v>
      </c>
      <c r="S1185" s="3">
        <f>(Таблица1[Кредитный рейтинг]-$AA$7)/($AA$8-$AA$7)</f>
        <v>0.89747003994673769</v>
      </c>
      <c r="T1185" s="3">
        <f>(Таблица1[Срок с последнего нарушения кредитного договора (мес,)]-$AA$12)/($AA$13-$AA$12)</f>
        <v>6.8181818181818177E-2</v>
      </c>
      <c r="U1185" s="3">
        <f>(Таблица1[Количество кредитных карт]-$AA$18)/($AA$19-$AA$18)</f>
        <v>0.19047619047619047</v>
      </c>
      <c r="V1185" s="3">
        <f>(Таблица1[Число нарушений кредитных договоров]-$AA$23)/($AA$24-$AA$23)</f>
        <v>0</v>
      </c>
      <c r="W1185" s="3">
        <f>Таблица1[[#This Row],[Годовой доход]]/12</f>
        <v>114631.75</v>
      </c>
      <c r="X1185" s="3">
        <f>Таблица1[[#This Row],[Ежемесячный платеж]]/Таблица1[[#This Row],[Ежем доход]]</f>
        <v>0.11499937844445365</v>
      </c>
      <c r="Y1185" s="3"/>
      <c r="Z1185" s="3"/>
      <c r="AA1185" s="3"/>
      <c r="AB1185" s="3"/>
    </row>
    <row r="1186" spans="1:28" x14ac:dyDescent="0.2">
      <c r="A1186">
        <v>460</v>
      </c>
      <c r="B1186" t="s">
        <v>501</v>
      </c>
      <c r="C1186" t="s">
        <v>18</v>
      </c>
      <c r="D1186" t="s">
        <v>19</v>
      </c>
      <c r="E1186" t="s">
        <v>63</v>
      </c>
      <c r="F1186" t="s">
        <v>33</v>
      </c>
      <c r="G1186" t="s">
        <v>25</v>
      </c>
      <c r="H1186" s="1">
        <v>309594.52439999999</v>
      </c>
      <c r="I1186" s="3">
        <v>745</v>
      </c>
      <c r="J1186" s="3">
        <v>665608</v>
      </c>
      <c r="K1186" s="3">
        <v>14754.07</v>
      </c>
      <c r="L1186" s="2">
        <v>15.5</v>
      </c>
      <c r="M1186" s="11">
        <v>55</v>
      </c>
      <c r="N1186" s="3">
        <v>5</v>
      </c>
      <c r="O1186" s="3">
        <v>231553</v>
      </c>
      <c r="P1186" s="3">
        <v>376552</v>
      </c>
      <c r="Q1186" s="10">
        <v>0</v>
      </c>
      <c r="R1186" s="3">
        <f>(Таблица1[Размер кредита]-$AA$2)/$AA$3</f>
        <v>-1.2411115481956205E-10</v>
      </c>
      <c r="S1186" s="3">
        <f>(Таблица1[Кредитный рейтинг]-$AA$7)/($AA$8-$AA$7)</f>
        <v>0.99201065246338216</v>
      </c>
      <c r="T1186" s="3">
        <f>(Таблица1[Срок с последнего нарушения кредитного договора (мес,)]-$AA$12)/($AA$13-$AA$12)</f>
        <v>0.625</v>
      </c>
      <c r="U1186" s="3">
        <f>(Таблица1[Количество кредитных карт]-$AA$18)/($AA$19-$AA$18)</f>
        <v>9.5238095238095233E-2</v>
      </c>
      <c r="V1186" s="3">
        <f>(Таблица1[Число нарушений кредитных договоров]-$AA$23)/($AA$24-$AA$23)</f>
        <v>0</v>
      </c>
      <c r="W1186" s="3">
        <f>Таблица1[[#This Row],[Годовой доход]]/12</f>
        <v>55467.333333333336</v>
      </c>
      <c r="X1186" s="3">
        <f>Таблица1[[#This Row],[Ежемесячный платеж]]/Таблица1[[#This Row],[Ежем доход]]</f>
        <v>0.26599566110984241</v>
      </c>
      <c r="Y1186" s="3"/>
      <c r="Z1186" s="3"/>
      <c r="AA1186" s="3"/>
      <c r="AB1186" s="3"/>
    </row>
    <row r="1187" spans="1:28" x14ac:dyDescent="0.2">
      <c r="A1187">
        <v>889</v>
      </c>
      <c r="B1187" t="s">
        <v>930</v>
      </c>
      <c r="C1187" t="s">
        <v>18</v>
      </c>
      <c r="D1187" t="s">
        <v>29</v>
      </c>
      <c r="E1187" t="s">
        <v>47</v>
      </c>
      <c r="F1187" t="s">
        <v>21</v>
      </c>
      <c r="G1187" t="s">
        <v>25</v>
      </c>
      <c r="H1187" s="1">
        <v>303688</v>
      </c>
      <c r="I1187" s="3">
        <v>703</v>
      </c>
      <c r="J1187" s="3">
        <v>950285</v>
      </c>
      <c r="K1187" s="3">
        <v>14016.68</v>
      </c>
      <c r="L1187" s="2">
        <v>19</v>
      </c>
      <c r="M1187" s="11">
        <v>38</v>
      </c>
      <c r="N1187" s="3">
        <v>19</v>
      </c>
      <c r="O1187" s="3">
        <v>58520</v>
      </c>
      <c r="P1187" s="3">
        <v>376442</v>
      </c>
      <c r="Q1187" s="10">
        <v>1</v>
      </c>
      <c r="R1187" s="3">
        <f>(Таблица1[Размер кредита]-$AA$2)/$AA$3</f>
        <v>-3.3627502693247414E-2</v>
      </c>
      <c r="S1187" s="3">
        <f>(Таблица1[Кредитный рейтинг]-$AA$7)/($AA$8-$AA$7)</f>
        <v>0.93608521970705727</v>
      </c>
      <c r="T1187" s="3">
        <f>(Таблица1[Срок с последнего нарушения кредитного договора (мес,)]-$AA$12)/($AA$13-$AA$12)</f>
        <v>0.43181818181818182</v>
      </c>
      <c r="U1187" s="3">
        <f>(Таблица1[Количество кредитных карт]-$AA$18)/($AA$19-$AA$18)</f>
        <v>0.42857142857142855</v>
      </c>
      <c r="V1187" s="3">
        <f>(Таблица1[Число нарушений кредитных договоров]-$AA$23)/($AA$24-$AA$23)</f>
        <v>0.14285714285714285</v>
      </c>
      <c r="W1187" s="3">
        <f>Таблица1[[#This Row],[Годовой доход]]/12</f>
        <v>79190.416666666672</v>
      </c>
      <c r="X1187" s="3">
        <f>Таблица1[[#This Row],[Ежемесячный платеж]]/Таблица1[[#This Row],[Ежем доход]]</f>
        <v>0.17699970008997301</v>
      </c>
      <c r="Y1187" s="3"/>
      <c r="Z1187" s="3"/>
      <c r="AA1187" s="3"/>
      <c r="AB1187" s="3"/>
    </row>
    <row r="1188" spans="1:28" x14ac:dyDescent="0.2">
      <c r="A1188">
        <v>1786</v>
      </c>
      <c r="B1188" t="s">
        <v>1824</v>
      </c>
      <c r="C1188" t="s">
        <v>18</v>
      </c>
      <c r="D1188" t="s">
        <v>19</v>
      </c>
      <c r="E1188" t="s">
        <v>41</v>
      </c>
      <c r="F1188" t="s">
        <v>33</v>
      </c>
      <c r="G1188" t="s">
        <v>22</v>
      </c>
      <c r="H1188" s="1">
        <v>309594.52439999999</v>
      </c>
      <c r="I1188" s="3">
        <v>721</v>
      </c>
      <c r="J1188" s="3">
        <v>2344429</v>
      </c>
      <c r="K1188" s="3">
        <v>13597.73</v>
      </c>
      <c r="L1188" s="2">
        <v>13.2</v>
      </c>
      <c r="M1188" s="11">
        <v>21</v>
      </c>
      <c r="N1188" s="3">
        <v>10</v>
      </c>
      <c r="O1188" s="3">
        <v>234213</v>
      </c>
      <c r="P1188" s="3">
        <v>376134</v>
      </c>
      <c r="Q1188" s="10">
        <v>0</v>
      </c>
      <c r="R1188" s="3">
        <f>(Таблица1[Размер кредита]-$AA$2)/$AA$3</f>
        <v>-1.2411115481956205E-10</v>
      </c>
      <c r="S1188" s="3">
        <f>(Таблица1[Кредитный рейтинг]-$AA$7)/($AA$8-$AA$7)</f>
        <v>0.96005326231691079</v>
      </c>
      <c r="T1188" s="3">
        <f>(Таблица1[Срок с последнего нарушения кредитного договора (мес,)]-$AA$12)/($AA$13-$AA$12)</f>
        <v>0.23863636363636365</v>
      </c>
      <c r="U1188" s="3">
        <f>(Таблица1[Количество кредитных карт]-$AA$18)/($AA$19-$AA$18)</f>
        <v>0.21428571428571427</v>
      </c>
      <c r="V1188" s="3">
        <f>(Таблица1[Число нарушений кредитных договоров]-$AA$23)/($AA$24-$AA$23)</f>
        <v>0</v>
      </c>
      <c r="W1188" s="3">
        <f>Таблица1[[#This Row],[Годовой доход]]/12</f>
        <v>195369.08333333334</v>
      </c>
      <c r="X1188" s="3">
        <f>Таблица1[[#This Row],[Ежемесячный платеж]]/Таблица1[[#This Row],[Ежем доход]]</f>
        <v>6.9600213954016096E-2</v>
      </c>
      <c r="Y1188" s="3"/>
      <c r="Z1188" s="3"/>
      <c r="AA1188" s="3"/>
      <c r="AB1188" s="3"/>
    </row>
    <row r="1189" spans="1:28" x14ac:dyDescent="0.2">
      <c r="A1189">
        <v>1996</v>
      </c>
      <c r="B1189" t="s">
        <v>2032</v>
      </c>
      <c r="C1189" t="s">
        <v>35</v>
      </c>
      <c r="D1189" t="s">
        <v>19</v>
      </c>
      <c r="E1189" t="s">
        <v>63</v>
      </c>
      <c r="F1189" t="s">
        <v>33</v>
      </c>
      <c r="G1189" t="s">
        <v>70</v>
      </c>
      <c r="H1189" s="1">
        <v>553080</v>
      </c>
      <c r="I1189" s="3">
        <v>740</v>
      </c>
      <c r="J1189" s="3">
        <v>1910640</v>
      </c>
      <c r="K1189" s="3">
        <v>2499.64</v>
      </c>
      <c r="L1189" s="2">
        <v>26</v>
      </c>
      <c r="M1189" s="11">
        <v>28</v>
      </c>
      <c r="N1189" s="3">
        <v>9</v>
      </c>
      <c r="O1189" s="3">
        <v>323</v>
      </c>
      <c r="P1189" s="3">
        <v>376090</v>
      </c>
      <c r="Q1189" s="10">
        <v>0</v>
      </c>
      <c r="R1189" s="3">
        <f>(Таблица1[Размер кредита]-$AA$2)/$AA$3</f>
        <v>1.3862312082471555</v>
      </c>
      <c r="S1189" s="3">
        <f>(Таблица1[Кредитный рейтинг]-$AA$7)/($AA$8-$AA$7)</f>
        <v>0.98535286284953394</v>
      </c>
      <c r="T1189" s="3">
        <f>(Таблица1[Срок с последнего нарушения кредитного договора (мес,)]-$AA$12)/($AA$13-$AA$12)</f>
        <v>0.31818181818181818</v>
      </c>
      <c r="U1189" s="3">
        <f>(Таблица1[Количество кредитных карт]-$AA$18)/($AA$19-$AA$18)</f>
        <v>0.19047619047619047</v>
      </c>
      <c r="V1189" s="3">
        <f>(Таблица1[Число нарушений кредитных договоров]-$AA$23)/($AA$24-$AA$23)</f>
        <v>0</v>
      </c>
      <c r="W1189" s="3">
        <f>Таблица1[[#This Row],[Годовой доход]]/12</f>
        <v>159220</v>
      </c>
      <c r="X1189" s="3">
        <f>Таблица1[[#This Row],[Ежемесячный платеж]]/Таблица1[[#This Row],[Ежем доход]]</f>
        <v>1.5699284009546538E-2</v>
      </c>
      <c r="Y1189" s="3"/>
      <c r="Z1189" s="3"/>
      <c r="AA1189" s="3"/>
      <c r="AB1189" s="3"/>
    </row>
    <row r="1190" spans="1:28" x14ac:dyDescent="0.2">
      <c r="A1190">
        <v>1470</v>
      </c>
      <c r="B1190" t="s">
        <v>1509</v>
      </c>
      <c r="C1190" t="s">
        <v>18</v>
      </c>
      <c r="D1190" t="s">
        <v>19</v>
      </c>
      <c r="E1190" t="s">
        <v>24</v>
      </c>
      <c r="F1190" t="s">
        <v>21</v>
      </c>
      <c r="G1190" t="s">
        <v>22</v>
      </c>
      <c r="H1190" s="1">
        <v>309594.52439999999</v>
      </c>
      <c r="I1190" s="3">
        <v>718</v>
      </c>
      <c r="J1190" s="3">
        <v>853898</v>
      </c>
      <c r="K1190" s="3">
        <v>12381.35</v>
      </c>
      <c r="L1190" s="2">
        <v>13.4</v>
      </c>
      <c r="M1190" s="11">
        <v>35.265240640000002</v>
      </c>
      <c r="N1190" s="3">
        <v>10</v>
      </c>
      <c r="O1190" s="3">
        <v>122227</v>
      </c>
      <c r="P1190" s="3">
        <v>375408</v>
      </c>
      <c r="Q1190" s="10">
        <v>1</v>
      </c>
      <c r="R1190" s="3">
        <f>(Таблица1[Размер кредита]-$AA$2)/$AA$3</f>
        <v>-1.2411115481956205E-10</v>
      </c>
      <c r="S1190" s="3">
        <f>(Таблица1[Кредитный рейтинг]-$AA$7)/($AA$8-$AA$7)</f>
        <v>0.95605858854860182</v>
      </c>
      <c r="T1190" s="3">
        <f>(Таблица1[Срок с последнего нарушения кредитного договора (мес,)]-$AA$12)/($AA$13-$AA$12)</f>
        <v>0.40074137090909095</v>
      </c>
      <c r="U1190" s="3">
        <f>(Таблица1[Количество кредитных карт]-$AA$18)/($AA$19-$AA$18)</f>
        <v>0.21428571428571427</v>
      </c>
      <c r="V1190" s="3">
        <f>(Таблица1[Число нарушений кредитных договоров]-$AA$23)/($AA$24-$AA$23)</f>
        <v>0.14285714285714285</v>
      </c>
      <c r="W1190" s="3">
        <f>Таблица1[[#This Row],[Годовой доход]]/12</f>
        <v>71158.166666666672</v>
      </c>
      <c r="X1190" s="3">
        <f>Таблица1[[#This Row],[Ежемесячный платеж]]/Таблица1[[#This Row],[Ежем доход]]</f>
        <v>0.17399759690267455</v>
      </c>
      <c r="Y1190" s="3"/>
      <c r="Z1190" s="3"/>
      <c r="AA1190" s="3"/>
      <c r="AB1190" s="3"/>
    </row>
    <row r="1191" spans="1:28" x14ac:dyDescent="0.2">
      <c r="A1191">
        <v>1407</v>
      </c>
      <c r="B1191" t="s">
        <v>1446</v>
      </c>
      <c r="C1191" t="s">
        <v>35</v>
      </c>
      <c r="D1191" t="s">
        <v>19</v>
      </c>
      <c r="E1191" t="s">
        <v>37</v>
      </c>
      <c r="F1191" t="s">
        <v>27</v>
      </c>
      <c r="G1191" t="s">
        <v>25</v>
      </c>
      <c r="H1191" s="1">
        <v>392722</v>
      </c>
      <c r="I1191" s="3">
        <v>748</v>
      </c>
      <c r="J1191" s="3">
        <v>1168215</v>
      </c>
      <c r="K1191" s="3">
        <v>15089.42</v>
      </c>
      <c r="L1191" s="2">
        <v>30.9</v>
      </c>
      <c r="M1191" s="11">
        <v>30</v>
      </c>
      <c r="N1191" s="3">
        <v>18</v>
      </c>
      <c r="O1191" s="3">
        <v>120498</v>
      </c>
      <c r="P1191" s="3">
        <v>375056</v>
      </c>
      <c r="Q1191" s="10">
        <v>0</v>
      </c>
      <c r="R1191" s="3">
        <f>(Таблица1[Размер кредита]-$AA$2)/$AA$3</f>
        <v>0.47326806921710995</v>
      </c>
      <c r="S1191" s="3">
        <f>(Таблица1[Кредитный рейтинг]-$AA$7)/($AA$8-$AA$7)</f>
        <v>0.99600532623169102</v>
      </c>
      <c r="T1191" s="3">
        <f>(Таблица1[Срок с последнего нарушения кредитного договора (мес,)]-$AA$12)/($AA$13-$AA$12)</f>
        <v>0.34090909090909088</v>
      </c>
      <c r="U1191" s="3">
        <f>(Таблица1[Количество кредитных карт]-$AA$18)/($AA$19-$AA$18)</f>
        <v>0.40476190476190477</v>
      </c>
      <c r="V1191" s="3">
        <f>(Таблица1[Число нарушений кредитных договоров]-$AA$23)/($AA$24-$AA$23)</f>
        <v>0</v>
      </c>
      <c r="W1191" s="3">
        <f>Таблица1[[#This Row],[Годовой доход]]/12</f>
        <v>97351.25</v>
      </c>
      <c r="X1191" s="3">
        <f>Таблица1[[#This Row],[Ежемесячный платеж]]/Таблица1[[#This Row],[Ежем доход]]</f>
        <v>0.15499975603805807</v>
      </c>
      <c r="Y1191" s="3"/>
      <c r="Z1191" s="3"/>
      <c r="AA1191" s="3"/>
      <c r="AB1191" s="3"/>
    </row>
    <row r="1192" spans="1:28" x14ac:dyDescent="0.2">
      <c r="A1192">
        <v>1480</v>
      </c>
      <c r="B1192" t="s">
        <v>1519</v>
      </c>
      <c r="C1192" t="s">
        <v>18</v>
      </c>
      <c r="D1192" t="s">
        <v>19</v>
      </c>
      <c r="E1192" t="s">
        <v>20</v>
      </c>
      <c r="F1192" t="s">
        <v>33</v>
      </c>
      <c r="G1192" t="s">
        <v>25</v>
      </c>
      <c r="H1192" s="1">
        <v>309594.52439999999</v>
      </c>
      <c r="I1192" s="3">
        <v>737</v>
      </c>
      <c r="J1192" s="3">
        <v>823878</v>
      </c>
      <c r="K1192" s="3">
        <v>11671.51</v>
      </c>
      <c r="L1192" s="2">
        <v>9.5</v>
      </c>
      <c r="M1192" s="11">
        <v>35.265240640000002</v>
      </c>
      <c r="N1192" s="3">
        <v>5</v>
      </c>
      <c r="O1192" s="3">
        <v>202388</v>
      </c>
      <c r="P1192" s="3">
        <v>374946</v>
      </c>
      <c r="Q1192" s="10">
        <v>0</v>
      </c>
      <c r="R1192" s="3">
        <f>(Таблица1[Размер кредита]-$AA$2)/$AA$3</f>
        <v>-1.2411115481956205E-10</v>
      </c>
      <c r="S1192" s="3">
        <f>(Таблица1[Кредитный рейтинг]-$AA$7)/($AA$8-$AA$7)</f>
        <v>0.98135818908122507</v>
      </c>
      <c r="T1192" s="3">
        <f>(Таблица1[Срок с последнего нарушения кредитного договора (мес,)]-$AA$12)/($AA$13-$AA$12)</f>
        <v>0.40074137090909095</v>
      </c>
      <c r="U1192" s="3">
        <f>(Таблица1[Количество кредитных карт]-$AA$18)/($AA$19-$AA$18)</f>
        <v>9.5238095238095233E-2</v>
      </c>
      <c r="V1192" s="3">
        <f>(Таблица1[Число нарушений кредитных договоров]-$AA$23)/($AA$24-$AA$23)</f>
        <v>0</v>
      </c>
      <c r="W1192" s="3">
        <f>Таблица1[[#This Row],[Годовой доход]]/12</f>
        <v>68656.5</v>
      </c>
      <c r="X1192" s="3">
        <f>Таблица1[[#This Row],[Ежемесячный платеж]]/Таблица1[[#This Row],[Ежем доход]]</f>
        <v>0.16999861629998617</v>
      </c>
      <c r="Y1192" s="3"/>
      <c r="Z1192" s="3"/>
      <c r="AA1192" s="3"/>
      <c r="AB1192" s="3"/>
    </row>
    <row r="1193" spans="1:28" x14ac:dyDescent="0.2">
      <c r="A1193">
        <v>790</v>
      </c>
      <c r="B1193" t="s">
        <v>831</v>
      </c>
      <c r="C1193" t="s">
        <v>18</v>
      </c>
      <c r="D1193" t="s">
        <v>19</v>
      </c>
      <c r="E1193" t="s">
        <v>69</v>
      </c>
      <c r="F1193" t="s">
        <v>33</v>
      </c>
      <c r="G1193" t="s">
        <v>25</v>
      </c>
      <c r="H1193" s="1">
        <v>227546</v>
      </c>
      <c r="I1193" s="3">
        <v>709</v>
      </c>
      <c r="J1193" s="3">
        <v>561450</v>
      </c>
      <c r="K1193" s="3">
        <v>16141.64</v>
      </c>
      <c r="L1193" s="2">
        <v>17.3</v>
      </c>
      <c r="M1193" s="11">
        <v>54</v>
      </c>
      <c r="N1193" s="3">
        <v>10</v>
      </c>
      <c r="O1193" s="3">
        <v>269667</v>
      </c>
      <c r="P1193" s="3">
        <v>374858</v>
      </c>
      <c r="Q1193" s="10">
        <v>4</v>
      </c>
      <c r="R1193" s="3">
        <f>(Таблица1[Размер кредита]-$AA$2)/$AA$3</f>
        <v>-0.46712529720319229</v>
      </c>
      <c r="S1193" s="3">
        <f>(Таблица1[Кредитный рейтинг]-$AA$7)/($AA$8-$AA$7)</f>
        <v>0.94407456724367511</v>
      </c>
      <c r="T1193" s="3">
        <f>(Таблица1[Срок с последнего нарушения кредитного договора (мес,)]-$AA$12)/($AA$13-$AA$12)</f>
        <v>0.61363636363636365</v>
      </c>
      <c r="U1193" s="3">
        <f>(Таблица1[Количество кредитных карт]-$AA$18)/($AA$19-$AA$18)</f>
        <v>0.21428571428571427</v>
      </c>
      <c r="V1193" s="3">
        <f>(Таблица1[Число нарушений кредитных договоров]-$AA$23)/($AA$24-$AA$23)</f>
        <v>0.5714285714285714</v>
      </c>
      <c r="W1193" s="3">
        <f>Таблица1[[#This Row],[Годовой доход]]/12</f>
        <v>46787.5</v>
      </c>
      <c r="X1193" s="3">
        <f>Таблица1[[#This Row],[Ежемесячный платеж]]/Таблица1[[#This Row],[Ежем доход]]</f>
        <v>0.34499898477157359</v>
      </c>
      <c r="Y1193" s="3"/>
      <c r="Z1193" s="3"/>
      <c r="AA1193" s="3"/>
      <c r="AB1193" s="3"/>
    </row>
    <row r="1194" spans="1:28" x14ac:dyDescent="0.2">
      <c r="A1194">
        <v>1468</v>
      </c>
      <c r="B1194" t="s">
        <v>1507</v>
      </c>
      <c r="C1194" t="s">
        <v>18</v>
      </c>
      <c r="D1194" t="s">
        <v>19</v>
      </c>
      <c r="E1194" t="s">
        <v>50</v>
      </c>
      <c r="F1194" t="s">
        <v>21</v>
      </c>
      <c r="G1194" t="s">
        <v>25</v>
      </c>
      <c r="H1194" s="1">
        <v>309594.52439999999</v>
      </c>
      <c r="I1194" s="3">
        <v>746</v>
      </c>
      <c r="J1194" s="3">
        <v>3058829</v>
      </c>
      <c r="K1194" s="3">
        <v>20213.72</v>
      </c>
      <c r="L1194" s="2">
        <v>14</v>
      </c>
      <c r="M1194" s="11">
        <v>24</v>
      </c>
      <c r="N1194" s="3">
        <v>5</v>
      </c>
      <c r="O1194" s="3">
        <v>21679</v>
      </c>
      <c r="P1194" s="3">
        <v>374528</v>
      </c>
      <c r="Q1194" s="10">
        <v>0</v>
      </c>
      <c r="R1194" s="3">
        <f>(Таблица1[Размер кредита]-$AA$2)/$AA$3</f>
        <v>-1.2411115481956205E-10</v>
      </c>
      <c r="S1194" s="3">
        <f>(Таблица1[Кредитный рейтинг]-$AA$7)/($AA$8-$AA$7)</f>
        <v>0.99334221038615178</v>
      </c>
      <c r="T1194" s="3">
        <f>(Таблица1[Срок с последнего нарушения кредитного договора (мес,)]-$AA$12)/($AA$13-$AA$12)</f>
        <v>0.27272727272727271</v>
      </c>
      <c r="U1194" s="3">
        <f>(Таблица1[Количество кредитных карт]-$AA$18)/($AA$19-$AA$18)</f>
        <v>9.5238095238095233E-2</v>
      </c>
      <c r="V1194" s="3">
        <f>(Таблица1[Число нарушений кредитных договоров]-$AA$23)/($AA$24-$AA$23)</f>
        <v>0</v>
      </c>
      <c r="W1194" s="3">
        <f>Таблица1[[#This Row],[Годовой доход]]/12</f>
        <v>254902.41666666666</v>
      </c>
      <c r="X1194" s="3">
        <f>Таблица1[[#This Row],[Ежемесячный платеж]]/Таблица1[[#This Row],[Ежем доход]]</f>
        <v>7.9299836636830642E-2</v>
      </c>
      <c r="Y1194" s="3"/>
      <c r="Z1194" s="3"/>
      <c r="AA1194" s="3"/>
      <c r="AB1194" s="3"/>
    </row>
    <row r="1195" spans="1:28" x14ac:dyDescent="0.2">
      <c r="A1195">
        <v>207</v>
      </c>
      <c r="B1195" t="s">
        <v>249</v>
      </c>
      <c r="C1195" t="s">
        <v>18</v>
      </c>
      <c r="D1195" t="s">
        <v>29</v>
      </c>
      <c r="E1195" t="s">
        <v>37</v>
      </c>
      <c r="F1195" t="s">
        <v>33</v>
      </c>
      <c r="G1195" t="s">
        <v>25</v>
      </c>
      <c r="H1195" s="1">
        <v>301114</v>
      </c>
      <c r="I1195" s="3">
        <v>645</v>
      </c>
      <c r="J1195" s="3">
        <v>825246</v>
      </c>
      <c r="K1195" s="3">
        <v>5948.71</v>
      </c>
      <c r="L1195" s="2">
        <v>9</v>
      </c>
      <c r="M1195" s="11">
        <v>35.265240640000002</v>
      </c>
      <c r="N1195" s="3">
        <v>10</v>
      </c>
      <c r="O1195" s="3">
        <v>59888</v>
      </c>
      <c r="P1195" s="3">
        <v>372746</v>
      </c>
      <c r="Q1195" s="10">
        <v>1</v>
      </c>
      <c r="R1195" s="3">
        <f>(Таблица1[Размер кредита]-$AA$2)/$AA$3</f>
        <v>-4.828200773735708E-2</v>
      </c>
      <c r="S1195" s="3">
        <f>(Таблица1[Кредитный рейтинг]-$AA$7)/($AA$8-$AA$7)</f>
        <v>0.8588548601864181</v>
      </c>
      <c r="T1195" s="3">
        <f>(Таблица1[Срок с последнего нарушения кредитного договора (мес,)]-$AA$12)/($AA$13-$AA$12)</f>
        <v>0.40074137090909095</v>
      </c>
      <c r="U1195" s="3">
        <f>(Таблица1[Количество кредитных карт]-$AA$18)/($AA$19-$AA$18)</f>
        <v>0.21428571428571427</v>
      </c>
      <c r="V1195" s="3">
        <f>(Таблица1[Число нарушений кредитных договоров]-$AA$23)/($AA$24-$AA$23)</f>
        <v>0.14285714285714285</v>
      </c>
      <c r="W1195" s="3">
        <f>Таблица1[[#This Row],[Годовой доход]]/12</f>
        <v>68770.5</v>
      </c>
      <c r="X1195" s="3">
        <f>Таблица1[[#This Row],[Ежемесячный платеж]]/Таблица1[[#This Row],[Ежем доход]]</f>
        <v>8.650089791407653E-2</v>
      </c>
      <c r="Y1195" s="3"/>
      <c r="Z1195" s="3"/>
      <c r="AA1195" s="3"/>
      <c r="AB1195" s="3"/>
    </row>
    <row r="1196" spans="1:28" x14ac:dyDescent="0.2">
      <c r="A1196">
        <v>635</v>
      </c>
      <c r="B1196" t="s">
        <v>676</v>
      </c>
      <c r="C1196" t="s">
        <v>35</v>
      </c>
      <c r="D1196" t="s">
        <v>19</v>
      </c>
      <c r="E1196" t="s">
        <v>24</v>
      </c>
      <c r="F1196" t="s">
        <v>33</v>
      </c>
      <c r="G1196" t="s">
        <v>25</v>
      </c>
      <c r="H1196" s="1">
        <v>329054</v>
      </c>
      <c r="I1196" s="3">
        <v>710</v>
      </c>
      <c r="J1196" s="3">
        <v>1136694</v>
      </c>
      <c r="K1196" s="3">
        <v>15819.02</v>
      </c>
      <c r="L1196" s="2">
        <v>10.9</v>
      </c>
      <c r="M1196" s="11">
        <v>37</v>
      </c>
      <c r="N1196" s="3">
        <v>14</v>
      </c>
      <c r="O1196" s="3">
        <v>108091</v>
      </c>
      <c r="P1196" s="3">
        <v>372526</v>
      </c>
      <c r="Q1196" s="10">
        <v>0</v>
      </c>
      <c r="R1196" s="3">
        <f>(Таблица1[Размер кредита]-$AA$2)/$AA$3</f>
        <v>0.11078826069015808</v>
      </c>
      <c r="S1196" s="3">
        <f>(Таблица1[Кредитный рейтинг]-$AA$7)/($AA$8-$AA$7)</f>
        <v>0.94540612516644473</v>
      </c>
      <c r="T1196" s="3">
        <f>(Таблица1[Срок с последнего нарушения кредитного договора (мес,)]-$AA$12)/($AA$13-$AA$12)</f>
        <v>0.42045454545454547</v>
      </c>
      <c r="U1196" s="3">
        <f>(Таблица1[Количество кредитных карт]-$AA$18)/($AA$19-$AA$18)</f>
        <v>0.30952380952380953</v>
      </c>
      <c r="V1196" s="3">
        <f>(Таблица1[Число нарушений кредитных договоров]-$AA$23)/($AA$24-$AA$23)</f>
        <v>0</v>
      </c>
      <c r="W1196" s="3">
        <f>Таблица1[[#This Row],[Годовой доход]]/12</f>
        <v>94724.5</v>
      </c>
      <c r="X1196" s="3">
        <f>Таблица1[[#This Row],[Ежемесячный платеж]]/Таблица1[[#This Row],[Ежем доход]]</f>
        <v>0.16700030087253034</v>
      </c>
      <c r="Y1196" s="3"/>
      <c r="Z1196" s="3"/>
      <c r="AA1196" s="3"/>
      <c r="AB1196" s="3"/>
    </row>
    <row r="1197" spans="1:28" x14ac:dyDescent="0.2">
      <c r="A1197">
        <v>1145</v>
      </c>
      <c r="B1197" t="s">
        <v>1184</v>
      </c>
      <c r="C1197" t="s">
        <v>18</v>
      </c>
      <c r="D1197" t="s">
        <v>19</v>
      </c>
      <c r="E1197" t="s">
        <v>41</v>
      </c>
      <c r="F1197" t="s">
        <v>33</v>
      </c>
      <c r="G1197" t="s">
        <v>25</v>
      </c>
      <c r="H1197" s="1">
        <v>309594.52439999999</v>
      </c>
      <c r="I1197" s="3">
        <v>740</v>
      </c>
      <c r="J1197" s="3">
        <v>575852</v>
      </c>
      <c r="K1197" s="3">
        <v>3987.91</v>
      </c>
      <c r="L1197" s="2">
        <v>15.9</v>
      </c>
      <c r="M1197" s="11">
        <v>35.265240640000002</v>
      </c>
      <c r="N1197" s="3">
        <v>10</v>
      </c>
      <c r="O1197" s="3">
        <v>60800</v>
      </c>
      <c r="P1197" s="3">
        <v>372460</v>
      </c>
      <c r="Q1197" s="10">
        <v>0</v>
      </c>
      <c r="R1197" s="3">
        <f>(Таблица1[Размер кредита]-$AA$2)/$AA$3</f>
        <v>-1.2411115481956205E-10</v>
      </c>
      <c r="S1197" s="3">
        <f>(Таблица1[Кредитный рейтинг]-$AA$7)/($AA$8-$AA$7)</f>
        <v>0.98535286284953394</v>
      </c>
      <c r="T1197" s="3">
        <f>(Таблица1[Срок с последнего нарушения кредитного договора (мес,)]-$AA$12)/($AA$13-$AA$12)</f>
        <v>0.40074137090909095</v>
      </c>
      <c r="U1197" s="3">
        <f>(Таблица1[Количество кредитных карт]-$AA$18)/($AA$19-$AA$18)</f>
        <v>0.21428571428571427</v>
      </c>
      <c r="V1197" s="3">
        <f>(Таблица1[Число нарушений кредитных договоров]-$AA$23)/($AA$24-$AA$23)</f>
        <v>0</v>
      </c>
      <c r="W1197" s="3">
        <f>Таблица1[[#This Row],[Годовой доход]]/12</f>
        <v>47987.666666666664</v>
      </c>
      <c r="X1197" s="3">
        <f>Таблица1[[#This Row],[Ежемесячный платеж]]/Таблица1[[#This Row],[Ежем доход]]</f>
        <v>8.3102811138973207E-2</v>
      </c>
      <c r="Y1197" s="3"/>
      <c r="Z1197" s="3"/>
      <c r="AA1197" s="3"/>
      <c r="AB1197" s="3"/>
    </row>
    <row r="1198" spans="1:28" x14ac:dyDescent="0.2">
      <c r="A1198">
        <v>513</v>
      </c>
      <c r="B1198" t="s">
        <v>554</v>
      </c>
      <c r="C1198" t="s">
        <v>35</v>
      </c>
      <c r="D1198" t="s">
        <v>19</v>
      </c>
      <c r="E1198" t="s">
        <v>47</v>
      </c>
      <c r="F1198" t="s">
        <v>21</v>
      </c>
      <c r="G1198" t="s">
        <v>67</v>
      </c>
      <c r="H1198" s="1">
        <v>244398</v>
      </c>
      <c r="I1198" s="3">
        <v>0</v>
      </c>
      <c r="J1198" s="3">
        <v>1168044</v>
      </c>
      <c r="K1198" s="3">
        <v>4844.24</v>
      </c>
      <c r="L1198" s="2">
        <v>13.3</v>
      </c>
      <c r="M1198" s="11">
        <v>35.265240640000002</v>
      </c>
      <c r="N1198" s="3">
        <v>7</v>
      </c>
      <c r="O1198" s="3">
        <v>190456</v>
      </c>
      <c r="P1198" s="3">
        <v>371250</v>
      </c>
      <c r="Q1198" s="10">
        <v>0</v>
      </c>
      <c r="R1198" s="3">
        <f>(Таблица1[Размер кредита]-$AA$2)/$AA$3</f>
        <v>-0.37118212742722645</v>
      </c>
      <c r="S1198" s="3">
        <f>(Таблица1[Кредитный рейтинг]-$AA$7)/($AA$8-$AA$7)</f>
        <v>0</v>
      </c>
      <c r="T1198" s="3">
        <f>(Таблица1[Срок с последнего нарушения кредитного договора (мес,)]-$AA$12)/($AA$13-$AA$12)</f>
        <v>0.40074137090909095</v>
      </c>
      <c r="U1198" s="3">
        <f>(Таблица1[Количество кредитных карт]-$AA$18)/($AA$19-$AA$18)</f>
        <v>0.14285714285714285</v>
      </c>
      <c r="V1198" s="3">
        <f>(Таблица1[Число нарушений кредитных договоров]-$AA$23)/($AA$24-$AA$23)</f>
        <v>0</v>
      </c>
      <c r="W1198" s="3">
        <f>Таблица1[[#This Row],[Годовой доход]]/12</f>
        <v>97337</v>
      </c>
      <c r="X1198" s="3">
        <f>Таблица1[[#This Row],[Ежемесячный платеж]]/Таблица1[[#This Row],[Ежем доход]]</f>
        <v>4.9767714229943388E-2</v>
      </c>
      <c r="Y1198" s="3"/>
      <c r="Z1198" s="3"/>
      <c r="AA1198" s="3"/>
      <c r="AB1198" s="3"/>
    </row>
    <row r="1199" spans="1:28" x14ac:dyDescent="0.2">
      <c r="A1199">
        <v>1743</v>
      </c>
      <c r="B1199" t="s">
        <v>1781</v>
      </c>
      <c r="C1199" t="s">
        <v>18</v>
      </c>
      <c r="D1199" t="s">
        <v>19</v>
      </c>
      <c r="E1199" t="s">
        <v>24</v>
      </c>
      <c r="F1199" t="s">
        <v>21</v>
      </c>
      <c r="G1199" t="s">
        <v>25</v>
      </c>
      <c r="H1199" s="1">
        <v>268994</v>
      </c>
      <c r="I1199" s="3">
        <v>751</v>
      </c>
      <c r="J1199" s="3">
        <v>1490645</v>
      </c>
      <c r="K1199" s="3">
        <v>10161.200000000001</v>
      </c>
      <c r="L1199" s="2">
        <v>26.4</v>
      </c>
      <c r="M1199" s="11">
        <v>35.265240640000002</v>
      </c>
      <c r="N1199" s="3">
        <v>7</v>
      </c>
      <c r="O1199" s="3">
        <v>35568</v>
      </c>
      <c r="P1199" s="3">
        <v>370986</v>
      </c>
      <c r="Q1199" s="10">
        <v>0</v>
      </c>
      <c r="R1199" s="3">
        <f>(Таблица1[Размер кредита]-$AA$2)/$AA$3</f>
        <v>-0.23115019033906742</v>
      </c>
      <c r="S1199" s="3">
        <f>(Таблица1[Кредитный рейтинг]-$AA$7)/($AA$8-$AA$7)</f>
        <v>1</v>
      </c>
      <c r="T1199" s="3">
        <f>(Таблица1[Срок с последнего нарушения кредитного договора (мес,)]-$AA$12)/($AA$13-$AA$12)</f>
        <v>0.40074137090909095</v>
      </c>
      <c r="U1199" s="3">
        <f>(Таблица1[Количество кредитных карт]-$AA$18)/($AA$19-$AA$18)</f>
        <v>0.14285714285714285</v>
      </c>
      <c r="V1199" s="3">
        <f>(Таблица1[Число нарушений кредитных договоров]-$AA$23)/($AA$24-$AA$23)</f>
        <v>0</v>
      </c>
      <c r="W1199" s="3">
        <f>Таблица1[[#This Row],[Годовой доход]]/12</f>
        <v>124220.41666666667</v>
      </c>
      <c r="X1199" s="3">
        <f>Таблица1[[#This Row],[Ежемесячный платеж]]/Таблица1[[#This Row],[Ежем доход]]</f>
        <v>8.1799757822955843E-2</v>
      </c>
      <c r="Y1199" s="3"/>
      <c r="Z1199" s="3"/>
      <c r="AA1199" s="3"/>
      <c r="AB1199" s="3"/>
    </row>
    <row r="1200" spans="1:28" x14ac:dyDescent="0.2">
      <c r="A1200">
        <v>917</v>
      </c>
      <c r="B1200" t="s">
        <v>958</v>
      </c>
      <c r="C1200" t="s">
        <v>18</v>
      </c>
      <c r="D1200" t="s">
        <v>19</v>
      </c>
      <c r="E1200" t="s">
        <v>24</v>
      </c>
      <c r="F1200" t="s">
        <v>21</v>
      </c>
      <c r="G1200" t="s">
        <v>25</v>
      </c>
      <c r="H1200" s="1">
        <v>155452</v>
      </c>
      <c r="I1200" s="3">
        <v>743</v>
      </c>
      <c r="J1200" s="3">
        <v>1726074</v>
      </c>
      <c r="K1200" s="3">
        <v>36822.949999999997</v>
      </c>
      <c r="L1200" s="2">
        <v>23</v>
      </c>
      <c r="M1200" s="11">
        <v>36</v>
      </c>
      <c r="N1200" s="3">
        <v>24</v>
      </c>
      <c r="O1200" s="3">
        <v>216999</v>
      </c>
      <c r="P1200" s="3">
        <v>370612</v>
      </c>
      <c r="Q1200" s="10">
        <v>0</v>
      </c>
      <c r="R1200" s="3">
        <f>(Таблица1[Размер кредита]-$AA$2)/$AA$3</f>
        <v>-0.87757669061812704</v>
      </c>
      <c r="S1200" s="3">
        <f>(Таблица1[Кредитный рейтинг]-$AA$7)/($AA$8-$AA$7)</f>
        <v>0.98934753661784292</v>
      </c>
      <c r="T1200" s="3">
        <f>(Таблица1[Срок с последнего нарушения кредитного договора (мес,)]-$AA$12)/($AA$13-$AA$12)</f>
        <v>0.40909090909090912</v>
      </c>
      <c r="U1200" s="3">
        <f>(Таблица1[Количество кредитных карт]-$AA$18)/($AA$19-$AA$18)</f>
        <v>0.54761904761904767</v>
      </c>
      <c r="V1200" s="3">
        <f>(Таблица1[Число нарушений кредитных договоров]-$AA$23)/($AA$24-$AA$23)</f>
        <v>0</v>
      </c>
      <c r="W1200" s="3">
        <f>Таблица1[[#This Row],[Годовой доход]]/12</f>
        <v>143839.5</v>
      </c>
      <c r="X1200" s="3">
        <f>Таблица1[[#This Row],[Ежемесячный платеж]]/Таблица1[[#This Row],[Ежем доход]]</f>
        <v>0.25600026418334321</v>
      </c>
      <c r="Y1200" s="3"/>
      <c r="Z1200" s="3"/>
      <c r="AA1200" s="3"/>
      <c r="AB1200" s="3"/>
    </row>
    <row r="1201" spans="1:28" x14ac:dyDescent="0.2">
      <c r="A1201">
        <v>61</v>
      </c>
      <c r="B1201" t="s">
        <v>103</v>
      </c>
      <c r="C1201" t="s">
        <v>35</v>
      </c>
      <c r="D1201" t="s">
        <v>29</v>
      </c>
      <c r="E1201" t="s">
        <v>52</v>
      </c>
      <c r="F1201" t="s">
        <v>21</v>
      </c>
      <c r="G1201" t="s">
        <v>25</v>
      </c>
      <c r="H1201" s="1">
        <v>290224</v>
      </c>
      <c r="I1201" s="3">
        <v>644</v>
      </c>
      <c r="J1201" s="3">
        <v>837045</v>
      </c>
      <c r="K1201" s="3">
        <v>8230.99</v>
      </c>
      <c r="L1201" s="2">
        <v>18.3</v>
      </c>
      <c r="M1201" s="11">
        <v>10</v>
      </c>
      <c r="N1201" s="3">
        <v>11</v>
      </c>
      <c r="O1201" s="3">
        <v>176624</v>
      </c>
      <c r="P1201" s="3">
        <v>370480</v>
      </c>
      <c r="Q1201" s="10">
        <v>0</v>
      </c>
      <c r="R1201" s="3">
        <f>(Таблица1[Размер кредита]-$AA$2)/$AA$3</f>
        <v>-0.11028183677012873</v>
      </c>
      <c r="S1201" s="3">
        <f>(Таблица1[Кредитный рейтинг]-$AA$7)/($AA$8-$AA$7)</f>
        <v>0.85752330226364848</v>
      </c>
      <c r="T1201" s="3">
        <f>(Таблица1[Срок с последнего нарушения кредитного договора (мес,)]-$AA$12)/($AA$13-$AA$12)</f>
        <v>0.11363636363636363</v>
      </c>
      <c r="U1201" s="3">
        <f>(Таблица1[Количество кредитных карт]-$AA$18)/($AA$19-$AA$18)</f>
        <v>0.23809523809523808</v>
      </c>
      <c r="V1201" s="3">
        <f>(Таблица1[Число нарушений кредитных договоров]-$AA$23)/($AA$24-$AA$23)</f>
        <v>0</v>
      </c>
      <c r="W1201" s="3">
        <f>Таблица1[[#This Row],[Годовой доход]]/12</f>
        <v>69753.75</v>
      </c>
      <c r="X1201" s="3">
        <f>Таблица1[[#This Row],[Ежемесячный платеж]]/Таблица1[[#This Row],[Ежем доход]]</f>
        <v>0.1180006809669731</v>
      </c>
      <c r="Y1201" s="3"/>
      <c r="Z1201" s="3"/>
      <c r="AA1201" s="3"/>
      <c r="AB1201" s="3"/>
    </row>
    <row r="1202" spans="1:28" x14ac:dyDescent="0.2">
      <c r="A1202">
        <v>1533</v>
      </c>
      <c r="B1202" t="s">
        <v>1572</v>
      </c>
      <c r="C1202" t="s">
        <v>35</v>
      </c>
      <c r="D1202" t="s">
        <v>19</v>
      </c>
      <c r="E1202" t="s">
        <v>30</v>
      </c>
      <c r="F1202" t="s">
        <v>21</v>
      </c>
      <c r="G1202" t="s">
        <v>25</v>
      </c>
      <c r="H1202" s="1">
        <v>300388</v>
      </c>
      <c r="I1202" s="3">
        <v>692</v>
      </c>
      <c r="J1202" s="3">
        <v>1152996</v>
      </c>
      <c r="K1202" s="3">
        <v>25750.32</v>
      </c>
      <c r="L1202" s="2">
        <v>10.1</v>
      </c>
      <c r="M1202" s="11">
        <v>28</v>
      </c>
      <c r="N1202" s="3">
        <v>17</v>
      </c>
      <c r="O1202" s="3">
        <v>130302</v>
      </c>
      <c r="P1202" s="3">
        <v>369798</v>
      </c>
      <c r="Q1202" s="10">
        <v>0</v>
      </c>
      <c r="R1202" s="3">
        <f>(Таблица1[Размер кредита]-$AA$2)/$AA$3</f>
        <v>-5.241532967287519E-2</v>
      </c>
      <c r="S1202" s="3">
        <f>(Таблица1[Кредитный рейтинг]-$AA$7)/($AA$8-$AA$7)</f>
        <v>0.92143808255659121</v>
      </c>
      <c r="T1202" s="3">
        <f>(Таблица1[Срок с последнего нарушения кредитного договора (мес,)]-$AA$12)/($AA$13-$AA$12)</f>
        <v>0.31818181818181818</v>
      </c>
      <c r="U1202" s="3">
        <f>(Таблица1[Количество кредитных карт]-$AA$18)/($AA$19-$AA$18)</f>
        <v>0.38095238095238093</v>
      </c>
      <c r="V1202" s="3">
        <f>(Таблица1[Число нарушений кредитных договоров]-$AA$23)/($AA$24-$AA$23)</f>
        <v>0</v>
      </c>
      <c r="W1202" s="3">
        <f>Таблица1[[#This Row],[Годовой доход]]/12</f>
        <v>96083</v>
      </c>
      <c r="X1202" s="3">
        <f>Таблица1[[#This Row],[Ежемесячный платеж]]/Таблица1[[#This Row],[Ежем доход]]</f>
        <v>0.26800079098279611</v>
      </c>
      <c r="Y1202" s="3"/>
      <c r="Z1202" s="3"/>
      <c r="AA1202" s="3"/>
      <c r="AB1202" s="3"/>
    </row>
    <row r="1203" spans="1:28" x14ac:dyDescent="0.2">
      <c r="A1203">
        <v>1460</v>
      </c>
      <c r="B1203" s="4" t="s">
        <v>1499</v>
      </c>
      <c r="C1203" t="s">
        <v>18</v>
      </c>
      <c r="D1203" t="s">
        <v>29</v>
      </c>
      <c r="E1203" t="s">
        <v>24</v>
      </c>
      <c r="F1203" t="s">
        <v>21</v>
      </c>
      <c r="G1203" t="s">
        <v>25</v>
      </c>
      <c r="H1203" s="1">
        <v>457402</v>
      </c>
      <c r="I1203" s="3">
        <v>670</v>
      </c>
      <c r="J1203" s="3">
        <v>903526</v>
      </c>
      <c r="K1203" s="3">
        <v>22362.240000000002</v>
      </c>
      <c r="L1203" s="2">
        <v>27.5</v>
      </c>
      <c r="M1203" s="11">
        <v>24</v>
      </c>
      <c r="N1203" s="3">
        <v>15</v>
      </c>
      <c r="O1203" s="3">
        <v>306736</v>
      </c>
      <c r="P1203" s="3">
        <v>369578</v>
      </c>
      <c r="Q1203" s="10">
        <v>0</v>
      </c>
      <c r="R1203" s="3">
        <f>(Таблица1[Размер кредита]-$AA$2)/$AA$3</f>
        <v>0.84150947801781428</v>
      </c>
      <c r="S1203" s="3">
        <f>(Таблица1[Кредитный рейтинг]-$AA$7)/($AA$8-$AA$7)</f>
        <v>0.89214380825565909</v>
      </c>
      <c r="T1203" s="3">
        <f>(Таблица1[Срок с последнего нарушения кредитного договора (мес,)]-$AA$12)/($AA$13-$AA$12)</f>
        <v>0.27272727272727271</v>
      </c>
      <c r="U1203" s="3">
        <f>(Таблица1[Количество кредитных карт]-$AA$18)/($AA$19-$AA$18)</f>
        <v>0.33333333333333331</v>
      </c>
      <c r="V1203" s="3">
        <f>(Таблица1[Число нарушений кредитных договоров]-$AA$23)/($AA$24-$AA$23)</f>
        <v>0</v>
      </c>
      <c r="W1203" s="3">
        <f>Таблица1[[#This Row],[Годовой доход]]/12</f>
        <v>75293.833333333328</v>
      </c>
      <c r="X1203" s="3">
        <f>Таблица1[[#This Row],[Ежемесячный платеж]]/Таблица1[[#This Row],[Ежем доход]]</f>
        <v>0.29699962148294573</v>
      </c>
      <c r="Y1203" s="3"/>
      <c r="Z1203" s="3"/>
      <c r="AA1203" s="3"/>
      <c r="AB1203" s="3"/>
    </row>
    <row r="1204" spans="1:28" x14ac:dyDescent="0.2">
      <c r="A1204">
        <v>556</v>
      </c>
      <c r="B1204" t="s">
        <v>597</v>
      </c>
      <c r="C1204" t="s">
        <v>35</v>
      </c>
      <c r="D1204" t="s">
        <v>19</v>
      </c>
      <c r="E1204" t="s">
        <v>30</v>
      </c>
      <c r="F1204" t="s">
        <v>21</v>
      </c>
      <c r="G1204" t="s">
        <v>25</v>
      </c>
      <c r="H1204" s="1">
        <v>248402</v>
      </c>
      <c r="I1204" s="3">
        <v>0</v>
      </c>
      <c r="J1204" s="3">
        <v>1168044</v>
      </c>
      <c r="K1204" s="3">
        <v>7943.52</v>
      </c>
      <c r="L1204" s="2">
        <v>9.5</v>
      </c>
      <c r="M1204" s="11">
        <v>35.265240640000002</v>
      </c>
      <c r="N1204" s="3">
        <v>11</v>
      </c>
      <c r="O1204" s="3">
        <v>261991</v>
      </c>
      <c r="P1204" s="3">
        <v>369512</v>
      </c>
      <c r="Q1204" s="10">
        <v>0</v>
      </c>
      <c r="R1204" s="3">
        <f>(Таблица1[Размер кредита]-$AA$2)/$AA$3</f>
        <v>-0.34838623069194474</v>
      </c>
      <c r="S1204" s="3">
        <f>(Таблица1[Кредитный рейтинг]-$AA$7)/($AA$8-$AA$7)</f>
        <v>0</v>
      </c>
      <c r="T1204" s="3">
        <f>(Таблица1[Срок с последнего нарушения кредитного договора (мес,)]-$AA$12)/($AA$13-$AA$12)</f>
        <v>0.40074137090909095</v>
      </c>
      <c r="U1204" s="3">
        <f>(Таблица1[Количество кредитных карт]-$AA$18)/($AA$19-$AA$18)</f>
        <v>0.23809523809523808</v>
      </c>
      <c r="V1204" s="3">
        <f>(Таблица1[Число нарушений кредитных договоров]-$AA$23)/($AA$24-$AA$23)</f>
        <v>0</v>
      </c>
      <c r="W1204" s="3">
        <f>Таблица1[[#This Row],[Годовой доход]]/12</f>
        <v>97337</v>
      </c>
      <c r="X1204" s="3">
        <f>Таблица1[[#This Row],[Ежемесячный платеж]]/Таблица1[[#This Row],[Ежем доход]]</f>
        <v>8.1608432559047442E-2</v>
      </c>
      <c r="Y1204" s="3"/>
      <c r="Z1204" s="3"/>
      <c r="AA1204" s="3"/>
      <c r="AB1204" s="3"/>
    </row>
    <row r="1205" spans="1:28" x14ac:dyDescent="0.2">
      <c r="A1205">
        <v>644</v>
      </c>
      <c r="B1205" t="s">
        <v>685</v>
      </c>
      <c r="C1205" t="s">
        <v>18</v>
      </c>
      <c r="D1205" t="s">
        <v>19</v>
      </c>
      <c r="E1205" t="s">
        <v>32</v>
      </c>
      <c r="F1205" t="s">
        <v>27</v>
      </c>
      <c r="G1205" t="s">
        <v>22</v>
      </c>
      <c r="H1205" s="1">
        <v>309594.52439999999</v>
      </c>
      <c r="I1205" s="3">
        <v>729</v>
      </c>
      <c r="J1205" s="3">
        <v>662473</v>
      </c>
      <c r="K1205" s="3">
        <v>5283.33</v>
      </c>
      <c r="L1205" s="2">
        <v>16.899999999999999</v>
      </c>
      <c r="M1205" s="11">
        <v>74</v>
      </c>
      <c r="N1205" s="3">
        <v>12</v>
      </c>
      <c r="O1205" s="3">
        <v>59356</v>
      </c>
      <c r="P1205" s="3">
        <v>369512</v>
      </c>
      <c r="Q1205" s="10">
        <v>0</v>
      </c>
      <c r="R1205" s="3">
        <f>(Таблица1[Размер кредита]-$AA$2)/$AA$3</f>
        <v>-1.2411115481956205E-10</v>
      </c>
      <c r="S1205" s="3">
        <f>(Таблица1[Кредитный рейтинг]-$AA$7)/($AA$8-$AA$7)</f>
        <v>0.97070572569906788</v>
      </c>
      <c r="T1205" s="3">
        <f>(Таблица1[Срок с последнего нарушения кредитного договора (мес,)]-$AA$12)/($AA$13-$AA$12)</f>
        <v>0.84090909090909094</v>
      </c>
      <c r="U1205" s="3">
        <f>(Таблица1[Количество кредитных карт]-$AA$18)/($AA$19-$AA$18)</f>
        <v>0.26190476190476192</v>
      </c>
      <c r="V1205" s="3">
        <f>(Таблица1[Число нарушений кредитных договоров]-$AA$23)/($AA$24-$AA$23)</f>
        <v>0</v>
      </c>
      <c r="W1205" s="3">
        <f>Таблица1[[#This Row],[Годовой доход]]/12</f>
        <v>55206.083333333336</v>
      </c>
      <c r="X1205" s="3">
        <f>Таблица1[[#This Row],[Ежемесячный платеж]]/Таблица1[[#This Row],[Ежем доход]]</f>
        <v>9.5701953136203277E-2</v>
      </c>
      <c r="Y1205" s="3"/>
      <c r="Z1205" s="3"/>
      <c r="AA1205" s="3"/>
      <c r="AB1205" s="3"/>
    </row>
    <row r="1206" spans="1:28" x14ac:dyDescent="0.2">
      <c r="A1206">
        <v>110</v>
      </c>
      <c r="B1206" t="s">
        <v>152</v>
      </c>
      <c r="C1206" t="s">
        <v>18</v>
      </c>
      <c r="D1206" t="s">
        <v>29</v>
      </c>
      <c r="E1206" t="s">
        <v>24</v>
      </c>
      <c r="F1206" t="s">
        <v>21</v>
      </c>
      <c r="G1206" t="s">
        <v>25</v>
      </c>
      <c r="H1206" s="1">
        <v>340604</v>
      </c>
      <c r="I1206" s="3">
        <v>618</v>
      </c>
      <c r="J1206" s="3">
        <v>928701</v>
      </c>
      <c r="K1206" s="3">
        <v>21205.52</v>
      </c>
      <c r="L1206" s="2">
        <v>14.4</v>
      </c>
      <c r="M1206" s="11">
        <v>35.265240640000002</v>
      </c>
      <c r="N1206" s="3">
        <v>5</v>
      </c>
      <c r="O1206" s="3">
        <v>291137</v>
      </c>
      <c r="P1206" s="3">
        <v>368808</v>
      </c>
      <c r="Q1206" s="10">
        <v>0</v>
      </c>
      <c r="R1206" s="3">
        <f>(Таблица1[Размер кредита]-$AA$2)/$AA$3</f>
        <v>0.17654565511885528</v>
      </c>
      <c r="S1206" s="3">
        <f>(Таблица1[Кредитный рейтинг]-$AA$7)/($AA$8-$AA$7)</f>
        <v>0.82290279627163787</v>
      </c>
      <c r="T1206" s="3">
        <f>(Таблица1[Срок с последнего нарушения кредитного договора (мес,)]-$AA$12)/($AA$13-$AA$12)</f>
        <v>0.40074137090909095</v>
      </c>
      <c r="U1206" s="3">
        <f>(Таблица1[Количество кредитных карт]-$AA$18)/($AA$19-$AA$18)</f>
        <v>9.5238095238095233E-2</v>
      </c>
      <c r="V1206" s="3">
        <f>(Таблица1[Число нарушений кредитных договоров]-$AA$23)/($AA$24-$AA$23)</f>
        <v>0</v>
      </c>
      <c r="W1206" s="3">
        <f>Таблица1[[#This Row],[Годовой доход]]/12</f>
        <v>77391.75</v>
      </c>
      <c r="X1206" s="3">
        <f>Таблица1[[#This Row],[Ежемесячный платеж]]/Таблица1[[#This Row],[Ежем доход]]</f>
        <v>0.27400233228994048</v>
      </c>
      <c r="Y1206" s="3"/>
      <c r="Z1206" s="3"/>
      <c r="AA1206" s="3"/>
      <c r="AB1206" s="3"/>
    </row>
    <row r="1207" spans="1:28" x14ac:dyDescent="0.2">
      <c r="A1207">
        <v>1958</v>
      </c>
      <c r="B1207" t="s">
        <v>1994</v>
      </c>
      <c r="C1207" t="s">
        <v>35</v>
      </c>
      <c r="D1207" t="s">
        <v>29</v>
      </c>
      <c r="E1207" t="s">
        <v>24</v>
      </c>
      <c r="F1207" t="s">
        <v>21</v>
      </c>
      <c r="G1207" t="s">
        <v>25</v>
      </c>
      <c r="H1207" s="1">
        <v>450296</v>
      </c>
      <c r="I1207" s="3">
        <v>739</v>
      </c>
      <c r="J1207" s="3">
        <v>864120</v>
      </c>
      <c r="K1207" s="3">
        <v>18578.77</v>
      </c>
      <c r="L1207" s="2">
        <v>22.5</v>
      </c>
      <c r="M1207" s="11">
        <v>38</v>
      </c>
      <c r="N1207" s="3">
        <v>7</v>
      </c>
      <c r="O1207" s="3">
        <v>59280</v>
      </c>
      <c r="P1207" s="3">
        <v>367004</v>
      </c>
      <c r="Q1207" s="10">
        <v>0</v>
      </c>
      <c r="R1207" s="3">
        <f>(Таблица1[Размер кредита]-$AA$2)/$AA$3</f>
        <v>0.80105302392168254</v>
      </c>
      <c r="S1207" s="3">
        <f>(Таблица1[Кредитный рейтинг]-$AA$7)/($AA$8-$AA$7)</f>
        <v>0.98402130492676432</v>
      </c>
      <c r="T1207" s="3">
        <f>(Таблица1[Срок с последнего нарушения кредитного договора (мес,)]-$AA$12)/($AA$13-$AA$12)</f>
        <v>0.43181818181818182</v>
      </c>
      <c r="U1207" s="3">
        <f>(Таблица1[Количество кредитных карт]-$AA$18)/($AA$19-$AA$18)</f>
        <v>0.14285714285714285</v>
      </c>
      <c r="V1207" s="3">
        <f>(Таблица1[Число нарушений кредитных договоров]-$AA$23)/($AA$24-$AA$23)</f>
        <v>0</v>
      </c>
      <c r="W1207" s="3">
        <f>Таблица1[[#This Row],[Годовой доход]]/12</f>
        <v>72010</v>
      </c>
      <c r="X1207" s="3">
        <f>Таблица1[[#This Row],[Ежемесячный платеж]]/Таблица1[[#This Row],[Ежем доход]]</f>
        <v>0.25800263852242744</v>
      </c>
      <c r="Y1207" s="3"/>
      <c r="Z1207" s="3"/>
      <c r="AA1207" s="3"/>
      <c r="AB1207" s="3"/>
    </row>
    <row r="1208" spans="1:28" x14ac:dyDescent="0.2">
      <c r="A1208">
        <v>1579</v>
      </c>
      <c r="B1208" t="s">
        <v>1618</v>
      </c>
      <c r="C1208" t="s">
        <v>18</v>
      </c>
      <c r="D1208" t="s">
        <v>19</v>
      </c>
      <c r="E1208" t="s">
        <v>69</v>
      </c>
      <c r="F1208" t="s">
        <v>33</v>
      </c>
      <c r="G1208" t="s">
        <v>25</v>
      </c>
      <c r="H1208" s="1">
        <v>309594.52439999999</v>
      </c>
      <c r="I1208" s="3">
        <v>738</v>
      </c>
      <c r="J1208" s="3">
        <v>792490</v>
      </c>
      <c r="K1208" s="3">
        <v>7990.83</v>
      </c>
      <c r="L1208" s="2">
        <v>11.6</v>
      </c>
      <c r="M1208" s="11">
        <v>35.265240640000002</v>
      </c>
      <c r="N1208" s="3">
        <v>6</v>
      </c>
      <c r="O1208" s="3">
        <v>238925</v>
      </c>
      <c r="P1208" s="3">
        <v>366894</v>
      </c>
      <c r="Q1208" s="10">
        <v>0</v>
      </c>
      <c r="R1208" s="3">
        <f>(Таблица1[Размер кредита]-$AA$2)/$AA$3</f>
        <v>-1.2411115481956205E-10</v>
      </c>
      <c r="S1208" s="3">
        <f>(Таблица1[Кредитный рейтинг]-$AA$7)/($AA$8-$AA$7)</f>
        <v>0.9826897470039947</v>
      </c>
      <c r="T1208" s="3">
        <f>(Таблица1[Срок с последнего нарушения кредитного договора (мес,)]-$AA$12)/($AA$13-$AA$12)</f>
        <v>0.40074137090909095</v>
      </c>
      <c r="U1208" s="3">
        <f>(Таблица1[Количество кредитных карт]-$AA$18)/($AA$19-$AA$18)</f>
        <v>0.11904761904761904</v>
      </c>
      <c r="V1208" s="3">
        <f>(Таблица1[Число нарушений кредитных договоров]-$AA$23)/($AA$24-$AA$23)</f>
        <v>0</v>
      </c>
      <c r="W1208" s="3">
        <f>Таблица1[[#This Row],[Годовой доход]]/12</f>
        <v>66040.833333333328</v>
      </c>
      <c r="X1208" s="3">
        <f>Таблица1[[#This Row],[Ежемесячный платеж]]/Таблица1[[#This Row],[Ежем доход]]</f>
        <v>0.1209983217453848</v>
      </c>
      <c r="Y1208" s="3"/>
      <c r="Z1208" s="3"/>
      <c r="AA1208" s="3"/>
      <c r="AB1208" s="3"/>
    </row>
    <row r="1209" spans="1:28" x14ac:dyDescent="0.2">
      <c r="A1209">
        <v>890</v>
      </c>
      <c r="B1209" t="s">
        <v>931</v>
      </c>
      <c r="C1209" t="s">
        <v>18</v>
      </c>
      <c r="D1209" t="s">
        <v>19</v>
      </c>
      <c r="E1209" t="s">
        <v>63</v>
      </c>
      <c r="F1209" t="s">
        <v>27</v>
      </c>
      <c r="G1209" t="s">
        <v>25</v>
      </c>
      <c r="H1209" s="1">
        <v>175604</v>
      </c>
      <c r="I1209" s="3">
        <v>722</v>
      </c>
      <c r="J1209" s="3">
        <v>568746</v>
      </c>
      <c r="K1209" s="3">
        <v>8009.83</v>
      </c>
      <c r="L1209" s="2">
        <v>31.2</v>
      </c>
      <c r="M1209" s="11">
        <v>50</v>
      </c>
      <c r="N1209" s="3">
        <v>8</v>
      </c>
      <c r="O1209" s="3">
        <v>220932</v>
      </c>
      <c r="P1209" s="3">
        <v>366498</v>
      </c>
      <c r="Q1209" s="10">
        <v>0</v>
      </c>
      <c r="R1209" s="3">
        <f>(Таблица1[Размер кредита]-$AA$2)/$AA$3</f>
        <v>-0.76284569386253342</v>
      </c>
      <c r="S1209" s="3">
        <f>(Таблица1[Кредитный рейтинг]-$AA$7)/($AA$8-$AA$7)</f>
        <v>0.96138482023968042</v>
      </c>
      <c r="T1209" s="3">
        <f>(Таблица1[Срок с последнего нарушения кредитного договора (мес,)]-$AA$12)/($AA$13-$AA$12)</f>
        <v>0.56818181818181823</v>
      </c>
      <c r="U1209" s="3">
        <f>(Таблица1[Количество кредитных карт]-$AA$18)/($AA$19-$AA$18)</f>
        <v>0.16666666666666666</v>
      </c>
      <c r="V1209" s="3">
        <f>(Таблица1[Число нарушений кредитных договоров]-$AA$23)/($AA$24-$AA$23)</f>
        <v>0</v>
      </c>
      <c r="W1209" s="3">
        <f>Таблица1[[#This Row],[Годовой доход]]/12</f>
        <v>47395.5</v>
      </c>
      <c r="X1209" s="3">
        <f>Таблица1[[#This Row],[Ежемесячный платеж]]/Таблица1[[#This Row],[Ежем доход]]</f>
        <v>0.16899979955902986</v>
      </c>
      <c r="Y1209" s="3"/>
      <c r="Z1209" s="3"/>
      <c r="AA1209" s="3"/>
      <c r="AB1209" s="3"/>
    </row>
    <row r="1210" spans="1:28" x14ac:dyDescent="0.2">
      <c r="A1210">
        <v>940</v>
      </c>
      <c r="B1210" t="s">
        <v>981</v>
      </c>
      <c r="C1210" t="s">
        <v>18</v>
      </c>
      <c r="D1210" t="s">
        <v>19</v>
      </c>
      <c r="E1210" t="s">
        <v>37</v>
      </c>
      <c r="F1210" t="s">
        <v>33</v>
      </c>
      <c r="G1210" t="s">
        <v>25</v>
      </c>
      <c r="H1210" s="1">
        <v>325292</v>
      </c>
      <c r="I1210" s="3">
        <v>707</v>
      </c>
      <c r="J1210" s="3">
        <v>1217349</v>
      </c>
      <c r="K1210" s="3">
        <v>25361.39</v>
      </c>
      <c r="L1210" s="2">
        <v>16.7</v>
      </c>
      <c r="M1210" s="11">
        <v>60</v>
      </c>
      <c r="N1210" s="3">
        <v>10</v>
      </c>
      <c r="O1210" s="3">
        <v>298490</v>
      </c>
      <c r="P1210" s="3">
        <v>366498</v>
      </c>
      <c r="Q1210" s="10">
        <v>0</v>
      </c>
      <c r="R1210" s="3">
        <f>(Таблица1[Размер кредита]-$AA$2)/$AA$3</f>
        <v>8.9370137933382415E-2</v>
      </c>
      <c r="S1210" s="3">
        <f>(Таблица1[Кредитный рейтинг]-$AA$7)/($AA$8-$AA$7)</f>
        <v>0.94141145139813587</v>
      </c>
      <c r="T1210" s="3">
        <f>(Таблица1[Срок с последнего нарушения кредитного договора (мес,)]-$AA$12)/($AA$13-$AA$12)</f>
        <v>0.68181818181818177</v>
      </c>
      <c r="U1210" s="3">
        <f>(Таблица1[Количество кредитных карт]-$AA$18)/($AA$19-$AA$18)</f>
        <v>0.21428571428571427</v>
      </c>
      <c r="V1210" s="3">
        <f>(Таблица1[Число нарушений кредитных договоров]-$AA$23)/($AA$24-$AA$23)</f>
        <v>0</v>
      </c>
      <c r="W1210" s="3">
        <f>Таблица1[[#This Row],[Годовой доход]]/12</f>
        <v>101445.75</v>
      </c>
      <c r="X1210" s="3">
        <f>Таблица1[[#This Row],[Ежемесячный платеж]]/Таблица1[[#This Row],[Ежем доход]]</f>
        <v>0.24999953176944326</v>
      </c>
      <c r="Y1210" s="3"/>
      <c r="Z1210" s="3"/>
      <c r="AA1210" s="3"/>
      <c r="AB1210" s="3"/>
    </row>
    <row r="1211" spans="1:28" x14ac:dyDescent="0.2">
      <c r="A1211">
        <v>616</v>
      </c>
      <c r="B1211" t="s">
        <v>657</v>
      </c>
      <c r="C1211" t="s">
        <v>18</v>
      </c>
      <c r="D1211" t="s">
        <v>29</v>
      </c>
      <c r="E1211" t="s">
        <v>30</v>
      </c>
      <c r="F1211" t="s">
        <v>33</v>
      </c>
      <c r="G1211" t="s">
        <v>39</v>
      </c>
      <c r="H1211" s="1">
        <v>262174</v>
      </c>
      <c r="I1211" s="3">
        <v>703</v>
      </c>
      <c r="J1211" s="3">
        <v>935655</v>
      </c>
      <c r="K1211" s="3">
        <v>8966.67</v>
      </c>
      <c r="L1211" s="2">
        <v>11.3</v>
      </c>
      <c r="M1211" s="11">
        <v>42</v>
      </c>
      <c r="N1211" s="3">
        <v>8</v>
      </c>
      <c r="O1211" s="3">
        <v>104405</v>
      </c>
      <c r="P1211" s="3">
        <v>366322</v>
      </c>
      <c r="Q1211" s="10">
        <v>0</v>
      </c>
      <c r="R1211" s="3">
        <f>(Таблица1[Размер кредита]-$AA$2)/$AA$3</f>
        <v>-0.26997836609696479</v>
      </c>
      <c r="S1211" s="3">
        <f>(Таблица1[Кредитный рейтинг]-$AA$7)/($AA$8-$AA$7)</f>
        <v>0.93608521970705727</v>
      </c>
      <c r="T1211" s="3">
        <f>(Таблица1[Срок с последнего нарушения кредитного договора (мес,)]-$AA$12)/($AA$13-$AA$12)</f>
        <v>0.47727272727272729</v>
      </c>
      <c r="U1211" s="3">
        <f>(Таблица1[Количество кредитных карт]-$AA$18)/($AA$19-$AA$18)</f>
        <v>0.16666666666666666</v>
      </c>
      <c r="V1211" s="3">
        <f>(Таблица1[Число нарушений кредитных договоров]-$AA$23)/($AA$24-$AA$23)</f>
        <v>0</v>
      </c>
      <c r="W1211" s="3">
        <f>Таблица1[[#This Row],[Годовой доход]]/12</f>
        <v>77971.25</v>
      </c>
      <c r="X1211" s="3">
        <f>Таблица1[[#This Row],[Ежемесячный платеж]]/Таблица1[[#This Row],[Ежем доход]]</f>
        <v>0.11499969540054827</v>
      </c>
      <c r="Y1211" s="3"/>
      <c r="Z1211" s="3"/>
      <c r="AA1211" s="3"/>
      <c r="AB1211" s="3"/>
    </row>
    <row r="1212" spans="1:28" x14ac:dyDescent="0.2">
      <c r="A1212">
        <v>216</v>
      </c>
      <c r="B1212" t="s">
        <v>258</v>
      </c>
      <c r="C1212" t="s">
        <v>18</v>
      </c>
      <c r="D1212" t="s">
        <v>19</v>
      </c>
      <c r="E1212" t="s">
        <v>24</v>
      </c>
      <c r="F1212" t="s">
        <v>21</v>
      </c>
      <c r="G1212" t="s">
        <v>25</v>
      </c>
      <c r="H1212" s="1">
        <v>284152</v>
      </c>
      <c r="I1212" s="3">
        <v>700</v>
      </c>
      <c r="J1212" s="3">
        <v>1054519</v>
      </c>
      <c r="K1212" s="3">
        <v>15202.66</v>
      </c>
      <c r="L1212" s="2">
        <v>14</v>
      </c>
      <c r="M1212" s="11">
        <v>36</v>
      </c>
      <c r="N1212" s="3">
        <v>12</v>
      </c>
      <c r="O1212" s="3">
        <v>182780</v>
      </c>
      <c r="P1212" s="3">
        <v>366146</v>
      </c>
      <c r="Q1212" s="10">
        <v>0</v>
      </c>
      <c r="R1212" s="3">
        <f>(Таблица1[Размер кредита]-$AA$2)/$AA$3</f>
        <v>-0.14485143841264383</v>
      </c>
      <c r="S1212" s="3">
        <f>(Таблица1[Кредитный рейтинг]-$AA$7)/($AA$8-$AA$7)</f>
        <v>0.93209054593874829</v>
      </c>
      <c r="T1212" s="3">
        <f>(Таблица1[Срок с последнего нарушения кредитного договора (мес,)]-$AA$12)/($AA$13-$AA$12)</f>
        <v>0.40909090909090912</v>
      </c>
      <c r="U1212" s="3">
        <f>(Таблица1[Количество кредитных карт]-$AA$18)/($AA$19-$AA$18)</f>
        <v>0.26190476190476192</v>
      </c>
      <c r="V1212" s="3">
        <f>(Таблица1[Число нарушений кредитных договоров]-$AA$23)/($AA$24-$AA$23)</f>
        <v>0</v>
      </c>
      <c r="W1212" s="3">
        <f>Таблица1[[#This Row],[Годовой доход]]/12</f>
        <v>87876.583333333328</v>
      </c>
      <c r="X1212" s="3">
        <f>Таблица1[[#This Row],[Ежемесячный платеж]]/Таблица1[[#This Row],[Ежем доход]]</f>
        <v>0.17300012612385363</v>
      </c>
      <c r="Y1212" s="3"/>
      <c r="Z1212" s="3"/>
      <c r="AA1212" s="3"/>
      <c r="AB1212" s="3"/>
    </row>
    <row r="1213" spans="1:28" x14ac:dyDescent="0.2">
      <c r="A1213">
        <v>689</v>
      </c>
      <c r="B1213" t="s">
        <v>730</v>
      </c>
      <c r="C1213" t="s">
        <v>18</v>
      </c>
      <c r="D1213" t="s">
        <v>19</v>
      </c>
      <c r="E1213" t="s">
        <v>52</v>
      </c>
      <c r="F1213" t="s">
        <v>21</v>
      </c>
      <c r="G1213" t="s">
        <v>67</v>
      </c>
      <c r="H1213" s="1">
        <v>309594.52439999999</v>
      </c>
      <c r="I1213" s="3">
        <v>709</v>
      </c>
      <c r="J1213" s="3">
        <v>1817996</v>
      </c>
      <c r="K1213" s="3">
        <v>17271</v>
      </c>
      <c r="L1213" s="2">
        <v>31.7</v>
      </c>
      <c r="M1213" s="11">
        <v>9</v>
      </c>
      <c r="N1213" s="3">
        <v>10</v>
      </c>
      <c r="O1213" s="3">
        <v>175427</v>
      </c>
      <c r="P1213" s="3">
        <v>365332</v>
      </c>
      <c r="Q1213" s="10">
        <v>0</v>
      </c>
      <c r="R1213" s="3">
        <f>(Таблица1[Размер кредита]-$AA$2)/$AA$3</f>
        <v>-1.2411115481956205E-10</v>
      </c>
      <c r="S1213" s="3">
        <f>(Таблица1[Кредитный рейтинг]-$AA$7)/($AA$8-$AA$7)</f>
        <v>0.94407456724367511</v>
      </c>
      <c r="T1213" s="3">
        <f>(Таблица1[Срок с последнего нарушения кредитного договора (мес,)]-$AA$12)/($AA$13-$AA$12)</f>
        <v>0.10227272727272728</v>
      </c>
      <c r="U1213" s="3">
        <f>(Таблица1[Количество кредитных карт]-$AA$18)/($AA$19-$AA$18)</f>
        <v>0.21428571428571427</v>
      </c>
      <c r="V1213" s="3">
        <f>(Таблица1[Число нарушений кредитных договоров]-$AA$23)/($AA$24-$AA$23)</f>
        <v>0</v>
      </c>
      <c r="W1213" s="3">
        <f>Таблица1[[#This Row],[Годовой доход]]/12</f>
        <v>151499.66666666666</v>
      </c>
      <c r="X1213" s="3">
        <f>Таблица1[[#This Row],[Ежемесячный платеж]]/Таблица1[[#This Row],[Ежем доход]]</f>
        <v>0.11400025082563439</v>
      </c>
      <c r="Y1213" s="3"/>
      <c r="Z1213" s="3"/>
      <c r="AA1213" s="3"/>
      <c r="AB1213" s="3"/>
    </row>
    <row r="1214" spans="1:28" x14ac:dyDescent="0.2">
      <c r="A1214">
        <v>833</v>
      </c>
      <c r="B1214" t="s">
        <v>874</v>
      </c>
      <c r="C1214" t="s">
        <v>18</v>
      </c>
      <c r="D1214" t="s">
        <v>19</v>
      </c>
      <c r="E1214" t="s">
        <v>32</v>
      </c>
      <c r="F1214" t="s">
        <v>33</v>
      </c>
      <c r="G1214" t="s">
        <v>25</v>
      </c>
      <c r="H1214" s="1">
        <v>249326</v>
      </c>
      <c r="I1214" s="3">
        <v>0</v>
      </c>
      <c r="J1214" s="3">
        <v>1168044</v>
      </c>
      <c r="K1214" s="3">
        <v>11548.58</v>
      </c>
      <c r="L1214" s="2">
        <v>10.199999999999999</v>
      </c>
      <c r="M1214" s="11">
        <v>35.265240640000002</v>
      </c>
      <c r="N1214" s="3">
        <v>8</v>
      </c>
      <c r="O1214" s="3">
        <v>250382</v>
      </c>
      <c r="P1214" s="3">
        <v>365134</v>
      </c>
      <c r="Q1214" s="10">
        <v>0</v>
      </c>
      <c r="R1214" s="3">
        <f>(Таблица1[Размер кредита]-$AA$2)/$AA$3</f>
        <v>-0.34312563913764893</v>
      </c>
      <c r="S1214" s="3">
        <f>(Таблица1[Кредитный рейтинг]-$AA$7)/($AA$8-$AA$7)</f>
        <v>0</v>
      </c>
      <c r="T1214" s="3">
        <f>(Таблица1[Срок с последнего нарушения кредитного договора (мес,)]-$AA$12)/($AA$13-$AA$12)</f>
        <v>0.40074137090909095</v>
      </c>
      <c r="U1214" s="3">
        <f>(Таблица1[Количество кредитных карт]-$AA$18)/($AA$19-$AA$18)</f>
        <v>0.16666666666666666</v>
      </c>
      <c r="V1214" s="3">
        <f>(Таблица1[Число нарушений кредитных договоров]-$AA$23)/($AA$24-$AA$23)</f>
        <v>0</v>
      </c>
      <c r="W1214" s="3">
        <f>Таблица1[[#This Row],[Годовой доход]]/12</f>
        <v>97337</v>
      </c>
      <c r="X1214" s="3">
        <f>Таблица1[[#This Row],[Ежемесячный платеж]]/Таблица1[[#This Row],[Ежем доход]]</f>
        <v>0.11864532500487995</v>
      </c>
      <c r="Y1214" s="3"/>
      <c r="Z1214" s="3"/>
      <c r="AA1214" s="3"/>
      <c r="AB1214" s="3"/>
    </row>
    <row r="1215" spans="1:28" x14ac:dyDescent="0.2">
      <c r="A1215">
        <v>1745</v>
      </c>
      <c r="B1215" t="s">
        <v>1783</v>
      </c>
      <c r="C1215" t="s">
        <v>35</v>
      </c>
      <c r="D1215" t="s">
        <v>19</v>
      </c>
      <c r="E1215" t="s">
        <v>41</v>
      </c>
      <c r="F1215" t="s">
        <v>33</v>
      </c>
      <c r="G1215" t="s">
        <v>25</v>
      </c>
      <c r="H1215" s="1">
        <v>269896</v>
      </c>
      <c r="I1215" s="3">
        <v>696</v>
      </c>
      <c r="J1215" s="3">
        <v>1482912</v>
      </c>
      <c r="K1215" s="3">
        <v>12604.79</v>
      </c>
      <c r="L1215" s="2">
        <v>10</v>
      </c>
      <c r="M1215" s="11">
        <v>35.265240640000002</v>
      </c>
      <c r="N1215" s="3">
        <v>9</v>
      </c>
      <c r="O1215" s="3">
        <v>186941</v>
      </c>
      <c r="P1215" s="3">
        <v>365024</v>
      </c>
      <c r="Q1215" s="10">
        <v>0</v>
      </c>
      <c r="R1215" s="3">
        <f>(Таблица1[Размер кредита]-$AA$2)/$AA$3</f>
        <v>-0.22601485096463583</v>
      </c>
      <c r="S1215" s="3">
        <f>(Таблица1[Кредитный рейтинг]-$AA$7)/($AA$8-$AA$7)</f>
        <v>0.92676431424766981</v>
      </c>
      <c r="T1215" s="3">
        <f>(Таблица1[Срок с последнего нарушения кредитного договора (мес,)]-$AA$12)/($AA$13-$AA$12)</f>
        <v>0.40074137090909095</v>
      </c>
      <c r="U1215" s="3">
        <f>(Таблица1[Количество кредитных карт]-$AA$18)/($AA$19-$AA$18)</f>
        <v>0.19047619047619047</v>
      </c>
      <c r="V1215" s="3">
        <f>(Таблица1[Число нарушений кредитных договоров]-$AA$23)/($AA$24-$AA$23)</f>
        <v>0</v>
      </c>
      <c r="W1215" s="3">
        <f>Таблица1[[#This Row],[Годовой доход]]/12</f>
        <v>123576</v>
      </c>
      <c r="X1215" s="3">
        <f>Таблица1[[#This Row],[Ежемесячный платеж]]/Таблица1[[#This Row],[Ежем доход]]</f>
        <v>0.10200030750307504</v>
      </c>
      <c r="Y1215" s="3"/>
      <c r="Z1215" s="3"/>
      <c r="AA1215" s="3"/>
      <c r="AB1215" s="3"/>
    </row>
    <row r="1216" spans="1:28" x14ac:dyDescent="0.2">
      <c r="A1216">
        <v>1875</v>
      </c>
      <c r="B1216" t="s">
        <v>1911</v>
      </c>
      <c r="C1216" t="s">
        <v>35</v>
      </c>
      <c r="D1216" t="s">
        <v>19</v>
      </c>
      <c r="E1216" t="s">
        <v>47</v>
      </c>
      <c r="F1216" t="s">
        <v>33</v>
      </c>
      <c r="G1216" t="s">
        <v>67</v>
      </c>
      <c r="H1216" s="1">
        <v>557040</v>
      </c>
      <c r="I1216" s="3">
        <v>640</v>
      </c>
      <c r="J1216" s="3">
        <v>1828104</v>
      </c>
      <c r="K1216" s="3">
        <v>18281.04</v>
      </c>
      <c r="L1216" s="2">
        <v>19.2</v>
      </c>
      <c r="M1216" s="11">
        <v>35.265240640000002</v>
      </c>
      <c r="N1216" s="3">
        <v>4</v>
      </c>
      <c r="O1216" s="3">
        <v>123557</v>
      </c>
      <c r="P1216" s="3">
        <v>364980</v>
      </c>
      <c r="Q1216" s="10">
        <v>0</v>
      </c>
      <c r="R1216" s="3">
        <f>(Таблица1[Размер кредита]-$AA$2)/$AA$3</f>
        <v>1.4087766006227089</v>
      </c>
      <c r="S1216" s="3">
        <f>(Таблица1[Кредитный рейтинг]-$AA$7)/($AA$8-$AA$7)</f>
        <v>0.85219707057256988</v>
      </c>
      <c r="T1216" s="3">
        <f>(Таблица1[Срок с последнего нарушения кредитного договора (мес,)]-$AA$12)/($AA$13-$AA$12)</f>
        <v>0.40074137090909095</v>
      </c>
      <c r="U1216" s="3">
        <f>(Таблица1[Количество кредитных карт]-$AA$18)/($AA$19-$AA$18)</f>
        <v>7.1428571428571425E-2</v>
      </c>
      <c r="V1216" s="3">
        <f>(Таблица1[Число нарушений кредитных договоров]-$AA$23)/($AA$24-$AA$23)</f>
        <v>0</v>
      </c>
      <c r="W1216" s="3">
        <f>Таблица1[[#This Row],[Годовой доход]]/12</f>
        <v>152342</v>
      </c>
      <c r="X1216" s="3">
        <f>Таблица1[[#This Row],[Ежемесячный платеж]]/Таблица1[[#This Row],[Ежем доход]]</f>
        <v>0.12000000000000001</v>
      </c>
      <c r="Y1216" s="3"/>
      <c r="Z1216" s="3"/>
      <c r="AA1216" s="3"/>
      <c r="AB1216" s="3"/>
    </row>
    <row r="1217" spans="1:28" x14ac:dyDescent="0.2">
      <c r="A1217">
        <v>623</v>
      </c>
      <c r="B1217" t="s">
        <v>664</v>
      </c>
      <c r="C1217" t="s">
        <v>18</v>
      </c>
      <c r="D1217" t="s">
        <v>19</v>
      </c>
      <c r="E1217" t="s">
        <v>32</v>
      </c>
      <c r="F1217" t="s">
        <v>33</v>
      </c>
      <c r="G1217" t="s">
        <v>25</v>
      </c>
      <c r="H1217" s="1">
        <v>215974</v>
      </c>
      <c r="I1217" s="3">
        <v>716</v>
      </c>
      <c r="J1217" s="3">
        <v>1585455</v>
      </c>
      <c r="K1217" s="3">
        <v>16647.23</v>
      </c>
      <c r="L1217" s="2">
        <v>15.9</v>
      </c>
      <c r="M1217" s="11">
        <v>35.265240640000002</v>
      </c>
      <c r="N1217" s="3">
        <v>11</v>
      </c>
      <c r="O1217" s="3">
        <v>115273</v>
      </c>
      <c r="P1217" s="3">
        <v>364672</v>
      </c>
      <c r="Q1217" s="10">
        <v>1</v>
      </c>
      <c r="R1217" s="3">
        <f>(Таблица1[Размер кредита]-$AA$2)/$AA$3</f>
        <v>-0.53300794381175365</v>
      </c>
      <c r="S1217" s="3">
        <f>(Таблица1[Кредитный рейтинг]-$AA$7)/($AA$8-$AA$7)</f>
        <v>0.95339547270306257</v>
      </c>
      <c r="T1217" s="3">
        <f>(Таблица1[Срок с последнего нарушения кредитного договора (мес,)]-$AA$12)/($AA$13-$AA$12)</f>
        <v>0.40074137090909095</v>
      </c>
      <c r="U1217" s="3">
        <f>(Таблица1[Количество кредитных карт]-$AA$18)/($AA$19-$AA$18)</f>
        <v>0.23809523809523808</v>
      </c>
      <c r="V1217" s="3">
        <f>(Таблица1[Число нарушений кредитных договоров]-$AA$23)/($AA$24-$AA$23)</f>
        <v>0.14285714285714285</v>
      </c>
      <c r="W1217" s="3">
        <f>Таблица1[[#This Row],[Годовой доход]]/12</f>
        <v>132121.25</v>
      </c>
      <c r="X1217" s="3">
        <f>Таблица1[[#This Row],[Ежемесячный платеж]]/Таблица1[[#This Row],[Ежем доход]]</f>
        <v>0.12599964048175444</v>
      </c>
      <c r="Y1217" s="3"/>
      <c r="Z1217" s="3"/>
      <c r="AA1217" s="3"/>
      <c r="AB1217" s="3"/>
    </row>
    <row r="1218" spans="1:28" x14ac:dyDescent="0.2">
      <c r="A1218">
        <v>1189</v>
      </c>
      <c r="B1218" t="s">
        <v>1228</v>
      </c>
      <c r="C1218" t="s">
        <v>35</v>
      </c>
      <c r="D1218" t="s">
        <v>19</v>
      </c>
      <c r="E1218" t="s">
        <v>47</v>
      </c>
      <c r="F1218" t="s">
        <v>33</v>
      </c>
      <c r="G1218" t="s">
        <v>2038</v>
      </c>
      <c r="H1218" s="1">
        <v>485408</v>
      </c>
      <c r="I1218" s="3">
        <v>721</v>
      </c>
      <c r="J1218" s="3">
        <v>3601412</v>
      </c>
      <c r="K1218" s="3">
        <v>24789.68</v>
      </c>
      <c r="L1218" s="2">
        <v>15.2</v>
      </c>
      <c r="M1218" s="11">
        <v>35.265240640000002</v>
      </c>
      <c r="N1218" s="3">
        <v>3</v>
      </c>
      <c r="O1218" s="3">
        <v>296609</v>
      </c>
      <c r="P1218" s="3">
        <v>364210</v>
      </c>
      <c r="Q1218" s="10">
        <v>0</v>
      </c>
      <c r="R1218" s="3">
        <f>(Таблица1[Размер кредита]-$AA$2)/$AA$3</f>
        <v>1.000955502984922</v>
      </c>
      <c r="S1218" s="3">
        <f>(Таблица1[Кредитный рейтинг]-$AA$7)/($AA$8-$AA$7)</f>
        <v>0.96005326231691079</v>
      </c>
      <c r="T1218" s="3">
        <f>(Таблица1[Срок с последнего нарушения кредитного договора (мес,)]-$AA$12)/($AA$13-$AA$12)</f>
        <v>0.40074137090909095</v>
      </c>
      <c r="U1218" s="3">
        <f>(Таблица1[Количество кредитных карт]-$AA$18)/($AA$19-$AA$18)</f>
        <v>4.7619047619047616E-2</v>
      </c>
      <c r="V1218" s="3">
        <f>(Таблица1[Число нарушений кредитных договоров]-$AA$23)/($AA$24-$AA$23)</f>
        <v>0</v>
      </c>
      <c r="W1218" s="3">
        <f>Таблица1[[#This Row],[Годовой доход]]/12</f>
        <v>300117.66666666669</v>
      </c>
      <c r="X1218" s="3">
        <f>Таблица1[[#This Row],[Ежемесячный платеж]]/Таблица1[[#This Row],[Ежем доход]]</f>
        <v>8.2599869162428508E-2</v>
      </c>
      <c r="Y1218" s="3"/>
      <c r="Z1218" s="3"/>
      <c r="AA1218" s="3"/>
      <c r="AB1218" s="3"/>
    </row>
    <row r="1219" spans="1:28" x14ac:dyDescent="0.2">
      <c r="A1219">
        <v>640</v>
      </c>
      <c r="B1219" t="s">
        <v>681</v>
      </c>
      <c r="C1219" t="s">
        <v>18</v>
      </c>
      <c r="D1219" t="s">
        <v>19</v>
      </c>
      <c r="E1219" t="s">
        <v>24</v>
      </c>
      <c r="F1219" t="s">
        <v>21</v>
      </c>
      <c r="G1219" t="s">
        <v>25</v>
      </c>
      <c r="H1219" s="1">
        <v>309594.52439999999</v>
      </c>
      <c r="I1219" s="3">
        <v>744</v>
      </c>
      <c r="J1219" s="3">
        <v>2044647</v>
      </c>
      <c r="K1219" s="3">
        <v>12676.8</v>
      </c>
      <c r="L1219" s="2">
        <v>17</v>
      </c>
      <c r="M1219" s="11">
        <v>35.265240640000002</v>
      </c>
      <c r="N1219" s="3">
        <v>8</v>
      </c>
      <c r="O1219" s="3">
        <v>272688</v>
      </c>
      <c r="P1219" s="3">
        <v>363748</v>
      </c>
      <c r="Q1219" s="10">
        <v>0</v>
      </c>
      <c r="R1219" s="3">
        <f>(Таблица1[Размер кредита]-$AA$2)/$AA$3</f>
        <v>-1.2411115481956205E-10</v>
      </c>
      <c r="S1219" s="3">
        <f>(Таблица1[Кредитный рейтинг]-$AA$7)/($AA$8-$AA$7)</f>
        <v>0.99067909454061254</v>
      </c>
      <c r="T1219" s="3">
        <f>(Таблица1[Срок с последнего нарушения кредитного договора (мес,)]-$AA$12)/($AA$13-$AA$12)</f>
        <v>0.40074137090909095</v>
      </c>
      <c r="U1219" s="3">
        <f>(Таблица1[Количество кредитных карт]-$AA$18)/($AA$19-$AA$18)</f>
        <v>0.16666666666666666</v>
      </c>
      <c r="V1219" s="3">
        <f>(Таблица1[Число нарушений кредитных договоров]-$AA$23)/($AA$24-$AA$23)</f>
        <v>0</v>
      </c>
      <c r="W1219" s="3">
        <f>Таблица1[[#This Row],[Годовой доход]]/12</f>
        <v>170387.25</v>
      </c>
      <c r="X1219" s="3">
        <f>Таблица1[[#This Row],[Ежемесячный платеж]]/Таблица1[[#This Row],[Ежем доход]]</f>
        <v>7.4399933093585349E-2</v>
      </c>
      <c r="Y1219" s="3"/>
      <c r="Z1219" s="3"/>
      <c r="AA1219" s="3"/>
      <c r="AB1219" s="3"/>
    </row>
    <row r="1220" spans="1:28" x14ac:dyDescent="0.2">
      <c r="A1220">
        <v>1143</v>
      </c>
      <c r="B1220" t="s">
        <v>1182</v>
      </c>
      <c r="C1220" t="s">
        <v>18</v>
      </c>
      <c r="D1220" t="s">
        <v>29</v>
      </c>
      <c r="E1220" t="s">
        <v>24</v>
      </c>
      <c r="F1220" t="s">
        <v>27</v>
      </c>
      <c r="G1220" t="s">
        <v>25</v>
      </c>
      <c r="H1220" s="1">
        <v>264418</v>
      </c>
      <c r="I1220" s="3">
        <v>0</v>
      </c>
      <c r="J1220" s="3">
        <v>1168044</v>
      </c>
      <c r="K1220" s="3">
        <v>21499.45</v>
      </c>
      <c r="L1220" s="2">
        <v>15</v>
      </c>
      <c r="M1220" s="11">
        <v>35.265240640000002</v>
      </c>
      <c r="N1220" s="3">
        <v>13</v>
      </c>
      <c r="O1220" s="3">
        <v>256462</v>
      </c>
      <c r="P1220" s="3">
        <v>363440</v>
      </c>
      <c r="Q1220" s="10">
        <v>0</v>
      </c>
      <c r="R1220" s="3">
        <f>(Таблица1[Размер кредита]-$AA$2)/$AA$3</f>
        <v>-0.25720264375081792</v>
      </c>
      <c r="S1220" s="3">
        <f>(Таблица1[Кредитный рейтинг]-$AA$7)/($AA$8-$AA$7)</f>
        <v>0</v>
      </c>
      <c r="T1220" s="3">
        <f>(Таблица1[Срок с последнего нарушения кредитного договора (мес,)]-$AA$12)/($AA$13-$AA$12)</f>
        <v>0.40074137090909095</v>
      </c>
      <c r="U1220" s="3">
        <f>(Таблица1[Количество кредитных карт]-$AA$18)/($AA$19-$AA$18)</f>
        <v>0.2857142857142857</v>
      </c>
      <c r="V1220" s="3">
        <f>(Таблица1[Число нарушений кредитных договоров]-$AA$23)/($AA$24-$AA$23)</f>
        <v>0</v>
      </c>
      <c r="W1220" s="3">
        <f>Таблица1[[#This Row],[Годовой доход]]/12</f>
        <v>97337</v>
      </c>
      <c r="X1220" s="3">
        <f>Таблица1[[#This Row],[Ежемесячный платеж]]/Таблица1[[#This Row],[Ежем доход]]</f>
        <v>0.22087643958617997</v>
      </c>
      <c r="Y1220" s="3"/>
      <c r="Z1220" s="3"/>
      <c r="AA1220" s="3"/>
      <c r="AB1220" s="3"/>
    </row>
    <row r="1221" spans="1:28" x14ac:dyDescent="0.2">
      <c r="A1221">
        <v>429</v>
      </c>
      <c r="B1221" t="s">
        <v>470</v>
      </c>
      <c r="C1221" t="s">
        <v>18</v>
      </c>
      <c r="D1221" t="s">
        <v>29</v>
      </c>
      <c r="E1221" t="s">
        <v>24</v>
      </c>
      <c r="F1221" t="s">
        <v>27</v>
      </c>
      <c r="G1221" t="s">
        <v>25</v>
      </c>
      <c r="H1221" s="1">
        <v>649902</v>
      </c>
      <c r="I1221" s="3">
        <v>695</v>
      </c>
      <c r="J1221" s="3">
        <v>1309651</v>
      </c>
      <c r="K1221" s="3">
        <v>6810.17</v>
      </c>
      <c r="L1221" s="2">
        <v>26</v>
      </c>
      <c r="M1221" s="11">
        <v>74</v>
      </c>
      <c r="N1221" s="3">
        <v>7</v>
      </c>
      <c r="O1221" s="3">
        <v>300884</v>
      </c>
      <c r="P1221" s="3">
        <v>361768</v>
      </c>
      <c r="Q1221" s="10">
        <v>0</v>
      </c>
      <c r="R1221" s="3">
        <f>(Таблица1[Размер кредита]-$AA$2)/$AA$3</f>
        <v>1.9374660518294344</v>
      </c>
      <c r="S1221" s="3">
        <f>(Таблица1[Кредитный рейтинг]-$AA$7)/($AA$8-$AA$7)</f>
        <v>0.92543275632490019</v>
      </c>
      <c r="T1221" s="3">
        <f>(Таблица1[Срок с последнего нарушения кредитного договора (мес,)]-$AA$12)/($AA$13-$AA$12)</f>
        <v>0.84090909090909094</v>
      </c>
      <c r="U1221" s="3">
        <f>(Таблица1[Количество кредитных карт]-$AA$18)/($AA$19-$AA$18)</f>
        <v>0.14285714285714285</v>
      </c>
      <c r="V1221" s="3">
        <f>(Таблица1[Число нарушений кредитных договоров]-$AA$23)/($AA$24-$AA$23)</f>
        <v>0</v>
      </c>
      <c r="W1221" s="3">
        <f>Таблица1[[#This Row],[Годовой доход]]/12</f>
        <v>109137.58333333333</v>
      </c>
      <c r="X1221" s="3">
        <f>Таблица1[[#This Row],[Ежемесячный платеж]]/Таблица1[[#This Row],[Ежем доход]]</f>
        <v>6.2399860726254558E-2</v>
      </c>
      <c r="Y1221" s="3"/>
      <c r="Z1221" s="3"/>
      <c r="AA1221" s="3"/>
      <c r="AB1221" s="3"/>
    </row>
    <row r="1222" spans="1:28" x14ac:dyDescent="0.2">
      <c r="A1222">
        <v>1597</v>
      </c>
      <c r="B1222" t="s">
        <v>1636</v>
      </c>
      <c r="C1222" t="s">
        <v>18</v>
      </c>
      <c r="D1222" t="s">
        <v>29</v>
      </c>
      <c r="E1222" t="s">
        <v>24</v>
      </c>
      <c r="F1222" t="s">
        <v>21</v>
      </c>
      <c r="G1222" t="s">
        <v>25</v>
      </c>
      <c r="H1222" s="1">
        <v>519178</v>
      </c>
      <c r="I1222" s="3">
        <v>715</v>
      </c>
      <c r="J1222" s="3">
        <v>1120962</v>
      </c>
      <c r="K1222" s="3">
        <v>17281.45</v>
      </c>
      <c r="L1222" s="2">
        <v>27.1</v>
      </c>
      <c r="M1222" s="11">
        <v>16</v>
      </c>
      <c r="N1222" s="3">
        <v>5</v>
      </c>
      <c r="O1222" s="3">
        <v>272137</v>
      </c>
      <c r="P1222" s="3">
        <v>361350</v>
      </c>
      <c r="Q1222" s="10">
        <v>0</v>
      </c>
      <c r="R1222" s="3">
        <f>(Таблица1[Размер кредита]-$AA$2)/$AA$3</f>
        <v>1.1932175990764462</v>
      </c>
      <c r="S1222" s="3">
        <f>(Таблица1[Кредитный рейтинг]-$AA$7)/($AA$8-$AA$7)</f>
        <v>0.95206391478029295</v>
      </c>
      <c r="T1222" s="3">
        <f>(Таблица1[Срок с последнего нарушения кредитного договора (мес,)]-$AA$12)/($AA$13-$AA$12)</f>
        <v>0.18181818181818182</v>
      </c>
      <c r="U1222" s="3">
        <f>(Таблица1[Количество кредитных карт]-$AA$18)/($AA$19-$AA$18)</f>
        <v>9.5238095238095233E-2</v>
      </c>
      <c r="V1222" s="3">
        <f>(Таблица1[Число нарушений кредитных договоров]-$AA$23)/($AA$24-$AA$23)</f>
        <v>0</v>
      </c>
      <c r="W1222" s="3">
        <f>Таблица1[[#This Row],[Годовой доход]]/12</f>
        <v>93413.5</v>
      </c>
      <c r="X1222" s="3">
        <f>Таблица1[[#This Row],[Ежемесячный платеж]]/Таблица1[[#This Row],[Ежем доход]]</f>
        <v>0.18499949150818673</v>
      </c>
      <c r="Y1222" s="3"/>
      <c r="Z1222" s="3"/>
      <c r="AA1222" s="3"/>
      <c r="AB1222" s="3"/>
    </row>
    <row r="1223" spans="1:28" x14ac:dyDescent="0.2">
      <c r="A1223">
        <v>1214</v>
      </c>
      <c r="B1223" t="s">
        <v>1253</v>
      </c>
      <c r="C1223" t="s">
        <v>18</v>
      </c>
      <c r="D1223" t="s">
        <v>19</v>
      </c>
      <c r="E1223" t="s">
        <v>41</v>
      </c>
      <c r="F1223" t="s">
        <v>33</v>
      </c>
      <c r="G1223" t="s">
        <v>25</v>
      </c>
      <c r="H1223" s="1">
        <v>46596</v>
      </c>
      <c r="I1223" s="3">
        <v>705</v>
      </c>
      <c r="J1223" s="3">
        <v>692664</v>
      </c>
      <c r="K1223" s="3">
        <v>10274.44</v>
      </c>
      <c r="L1223" s="2">
        <v>16.399999999999999</v>
      </c>
      <c r="M1223" s="11">
        <v>35.265240640000002</v>
      </c>
      <c r="N1223" s="3">
        <v>11</v>
      </c>
      <c r="O1223" s="3">
        <v>37430</v>
      </c>
      <c r="P1223" s="3">
        <v>361086</v>
      </c>
      <c r="Q1223" s="10">
        <v>1</v>
      </c>
      <c r="R1223" s="3">
        <f>(Таблица1[Размер кредита]-$AA$2)/$AA$3</f>
        <v>-1.4973244765861153</v>
      </c>
      <c r="S1223" s="3">
        <f>(Таблица1[Кредитный рейтинг]-$AA$7)/($AA$8-$AA$7)</f>
        <v>0.93874833555259651</v>
      </c>
      <c r="T1223" s="3">
        <f>(Таблица1[Срок с последнего нарушения кредитного договора (мес,)]-$AA$12)/($AA$13-$AA$12)</f>
        <v>0.40074137090909095</v>
      </c>
      <c r="U1223" s="3">
        <f>(Таблица1[Количество кредитных карт]-$AA$18)/($AA$19-$AA$18)</f>
        <v>0.23809523809523808</v>
      </c>
      <c r="V1223" s="3">
        <f>(Таблица1[Число нарушений кредитных договоров]-$AA$23)/($AA$24-$AA$23)</f>
        <v>0.14285714285714285</v>
      </c>
      <c r="W1223" s="3">
        <f>Таблица1[[#This Row],[Годовой доход]]/12</f>
        <v>57722</v>
      </c>
      <c r="X1223" s="3">
        <f>Таблица1[[#This Row],[Ежемесячный платеж]]/Таблица1[[#This Row],[Ежем доход]]</f>
        <v>0.17799868334430546</v>
      </c>
      <c r="Y1223" s="3"/>
      <c r="Z1223" s="3"/>
      <c r="AA1223" s="3"/>
      <c r="AB1223" s="3"/>
    </row>
    <row r="1224" spans="1:28" x14ac:dyDescent="0.2">
      <c r="A1224">
        <v>478</v>
      </c>
      <c r="B1224" t="s">
        <v>519</v>
      </c>
      <c r="C1224" t="s">
        <v>18</v>
      </c>
      <c r="D1224" t="s">
        <v>19</v>
      </c>
      <c r="E1224" t="s">
        <v>32</v>
      </c>
      <c r="F1224" t="s">
        <v>33</v>
      </c>
      <c r="G1224" t="s">
        <v>25</v>
      </c>
      <c r="H1224" s="1">
        <v>130988</v>
      </c>
      <c r="I1224" s="3">
        <v>0</v>
      </c>
      <c r="J1224" s="3">
        <v>1168044</v>
      </c>
      <c r="K1224" s="3">
        <v>15955.25</v>
      </c>
      <c r="L1224" s="2">
        <v>14.5</v>
      </c>
      <c r="M1224" s="11">
        <v>35.265240640000002</v>
      </c>
      <c r="N1224" s="3">
        <v>11</v>
      </c>
      <c r="O1224" s="3">
        <v>231610</v>
      </c>
      <c r="P1224" s="3">
        <v>360448</v>
      </c>
      <c r="Q1224" s="10">
        <v>0</v>
      </c>
      <c r="R1224" s="3">
        <f>(Таблица1[Размер кредита]-$AA$2)/$AA$3</f>
        <v>-1.016857114627101</v>
      </c>
      <c r="S1224" s="3">
        <f>(Таблица1[Кредитный рейтинг]-$AA$7)/($AA$8-$AA$7)</f>
        <v>0</v>
      </c>
      <c r="T1224" s="3">
        <f>(Таблица1[Срок с последнего нарушения кредитного договора (мес,)]-$AA$12)/($AA$13-$AA$12)</f>
        <v>0.40074137090909095</v>
      </c>
      <c r="U1224" s="3">
        <f>(Таблица1[Количество кредитных карт]-$AA$18)/($AA$19-$AA$18)</f>
        <v>0.23809523809523808</v>
      </c>
      <c r="V1224" s="3">
        <f>(Таблица1[Число нарушений кредитных договоров]-$AA$23)/($AA$24-$AA$23)</f>
        <v>0</v>
      </c>
      <c r="W1224" s="3">
        <f>Таблица1[[#This Row],[Годовой доход]]/12</f>
        <v>97337</v>
      </c>
      <c r="X1224" s="3">
        <f>Таблица1[[#This Row],[Ежемесячный платеж]]/Таблица1[[#This Row],[Ежем доход]]</f>
        <v>0.16391762639078664</v>
      </c>
      <c r="Y1224" s="3"/>
      <c r="Z1224" s="3"/>
      <c r="AA1224" s="3"/>
      <c r="AB1224" s="3"/>
    </row>
    <row r="1225" spans="1:28" x14ac:dyDescent="0.2">
      <c r="A1225">
        <v>424</v>
      </c>
      <c r="B1225" t="s">
        <v>465</v>
      </c>
      <c r="C1225" t="s">
        <v>35</v>
      </c>
      <c r="D1225" t="s">
        <v>19</v>
      </c>
      <c r="E1225" t="s">
        <v>37</v>
      </c>
      <c r="F1225" t="s">
        <v>33</v>
      </c>
      <c r="G1225" t="s">
        <v>25</v>
      </c>
      <c r="H1225" s="1">
        <v>178046</v>
      </c>
      <c r="I1225" s="3">
        <v>0</v>
      </c>
      <c r="J1225" s="3">
        <v>1168044</v>
      </c>
      <c r="K1225" s="3">
        <v>18759.080000000002</v>
      </c>
      <c r="L1225" s="2">
        <v>23.3</v>
      </c>
      <c r="M1225" s="11">
        <v>35.265240640000002</v>
      </c>
      <c r="N1225" s="3">
        <v>11</v>
      </c>
      <c r="O1225" s="3">
        <v>119757</v>
      </c>
      <c r="P1225" s="3">
        <v>360184</v>
      </c>
      <c r="Q1225" s="10">
        <v>0</v>
      </c>
      <c r="R1225" s="3">
        <f>(Таблица1[Размер кредита]-$AA$2)/$AA$3</f>
        <v>-0.74894270189760892</v>
      </c>
      <c r="S1225" s="3">
        <f>(Таблица1[Кредитный рейтинг]-$AA$7)/($AA$8-$AA$7)</f>
        <v>0</v>
      </c>
      <c r="T1225" s="3">
        <f>(Таблица1[Срок с последнего нарушения кредитного договора (мес,)]-$AA$12)/($AA$13-$AA$12)</f>
        <v>0.40074137090909095</v>
      </c>
      <c r="U1225" s="3">
        <f>(Таблица1[Количество кредитных карт]-$AA$18)/($AA$19-$AA$18)</f>
        <v>0.23809523809523808</v>
      </c>
      <c r="V1225" s="3">
        <f>(Таблица1[Число нарушений кредитных договоров]-$AA$23)/($AA$24-$AA$23)</f>
        <v>0</v>
      </c>
      <c r="W1225" s="3">
        <f>Таблица1[[#This Row],[Годовой доход]]/12</f>
        <v>97337</v>
      </c>
      <c r="X1225" s="3">
        <f>Таблица1[[#This Row],[Ежемесячный платеж]]/Таблица1[[#This Row],[Ежем доход]]</f>
        <v>0.19272301385906698</v>
      </c>
      <c r="Y1225" s="3"/>
      <c r="Z1225" s="3"/>
      <c r="AA1225" s="3"/>
      <c r="AB1225" s="3"/>
    </row>
    <row r="1226" spans="1:28" x14ac:dyDescent="0.2">
      <c r="A1226">
        <v>1894</v>
      </c>
      <c r="B1226" t="s">
        <v>1930</v>
      </c>
      <c r="C1226" t="s">
        <v>18</v>
      </c>
      <c r="D1226" t="s">
        <v>19</v>
      </c>
      <c r="E1226" t="s">
        <v>47</v>
      </c>
      <c r="F1226" t="s">
        <v>33</v>
      </c>
      <c r="G1226" t="s">
        <v>25</v>
      </c>
      <c r="H1226" s="1">
        <v>120912</v>
      </c>
      <c r="I1226" s="3">
        <v>735</v>
      </c>
      <c r="J1226" s="3">
        <v>801154</v>
      </c>
      <c r="K1226" s="3">
        <v>4406.29</v>
      </c>
      <c r="L1226" s="2">
        <v>14.4</v>
      </c>
      <c r="M1226" s="11">
        <v>13</v>
      </c>
      <c r="N1226" s="3">
        <v>11</v>
      </c>
      <c r="O1226" s="3">
        <v>97622</v>
      </c>
      <c r="P1226" s="3">
        <v>359986</v>
      </c>
      <c r="Q1226" s="10">
        <v>1</v>
      </c>
      <c r="R1226" s="3">
        <f>(Таблица1[Размер кредита]-$AA$2)/$AA$3</f>
        <v>-1.0742226130048977</v>
      </c>
      <c r="S1226" s="3">
        <f>(Таблица1[Кредитный рейтинг]-$AA$7)/($AA$8-$AA$7)</f>
        <v>0.97869507323568572</v>
      </c>
      <c r="T1226" s="3">
        <f>(Таблица1[Срок с последнего нарушения кредитного договора (мес,)]-$AA$12)/($AA$13-$AA$12)</f>
        <v>0.14772727272727273</v>
      </c>
      <c r="U1226" s="3">
        <f>(Таблица1[Количество кредитных карт]-$AA$18)/($AA$19-$AA$18)</f>
        <v>0.23809523809523808</v>
      </c>
      <c r="V1226" s="3">
        <f>(Таблица1[Число нарушений кредитных договоров]-$AA$23)/($AA$24-$AA$23)</f>
        <v>0.14285714285714285</v>
      </c>
      <c r="W1226" s="3">
        <f>Таблица1[[#This Row],[Годовой доход]]/12</f>
        <v>66762.833333333328</v>
      </c>
      <c r="X1226" s="3">
        <f>Таблица1[[#This Row],[Ежемесячный платеж]]/Таблица1[[#This Row],[Ежем доход]]</f>
        <v>6.5999146231560973E-2</v>
      </c>
      <c r="Y1226" s="3"/>
      <c r="Z1226" s="3"/>
      <c r="AA1226" s="3"/>
      <c r="AB1226" s="3"/>
    </row>
    <row r="1227" spans="1:28" x14ac:dyDescent="0.2">
      <c r="A1227">
        <v>971</v>
      </c>
      <c r="B1227" t="s">
        <v>1011</v>
      </c>
      <c r="C1227" t="s">
        <v>35</v>
      </c>
      <c r="D1227" t="s">
        <v>29</v>
      </c>
      <c r="E1227" t="s">
        <v>24</v>
      </c>
      <c r="F1227" t="s">
        <v>21</v>
      </c>
      <c r="G1227" t="s">
        <v>25</v>
      </c>
      <c r="H1227" s="1">
        <v>438636</v>
      </c>
      <c r="I1227" s="3">
        <v>0</v>
      </c>
      <c r="J1227" s="3">
        <v>1168044</v>
      </c>
      <c r="K1227" s="3">
        <v>21876.98</v>
      </c>
      <c r="L1227" s="2">
        <v>14</v>
      </c>
      <c r="M1227" s="11">
        <v>35.265240640000002</v>
      </c>
      <c r="N1227" s="3">
        <v>18</v>
      </c>
      <c r="O1227" s="3">
        <v>189601</v>
      </c>
      <c r="P1227" s="3">
        <v>359898</v>
      </c>
      <c r="Q1227" s="10">
        <v>1</v>
      </c>
      <c r="R1227" s="3">
        <f>(Таблица1[Размер кредита]-$AA$2)/$AA$3</f>
        <v>0.73466936859366438</v>
      </c>
      <c r="S1227" s="3">
        <f>(Таблица1[Кредитный рейтинг]-$AA$7)/($AA$8-$AA$7)</f>
        <v>0</v>
      </c>
      <c r="T1227" s="3">
        <f>(Таблица1[Срок с последнего нарушения кредитного договора (мес,)]-$AA$12)/($AA$13-$AA$12)</f>
        <v>0.40074137090909095</v>
      </c>
      <c r="U1227" s="3">
        <f>(Таблица1[Количество кредитных карт]-$AA$18)/($AA$19-$AA$18)</f>
        <v>0.40476190476190477</v>
      </c>
      <c r="V1227" s="3">
        <f>(Таблица1[Число нарушений кредитных договоров]-$AA$23)/($AA$24-$AA$23)</f>
        <v>0.14285714285714285</v>
      </c>
      <c r="W1227" s="3">
        <f>Таблица1[[#This Row],[Годовой доход]]/12</f>
        <v>97337</v>
      </c>
      <c r="X1227" s="3">
        <f>Таблица1[[#This Row],[Ежемесячный платеж]]/Таблица1[[#This Row],[Ежем доход]]</f>
        <v>0.22475502635174702</v>
      </c>
      <c r="Y1227" s="3"/>
      <c r="Z1227" s="3"/>
      <c r="AA1227" s="3"/>
      <c r="AB1227" s="3"/>
    </row>
    <row r="1228" spans="1:28" x14ac:dyDescent="0.2">
      <c r="A1228">
        <v>707</v>
      </c>
      <c r="B1228" t="s">
        <v>748</v>
      </c>
      <c r="C1228" t="s">
        <v>18</v>
      </c>
      <c r="D1228" t="s">
        <v>19</v>
      </c>
      <c r="E1228" t="s">
        <v>20</v>
      </c>
      <c r="F1228" t="s">
        <v>21</v>
      </c>
      <c r="G1228" t="s">
        <v>70</v>
      </c>
      <c r="H1228" s="1">
        <v>297902</v>
      </c>
      <c r="I1228" s="3">
        <v>713</v>
      </c>
      <c r="J1228" s="3">
        <v>808317</v>
      </c>
      <c r="K1228" s="3">
        <v>14482.56</v>
      </c>
      <c r="L1228" s="2">
        <v>21</v>
      </c>
      <c r="M1228" s="11">
        <v>35.265240640000002</v>
      </c>
      <c r="N1228" s="3">
        <v>12</v>
      </c>
      <c r="O1228" s="3">
        <v>232560</v>
      </c>
      <c r="P1228" s="3">
        <v>359524</v>
      </c>
      <c r="Q1228" s="10">
        <v>0</v>
      </c>
      <c r="R1228" s="3">
        <f>(Таблица1[Размер кредита]-$AA$2)/$AA$3</f>
        <v>-6.6568825997528114E-2</v>
      </c>
      <c r="S1228" s="3">
        <f>(Таблица1[Кредитный рейтинг]-$AA$7)/($AA$8-$AA$7)</f>
        <v>0.94940079893475371</v>
      </c>
      <c r="T1228" s="3">
        <f>(Таблица1[Срок с последнего нарушения кредитного договора (мес,)]-$AA$12)/($AA$13-$AA$12)</f>
        <v>0.40074137090909095</v>
      </c>
      <c r="U1228" s="3">
        <f>(Таблица1[Количество кредитных карт]-$AA$18)/($AA$19-$AA$18)</f>
        <v>0.26190476190476192</v>
      </c>
      <c r="V1228" s="3">
        <f>(Таблица1[Число нарушений кредитных договоров]-$AA$23)/($AA$24-$AA$23)</f>
        <v>0</v>
      </c>
      <c r="W1228" s="3">
        <f>Таблица1[[#This Row],[Годовой доход]]/12</f>
        <v>67359.75</v>
      </c>
      <c r="X1228" s="3">
        <f>Таблица1[[#This Row],[Ежемесячный платеж]]/Таблица1[[#This Row],[Ежем доход]]</f>
        <v>0.21500317325999577</v>
      </c>
      <c r="Y1228" s="3"/>
      <c r="Z1228" s="3"/>
      <c r="AA1228" s="3"/>
      <c r="AB1228" s="3"/>
    </row>
    <row r="1229" spans="1:28" x14ac:dyDescent="0.2">
      <c r="A1229">
        <v>962</v>
      </c>
      <c r="B1229" t="s">
        <v>1003</v>
      </c>
      <c r="C1229" t="s">
        <v>18</v>
      </c>
      <c r="D1229" t="s">
        <v>19</v>
      </c>
      <c r="E1229" t="s">
        <v>24</v>
      </c>
      <c r="F1229" t="s">
        <v>21</v>
      </c>
      <c r="G1229" t="s">
        <v>22</v>
      </c>
      <c r="H1229" s="1">
        <v>43824</v>
      </c>
      <c r="I1229" s="3">
        <v>720</v>
      </c>
      <c r="J1229" s="3">
        <v>408709</v>
      </c>
      <c r="K1229" s="3">
        <v>8106.16</v>
      </c>
      <c r="L1229" s="2">
        <v>26</v>
      </c>
      <c r="M1229" s="11">
        <v>9</v>
      </c>
      <c r="N1229" s="3">
        <v>7</v>
      </c>
      <c r="O1229" s="3">
        <v>227278</v>
      </c>
      <c r="P1229" s="3">
        <v>359502</v>
      </c>
      <c r="Q1229" s="10">
        <v>0</v>
      </c>
      <c r="R1229" s="3">
        <f>(Таблица1[Размер кредита]-$AA$2)/$AA$3</f>
        <v>-1.5131062512490026</v>
      </c>
      <c r="S1229" s="3">
        <f>(Таблица1[Кредитный рейтинг]-$AA$7)/($AA$8-$AA$7)</f>
        <v>0.95872170439414117</v>
      </c>
      <c r="T1229" s="3">
        <f>(Таблица1[Срок с последнего нарушения кредитного договора (мес,)]-$AA$12)/($AA$13-$AA$12)</f>
        <v>0.10227272727272728</v>
      </c>
      <c r="U1229" s="3">
        <f>(Таблица1[Количество кредитных карт]-$AA$18)/($AA$19-$AA$18)</f>
        <v>0.14285714285714285</v>
      </c>
      <c r="V1229" s="3">
        <f>(Таблица1[Число нарушений кредитных договоров]-$AA$23)/($AA$24-$AA$23)</f>
        <v>0</v>
      </c>
      <c r="W1229" s="3">
        <f>Таблица1[[#This Row],[Годовой доход]]/12</f>
        <v>34059.083333333336</v>
      </c>
      <c r="X1229" s="3">
        <f>Таблица1[[#This Row],[Ежемесячный платеж]]/Таблица1[[#This Row],[Ежем доход]]</f>
        <v>0.23800288224629257</v>
      </c>
      <c r="Y1229" s="3"/>
      <c r="Z1229" s="3"/>
      <c r="AA1229" s="3"/>
      <c r="AB1229" s="3"/>
    </row>
    <row r="1230" spans="1:28" x14ac:dyDescent="0.2">
      <c r="A1230">
        <v>322</v>
      </c>
      <c r="B1230" t="s">
        <v>364</v>
      </c>
      <c r="C1230" t="s">
        <v>18</v>
      </c>
      <c r="D1230" t="s">
        <v>29</v>
      </c>
      <c r="E1230" t="s">
        <v>41</v>
      </c>
      <c r="F1230" t="s">
        <v>33</v>
      </c>
      <c r="G1230" t="s">
        <v>67</v>
      </c>
      <c r="H1230" s="1">
        <v>712404</v>
      </c>
      <c r="I1230" s="3">
        <v>618</v>
      </c>
      <c r="J1230" s="3">
        <v>6283072</v>
      </c>
      <c r="K1230" s="3">
        <v>20262.93</v>
      </c>
      <c r="L1230" s="2">
        <v>14.7</v>
      </c>
      <c r="M1230" s="11">
        <v>45</v>
      </c>
      <c r="N1230" s="3">
        <v>10</v>
      </c>
      <c r="O1230" s="3">
        <v>135641</v>
      </c>
      <c r="P1230" s="3">
        <v>358556</v>
      </c>
      <c r="Q1230" s="10">
        <v>1</v>
      </c>
      <c r="R1230" s="3">
        <f>(Таблица1[Размер кредита]-$AA$2)/$AA$3</f>
        <v>2.2933074948235848</v>
      </c>
      <c r="S1230" s="3">
        <f>(Таблица1[Кредитный рейтинг]-$AA$7)/($AA$8-$AA$7)</f>
        <v>0.82290279627163787</v>
      </c>
      <c r="T1230" s="3">
        <f>(Таблица1[Срок с последнего нарушения кредитного договора (мес,)]-$AA$12)/($AA$13-$AA$12)</f>
        <v>0.51136363636363635</v>
      </c>
      <c r="U1230" s="3">
        <f>(Таблица1[Количество кредитных карт]-$AA$18)/($AA$19-$AA$18)</f>
        <v>0.21428571428571427</v>
      </c>
      <c r="V1230" s="3">
        <f>(Таблица1[Число нарушений кредитных договоров]-$AA$23)/($AA$24-$AA$23)</f>
        <v>0.14285714285714285</v>
      </c>
      <c r="W1230" s="3">
        <f>Таблица1[[#This Row],[Годовой доход]]/12</f>
        <v>523589.33333333331</v>
      </c>
      <c r="X1230" s="3">
        <f>Таблица1[[#This Row],[Ежемесячный платеж]]/Таблица1[[#This Row],[Ежем доход]]</f>
        <v>3.8700043545577704E-2</v>
      </c>
      <c r="Y1230" s="3"/>
      <c r="Z1230" s="3"/>
      <c r="AA1230" s="3"/>
      <c r="AB1230" s="3"/>
    </row>
    <row r="1231" spans="1:28" x14ac:dyDescent="0.2">
      <c r="A1231">
        <v>879</v>
      </c>
      <c r="B1231" t="s">
        <v>920</v>
      </c>
      <c r="C1231" t="s">
        <v>18</v>
      </c>
      <c r="D1231" t="s">
        <v>19</v>
      </c>
      <c r="E1231" t="s">
        <v>30</v>
      </c>
      <c r="F1231" t="s">
        <v>27</v>
      </c>
      <c r="G1231" t="s">
        <v>25</v>
      </c>
      <c r="H1231" s="1">
        <v>106106</v>
      </c>
      <c r="I1231" s="3">
        <v>719</v>
      </c>
      <c r="J1231" s="3">
        <v>954579</v>
      </c>
      <c r="K1231" s="3">
        <v>4598</v>
      </c>
      <c r="L1231" s="2">
        <v>10.8</v>
      </c>
      <c r="M1231" s="11">
        <v>35.265240640000002</v>
      </c>
      <c r="N1231" s="3">
        <v>9</v>
      </c>
      <c r="O1231" s="3">
        <v>117344</v>
      </c>
      <c r="P1231" s="3">
        <v>358468</v>
      </c>
      <c r="Q1231" s="10">
        <v>1</v>
      </c>
      <c r="R1231" s="3">
        <f>(Таблица1[Размер кредита]-$AA$2)/$AA$3</f>
        <v>-1.1585173300534943</v>
      </c>
      <c r="S1231" s="3">
        <f>(Таблица1[Кредитный рейтинг]-$AA$7)/($AA$8-$AA$7)</f>
        <v>0.95739014647137155</v>
      </c>
      <c r="T1231" s="3">
        <f>(Таблица1[Срок с последнего нарушения кредитного договора (мес,)]-$AA$12)/($AA$13-$AA$12)</f>
        <v>0.40074137090909095</v>
      </c>
      <c r="U1231" s="3">
        <f>(Таблица1[Количество кредитных карт]-$AA$18)/($AA$19-$AA$18)</f>
        <v>0.19047619047619047</v>
      </c>
      <c r="V1231" s="3">
        <f>(Таблица1[Число нарушений кредитных договоров]-$AA$23)/($AA$24-$AA$23)</f>
        <v>0.14285714285714285</v>
      </c>
      <c r="W1231" s="3">
        <f>Таблица1[[#This Row],[Годовой доход]]/12</f>
        <v>79548.25</v>
      </c>
      <c r="X1231" s="3">
        <f>Таблица1[[#This Row],[Ежемесячный платеж]]/Таблица1[[#This Row],[Ежем доход]]</f>
        <v>5.7801397265181825E-2</v>
      </c>
      <c r="Y1231" s="3"/>
      <c r="Z1231" s="3"/>
      <c r="AA1231" s="3"/>
      <c r="AB1231" s="3"/>
    </row>
    <row r="1232" spans="1:28" x14ac:dyDescent="0.2">
      <c r="A1232">
        <v>364</v>
      </c>
      <c r="B1232" t="s">
        <v>406</v>
      </c>
      <c r="C1232" t="s">
        <v>18</v>
      </c>
      <c r="D1232" t="s">
        <v>19</v>
      </c>
      <c r="E1232" t="s">
        <v>52</v>
      </c>
      <c r="F1232" t="s">
        <v>33</v>
      </c>
      <c r="G1232" t="s">
        <v>67</v>
      </c>
      <c r="H1232" s="1">
        <v>44792</v>
      </c>
      <c r="I1232" s="3">
        <v>723</v>
      </c>
      <c r="J1232" s="3">
        <v>502892</v>
      </c>
      <c r="K1232" s="3">
        <v>7794.75</v>
      </c>
      <c r="L1232" s="2">
        <v>7.5</v>
      </c>
      <c r="M1232" s="11">
        <v>35.265240640000002</v>
      </c>
      <c r="N1232" s="3">
        <v>9</v>
      </c>
      <c r="O1232" s="3">
        <v>193781</v>
      </c>
      <c r="P1232" s="3">
        <v>358446</v>
      </c>
      <c r="Q1232" s="10">
        <v>1</v>
      </c>
      <c r="R1232" s="3">
        <f>(Таблица1[Размер кредита]-$AA$2)/$AA$3</f>
        <v>-1.5075951553349785</v>
      </c>
      <c r="S1232" s="3">
        <f>(Таблица1[Кредитный рейтинг]-$AA$7)/($AA$8-$AA$7)</f>
        <v>0.96271637816245004</v>
      </c>
      <c r="T1232" s="3">
        <f>(Таблица1[Срок с последнего нарушения кредитного договора (мес,)]-$AA$12)/($AA$13-$AA$12)</f>
        <v>0.40074137090909095</v>
      </c>
      <c r="U1232" s="3">
        <f>(Таблица1[Количество кредитных карт]-$AA$18)/($AA$19-$AA$18)</f>
        <v>0.19047619047619047</v>
      </c>
      <c r="V1232" s="3">
        <f>(Таблица1[Число нарушений кредитных договоров]-$AA$23)/($AA$24-$AA$23)</f>
        <v>0.14285714285714285</v>
      </c>
      <c r="W1232" s="3">
        <f>Таблица1[[#This Row],[Годовой доход]]/12</f>
        <v>41907.666666666664</v>
      </c>
      <c r="X1232" s="3">
        <f>Таблица1[[#This Row],[Ежемесячный платеж]]/Таблица1[[#This Row],[Ежем доход]]</f>
        <v>0.18599818648934563</v>
      </c>
      <c r="Y1232" s="3"/>
      <c r="Z1232" s="3"/>
      <c r="AA1232" s="3"/>
      <c r="AB1232" s="3"/>
    </row>
    <row r="1233" spans="1:28" x14ac:dyDescent="0.2">
      <c r="A1233">
        <v>201</v>
      </c>
      <c r="B1233" t="s">
        <v>243</v>
      </c>
      <c r="C1233" t="s">
        <v>35</v>
      </c>
      <c r="D1233" t="s">
        <v>29</v>
      </c>
      <c r="E1233" t="s">
        <v>24</v>
      </c>
      <c r="F1233" t="s">
        <v>21</v>
      </c>
      <c r="G1233" t="s">
        <v>22</v>
      </c>
      <c r="H1233" s="1">
        <v>322872</v>
      </c>
      <c r="I1233" s="3">
        <v>708</v>
      </c>
      <c r="J1233" s="3">
        <v>985245</v>
      </c>
      <c r="K1233" s="3">
        <v>10895.17</v>
      </c>
      <c r="L1233" s="2">
        <v>17.5</v>
      </c>
      <c r="M1233" s="11">
        <v>35.265240640000002</v>
      </c>
      <c r="N1233" s="3">
        <v>7</v>
      </c>
      <c r="O1233" s="3">
        <v>106894</v>
      </c>
      <c r="P1233" s="3">
        <v>357698</v>
      </c>
      <c r="Q1233" s="10">
        <v>0</v>
      </c>
      <c r="R1233" s="3">
        <f>(Таблица1[Размер кредита]-$AA$2)/$AA$3</f>
        <v>7.5592398148322054E-2</v>
      </c>
      <c r="S1233" s="3">
        <f>(Таблица1[Кредитный рейтинг]-$AA$7)/($AA$8-$AA$7)</f>
        <v>0.94274300932090549</v>
      </c>
      <c r="T1233" s="3">
        <f>(Таблица1[Срок с последнего нарушения кредитного договора (мес,)]-$AA$12)/($AA$13-$AA$12)</f>
        <v>0.40074137090909095</v>
      </c>
      <c r="U1233" s="3">
        <f>(Таблица1[Количество кредитных карт]-$AA$18)/($AA$19-$AA$18)</f>
        <v>0.14285714285714285</v>
      </c>
      <c r="V1233" s="3">
        <f>(Таблица1[Число нарушений кредитных договоров]-$AA$23)/($AA$24-$AA$23)</f>
        <v>0</v>
      </c>
      <c r="W1233" s="3">
        <f>Таблица1[[#This Row],[Годовой доход]]/12</f>
        <v>82103.75</v>
      </c>
      <c r="X1233" s="3">
        <f>Таблица1[[#This Row],[Ежемесячный платеж]]/Таблица1[[#This Row],[Ежем доход]]</f>
        <v>0.13270002892681515</v>
      </c>
      <c r="Y1233" s="3"/>
      <c r="Z1233" s="3"/>
      <c r="AA1233" s="3"/>
      <c r="AB1233" s="3"/>
    </row>
    <row r="1234" spans="1:28" x14ac:dyDescent="0.2">
      <c r="A1234">
        <v>358</v>
      </c>
      <c r="B1234" t="s">
        <v>400</v>
      </c>
      <c r="C1234" t="s">
        <v>35</v>
      </c>
      <c r="D1234" t="s">
        <v>19</v>
      </c>
      <c r="E1234" t="s">
        <v>41</v>
      </c>
      <c r="F1234" t="s">
        <v>33</v>
      </c>
      <c r="G1234" t="s">
        <v>25</v>
      </c>
      <c r="H1234" s="1">
        <v>147576</v>
      </c>
      <c r="I1234" s="3">
        <v>748</v>
      </c>
      <c r="J1234" s="3">
        <v>463429</v>
      </c>
      <c r="K1234" s="3">
        <v>8573.56</v>
      </c>
      <c r="L1234" s="2">
        <v>12.9</v>
      </c>
      <c r="M1234" s="11">
        <v>36</v>
      </c>
      <c r="N1234" s="3">
        <v>20</v>
      </c>
      <c r="O1234" s="3">
        <v>88939</v>
      </c>
      <c r="P1234" s="3">
        <v>357588</v>
      </c>
      <c r="Q1234" s="10">
        <v>0</v>
      </c>
      <c r="R1234" s="3">
        <f>(Таблица1[Размер кредита]-$AA$2)/$AA$3</f>
        <v>-0.92241697100950537</v>
      </c>
      <c r="S1234" s="3">
        <f>(Таблица1[Кредитный рейтинг]-$AA$7)/($AA$8-$AA$7)</f>
        <v>0.99600532623169102</v>
      </c>
      <c r="T1234" s="3">
        <f>(Таблица1[Срок с последнего нарушения кредитного договора (мес,)]-$AA$12)/($AA$13-$AA$12)</f>
        <v>0.40909090909090912</v>
      </c>
      <c r="U1234" s="3">
        <f>(Таблица1[Количество кредитных карт]-$AA$18)/($AA$19-$AA$18)</f>
        <v>0.45238095238095238</v>
      </c>
      <c r="V1234" s="3">
        <f>(Таблица1[Число нарушений кредитных договоров]-$AA$23)/($AA$24-$AA$23)</f>
        <v>0</v>
      </c>
      <c r="W1234" s="3">
        <f>Таблица1[[#This Row],[Годовой доход]]/12</f>
        <v>38619.083333333336</v>
      </c>
      <c r="X1234" s="3">
        <f>Таблица1[[#This Row],[Ежемесячный платеж]]/Таблица1[[#This Row],[Ежем доход]]</f>
        <v>0.22200319790086503</v>
      </c>
      <c r="Y1234" s="3"/>
      <c r="Z1234" s="3"/>
      <c r="AA1234" s="3"/>
      <c r="AB1234" s="3"/>
    </row>
    <row r="1235" spans="1:28" x14ac:dyDescent="0.2">
      <c r="A1235">
        <v>1663</v>
      </c>
      <c r="B1235" t="s">
        <v>1701</v>
      </c>
      <c r="C1235" t="s">
        <v>18</v>
      </c>
      <c r="D1235" t="s">
        <v>19</v>
      </c>
      <c r="E1235" t="s">
        <v>24</v>
      </c>
      <c r="F1235" t="s">
        <v>21</v>
      </c>
      <c r="G1235" t="s">
        <v>2038</v>
      </c>
      <c r="H1235" s="1">
        <v>216414</v>
      </c>
      <c r="I1235" s="3">
        <v>706</v>
      </c>
      <c r="J1235" s="3">
        <v>1682127</v>
      </c>
      <c r="K1235" s="3">
        <v>11816.86</v>
      </c>
      <c r="L1235" s="2">
        <v>16.100000000000001</v>
      </c>
      <c r="M1235" s="11">
        <v>47</v>
      </c>
      <c r="N1235" s="3">
        <v>18</v>
      </c>
      <c r="O1235" s="3">
        <v>112347</v>
      </c>
      <c r="P1235" s="3">
        <v>357390</v>
      </c>
      <c r="Q1235" s="10">
        <v>1</v>
      </c>
      <c r="R1235" s="3">
        <f>(Таблица1[Размер кредита]-$AA$2)/$AA$3</f>
        <v>-0.53050290021447</v>
      </c>
      <c r="S1235" s="3">
        <f>(Таблица1[Кредитный рейтинг]-$AA$7)/($AA$8-$AA$7)</f>
        <v>0.94007989347536614</v>
      </c>
      <c r="T1235" s="3">
        <f>(Таблица1[Срок с последнего нарушения кредитного договора (мес,)]-$AA$12)/($AA$13-$AA$12)</f>
        <v>0.53409090909090906</v>
      </c>
      <c r="U1235" s="3">
        <f>(Таблица1[Количество кредитных карт]-$AA$18)/($AA$19-$AA$18)</f>
        <v>0.40476190476190477</v>
      </c>
      <c r="V1235" s="3">
        <f>(Таблица1[Число нарушений кредитных договоров]-$AA$23)/($AA$24-$AA$23)</f>
        <v>0.14285714285714285</v>
      </c>
      <c r="W1235" s="3">
        <f>Таблица1[[#This Row],[Годовой доход]]/12</f>
        <v>140177.25</v>
      </c>
      <c r="X1235" s="3">
        <f>Таблица1[[#This Row],[Ежемесячный платеж]]/Таблица1[[#This Row],[Ежем доход]]</f>
        <v>8.4299413777913321E-2</v>
      </c>
      <c r="Y1235" s="3"/>
      <c r="Z1235" s="3"/>
      <c r="AA1235" s="3"/>
      <c r="AB1235" s="3"/>
    </row>
    <row r="1236" spans="1:28" x14ac:dyDescent="0.2">
      <c r="A1236">
        <v>1430</v>
      </c>
      <c r="B1236" t="s">
        <v>1469</v>
      </c>
      <c r="C1236" t="s">
        <v>18</v>
      </c>
      <c r="D1236" t="s">
        <v>19</v>
      </c>
      <c r="E1236" t="s">
        <v>52</v>
      </c>
      <c r="F1236" t="s">
        <v>33</v>
      </c>
      <c r="G1236" t="s">
        <v>25</v>
      </c>
      <c r="H1236" s="1">
        <v>111034</v>
      </c>
      <c r="I1236" s="3">
        <v>701</v>
      </c>
      <c r="J1236" s="3">
        <v>1150716</v>
      </c>
      <c r="K1236" s="3">
        <v>25891.11</v>
      </c>
      <c r="L1236" s="2">
        <v>16.7</v>
      </c>
      <c r="M1236" s="11">
        <v>2</v>
      </c>
      <c r="N1236" s="3">
        <v>13</v>
      </c>
      <c r="O1236" s="3">
        <v>178334</v>
      </c>
      <c r="P1236" s="3">
        <v>357258</v>
      </c>
      <c r="Q1236" s="10">
        <v>1</v>
      </c>
      <c r="R1236" s="3">
        <f>(Таблица1[Размер кредита]-$AA$2)/$AA$3</f>
        <v>-1.1304608417639168</v>
      </c>
      <c r="S1236" s="3">
        <f>(Таблица1[Кредитный рейтинг]-$AA$7)/($AA$8-$AA$7)</f>
        <v>0.93342210386151803</v>
      </c>
      <c r="T1236" s="3">
        <f>(Таблица1[Срок с последнего нарушения кредитного договора (мес,)]-$AA$12)/($AA$13-$AA$12)</f>
        <v>2.2727272727272728E-2</v>
      </c>
      <c r="U1236" s="3">
        <f>(Таблица1[Количество кредитных карт]-$AA$18)/($AA$19-$AA$18)</f>
        <v>0.2857142857142857</v>
      </c>
      <c r="V1236" s="3">
        <f>(Таблица1[Число нарушений кредитных договоров]-$AA$23)/($AA$24-$AA$23)</f>
        <v>0.14285714285714285</v>
      </c>
      <c r="W1236" s="3">
        <f>Таблица1[[#This Row],[Годовой доход]]/12</f>
        <v>95893</v>
      </c>
      <c r="X1236" s="3">
        <f>Таблица1[[#This Row],[Ежемесячный платеж]]/Таблица1[[#This Row],[Ежем доход]]</f>
        <v>0.27</v>
      </c>
      <c r="Y1236" s="3"/>
      <c r="Z1236" s="3"/>
      <c r="AA1236" s="3"/>
      <c r="AB1236" s="3"/>
    </row>
    <row r="1237" spans="1:28" x14ac:dyDescent="0.2">
      <c r="A1237">
        <v>1515</v>
      </c>
      <c r="B1237" t="s">
        <v>1554</v>
      </c>
      <c r="C1237" t="s">
        <v>18</v>
      </c>
      <c r="D1237" t="s">
        <v>19</v>
      </c>
      <c r="E1237" t="s">
        <v>69</v>
      </c>
      <c r="F1237" t="s">
        <v>33</v>
      </c>
      <c r="G1237" t="s">
        <v>25</v>
      </c>
      <c r="H1237" s="1">
        <v>87648</v>
      </c>
      <c r="I1237" s="3">
        <v>746</v>
      </c>
      <c r="J1237" s="3">
        <v>305102</v>
      </c>
      <c r="K1237" s="3">
        <v>5313.73</v>
      </c>
      <c r="L1237" s="2">
        <v>11.4</v>
      </c>
      <c r="M1237" s="11">
        <v>35.265240640000002</v>
      </c>
      <c r="N1237" s="3">
        <v>3</v>
      </c>
      <c r="O1237" s="3">
        <v>120498</v>
      </c>
      <c r="P1237" s="3">
        <v>356840</v>
      </c>
      <c r="Q1237" s="10">
        <v>0</v>
      </c>
      <c r="R1237" s="3">
        <f>(Таблица1[Размер кредита]-$AA$2)/$AA$3</f>
        <v>-1.2636039089595457</v>
      </c>
      <c r="S1237" s="3">
        <f>(Таблица1[Кредитный рейтинг]-$AA$7)/($AA$8-$AA$7)</f>
        <v>0.99334221038615178</v>
      </c>
      <c r="T1237" s="3">
        <f>(Таблица1[Срок с последнего нарушения кредитного договора (мес,)]-$AA$12)/($AA$13-$AA$12)</f>
        <v>0.40074137090909095</v>
      </c>
      <c r="U1237" s="3">
        <f>(Таблица1[Количество кредитных карт]-$AA$18)/($AA$19-$AA$18)</f>
        <v>4.7619047619047616E-2</v>
      </c>
      <c r="V1237" s="3">
        <f>(Таблица1[Число нарушений кредитных договоров]-$AA$23)/($AA$24-$AA$23)</f>
        <v>0</v>
      </c>
      <c r="W1237" s="3">
        <f>Таблица1[[#This Row],[Годовой доход]]/12</f>
        <v>25425.166666666668</v>
      </c>
      <c r="X1237" s="3">
        <f>Таблица1[[#This Row],[Ежемесячный платеж]]/Таблица1[[#This Row],[Ежем доход]]</f>
        <v>0.20899489351102252</v>
      </c>
      <c r="Y1237" s="3"/>
      <c r="Z1237" s="3"/>
      <c r="AA1237" s="3"/>
      <c r="AB1237" s="3"/>
    </row>
    <row r="1238" spans="1:28" x14ac:dyDescent="0.2">
      <c r="A1238">
        <v>1205</v>
      </c>
      <c r="B1238" t="s">
        <v>1244</v>
      </c>
      <c r="C1238" t="s">
        <v>18</v>
      </c>
      <c r="D1238" t="s">
        <v>19</v>
      </c>
      <c r="E1238" t="s">
        <v>24</v>
      </c>
      <c r="F1238" t="s">
        <v>33</v>
      </c>
      <c r="G1238" t="s">
        <v>25</v>
      </c>
      <c r="H1238" s="1">
        <v>251614</v>
      </c>
      <c r="I1238" s="3">
        <v>0</v>
      </c>
      <c r="J1238" s="3">
        <v>1168044</v>
      </c>
      <c r="K1238" s="3">
        <v>5009.7299999999996</v>
      </c>
      <c r="L1238" s="2">
        <v>14</v>
      </c>
      <c r="M1238" s="11">
        <v>63</v>
      </c>
      <c r="N1238" s="3">
        <v>6</v>
      </c>
      <c r="O1238" s="3">
        <v>237424</v>
      </c>
      <c r="P1238" s="3">
        <v>356554</v>
      </c>
      <c r="Q1238" s="10">
        <v>0</v>
      </c>
      <c r="R1238" s="3">
        <f>(Таблица1[Размер кредита]-$AA$2)/$AA$3</f>
        <v>-0.33009941243177371</v>
      </c>
      <c r="S1238" s="3">
        <f>(Таблица1[Кредитный рейтинг]-$AA$7)/($AA$8-$AA$7)</f>
        <v>0</v>
      </c>
      <c r="T1238" s="3">
        <f>(Таблица1[Срок с последнего нарушения кредитного договора (мес,)]-$AA$12)/($AA$13-$AA$12)</f>
        <v>0.71590909090909094</v>
      </c>
      <c r="U1238" s="3">
        <f>(Таблица1[Количество кредитных карт]-$AA$18)/($AA$19-$AA$18)</f>
        <v>0.11904761904761904</v>
      </c>
      <c r="V1238" s="3">
        <f>(Таблица1[Число нарушений кредитных договоров]-$AA$23)/($AA$24-$AA$23)</f>
        <v>0</v>
      </c>
      <c r="W1238" s="3">
        <f>Таблица1[[#This Row],[Годовой доход]]/12</f>
        <v>97337</v>
      </c>
      <c r="X1238" s="3">
        <f>Таблица1[[#This Row],[Ежемесячный платеж]]/Таблица1[[#This Row],[Ежем доход]]</f>
        <v>5.1467889908256875E-2</v>
      </c>
      <c r="Y1238" s="3"/>
      <c r="Z1238" s="3"/>
      <c r="AA1238" s="3"/>
      <c r="AB1238" s="3"/>
    </row>
    <row r="1239" spans="1:28" x14ac:dyDescent="0.2">
      <c r="A1239">
        <v>1255</v>
      </c>
      <c r="B1239" t="s">
        <v>1294</v>
      </c>
      <c r="C1239" t="s">
        <v>18</v>
      </c>
      <c r="D1239" t="s">
        <v>19</v>
      </c>
      <c r="E1239" t="s">
        <v>41</v>
      </c>
      <c r="F1239" t="s">
        <v>27</v>
      </c>
      <c r="G1239" t="s">
        <v>22</v>
      </c>
      <c r="H1239" s="1">
        <v>218878</v>
      </c>
      <c r="I1239" s="3">
        <v>747</v>
      </c>
      <c r="J1239" s="3">
        <v>1058642</v>
      </c>
      <c r="K1239" s="3">
        <v>11115.76</v>
      </c>
      <c r="L1239" s="2">
        <v>16.2</v>
      </c>
      <c r="M1239" s="11">
        <v>35.265240640000002</v>
      </c>
      <c r="N1239" s="3">
        <v>9</v>
      </c>
      <c r="O1239" s="3">
        <v>15086</v>
      </c>
      <c r="P1239" s="3">
        <v>356466</v>
      </c>
      <c r="Q1239" s="10">
        <v>0</v>
      </c>
      <c r="R1239" s="3">
        <f>(Таблица1[Размер кредита]-$AA$2)/$AA$3</f>
        <v>-0.51647465606968124</v>
      </c>
      <c r="S1239" s="3">
        <f>(Таблица1[Кредитный рейтинг]-$AA$7)/($AA$8-$AA$7)</f>
        <v>0.9946737683089214</v>
      </c>
      <c r="T1239" s="3">
        <f>(Таблица1[Срок с последнего нарушения кредитного договора (мес,)]-$AA$12)/($AA$13-$AA$12)</f>
        <v>0.40074137090909095</v>
      </c>
      <c r="U1239" s="3">
        <f>(Таблица1[Количество кредитных карт]-$AA$18)/($AA$19-$AA$18)</f>
        <v>0.19047619047619047</v>
      </c>
      <c r="V1239" s="3">
        <f>(Таблица1[Число нарушений кредитных договоров]-$AA$23)/($AA$24-$AA$23)</f>
        <v>0</v>
      </c>
      <c r="W1239" s="3">
        <f>Таблица1[[#This Row],[Годовой доход]]/12</f>
        <v>88220.166666666672</v>
      </c>
      <c r="X1239" s="3">
        <f>Таблица1[[#This Row],[Ежемесячный платеж]]/Таблица1[[#This Row],[Ежем доход]]</f>
        <v>0.12600021537025735</v>
      </c>
      <c r="Y1239" s="3"/>
      <c r="Z1239" s="3"/>
      <c r="AA1239" s="3"/>
      <c r="AB1239" s="3"/>
    </row>
    <row r="1240" spans="1:28" x14ac:dyDescent="0.2">
      <c r="A1240">
        <v>586</v>
      </c>
      <c r="B1240" t="s">
        <v>627</v>
      </c>
      <c r="C1240" t="s">
        <v>18</v>
      </c>
      <c r="D1240" t="s">
        <v>19</v>
      </c>
      <c r="E1240" t="s">
        <v>37</v>
      </c>
      <c r="F1240" t="s">
        <v>33</v>
      </c>
      <c r="G1240" t="s">
        <v>25</v>
      </c>
      <c r="H1240" s="1">
        <v>132704</v>
      </c>
      <c r="I1240" s="3">
        <v>746</v>
      </c>
      <c r="J1240" s="3">
        <v>1375391</v>
      </c>
      <c r="K1240" s="3">
        <v>12493.07</v>
      </c>
      <c r="L1240" s="2">
        <v>15.5</v>
      </c>
      <c r="M1240" s="11">
        <v>53</v>
      </c>
      <c r="N1240" s="3">
        <v>11</v>
      </c>
      <c r="O1240" s="3">
        <v>129808</v>
      </c>
      <c r="P1240" s="3">
        <v>356158</v>
      </c>
      <c r="Q1240" s="10">
        <v>0</v>
      </c>
      <c r="R1240" s="3">
        <f>(Таблица1[Размер кредита]-$AA$2)/$AA$3</f>
        <v>-1.0070874445976945</v>
      </c>
      <c r="S1240" s="3">
        <f>(Таблица1[Кредитный рейтинг]-$AA$7)/($AA$8-$AA$7)</f>
        <v>0.99334221038615178</v>
      </c>
      <c r="T1240" s="3">
        <f>(Таблица1[Срок с последнего нарушения кредитного договора (мес,)]-$AA$12)/($AA$13-$AA$12)</f>
        <v>0.60227272727272729</v>
      </c>
      <c r="U1240" s="3">
        <f>(Таблица1[Количество кредитных карт]-$AA$18)/($AA$19-$AA$18)</f>
        <v>0.23809523809523808</v>
      </c>
      <c r="V1240" s="3">
        <f>(Таблица1[Число нарушений кредитных договоров]-$AA$23)/($AA$24-$AA$23)</f>
        <v>0</v>
      </c>
      <c r="W1240" s="3">
        <f>Таблица1[[#This Row],[Годовой доход]]/12</f>
        <v>114615.91666666667</v>
      </c>
      <c r="X1240" s="3">
        <f>Таблица1[[#This Row],[Ежемесячный платеж]]/Таблица1[[#This Row],[Ежем доход]]</f>
        <v>0.10899943361560457</v>
      </c>
      <c r="Y1240" s="3"/>
      <c r="Z1240" s="3"/>
      <c r="AA1240" s="3"/>
      <c r="AB1240" s="3"/>
    </row>
    <row r="1241" spans="1:28" x14ac:dyDescent="0.2">
      <c r="A1241">
        <v>1220</v>
      </c>
      <c r="B1241" t="s">
        <v>1259</v>
      </c>
      <c r="C1241" t="s">
        <v>18</v>
      </c>
      <c r="D1241" t="s">
        <v>19</v>
      </c>
      <c r="E1241" t="s">
        <v>69</v>
      </c>
      <c r="F1241" t="s">
        <v>21</v>
      </c>
      <c r="G1241" t="s">
        <v>25</v>
      </c>
      <c r="H1241" s="1">
        <v>215974</v>
      </c>
      <c r="I1241" s="3">
        <v>741</v>
      </c>
      <c r="J1241" s="3">
        <v>1865230</v>
      </c>
      <c r="K1241" s="3">
        <v>25180.7</v>
      </c>
      <c r="L1241" s="2">
        <v>22.7</v>
      </c>
      <c r="M1241" s="11">
        <v>35</v>
      </c>
      <c r="N1241" s="3">
        <v>10</v>
      </c>
      <c r="O1241" s="3">
        <v>180215</v>
      </c>
      <c r="P1241" s="3">
        <v>356092</v>
      </c>
      <c r="Q1241" s="10">
        <v>0</v>
      </c>
      <c r="R1241" s="3">
        <f>(Таблица1[Размер кредита]-$AA$2)/$AA$3</f>
        <v>-0.53300794381175365</v>
      </c>
      <c r="S1241" s="3">
        <f>(Таблица1[Кредитный рейтинг]-$AA$7)/($AA$8-$AA$7)</f>
        <v>0.98668442077230356</v>
      </c>
      <c r="T1241" s="3">
        <f>(Таблица1[Срок с последнего нарушения кредитного договора (мес,)]-$AA$12)/($AA$13-$AA$12)</f>
        <v>0.39772727272727271</v>
      </c>
      <c r="U1241" s="3">
        <f>(Таблица1[Количество кредитных карт]-$AA$18)/($AA$19-$AA$18)</f>
        <v>0.21428571428571427</v>
      </c>
      <c r="V1241" s="3">
        <f>(Таблица1[Число нарушений кредитных договоров]-$AA$23)/($AA$24-$AA$23)</f>
        <v>0</v>
      </c>
      <c r="W1241" s="3">
        <f>Таблица1[[#This Row],[Годовой доход]]/12</f>
        <v>155435.83333333334</v>
      </c>
      <c r="X1241" s="3">
        <f>Таблица1[[#This Row],[Ежемесячный платеж]]/Таблица1[[#This Row],[Ежем доход]]</f>
        <v>0.16200061118467962</v>
      </c>
      <c r="Y1241" s="3"/>
      <c r="Z1241" s="3"/>
      <c r="AA1241" s="3"/>
      <c r="AB1241" s="3"/>
    </row>
    <row r="1242" spans="1:28" x14ac:dyDescent="0.2">
      <c r="A1242">
        <v>945</v>
      </c>
      <c r="B1242" t="s">
        <v>986</v>
      </c>
      <c r="C1242" t="s">
        <v>18</v>
      </c>
      <c r="D1242" t="s">
        <v>19</v>
      </c>
      <c r="E1242" t="s">
        <v>63</v>
      </c>
      <c r="F1242" t="s">
        <v>33</v>
      </c>
      <c r="G1242" t="s">
        <v>25</v>
      </c>
      <c r="H1242" s="1">
        <v>387970</v>
      </c>
      <c r="I1242" s="3">
        <v>0</v>
      </c>
      <c r="J1242" s="3">
        <v>1168044</v>
      </c>
      <c r="K1242" s="3">
        <v>12942.99</v>
      </c>
      <c r="L1242" s="2">
        <v>14.4</v>
      </c>
      <c r="M1242" s="11">
        <v>12</v>
      </c>
      <c r="N1242" s="3">
        <v>7</v>
      </c>
      <c r="O1242" s="3">
        <v>248121</v>
      </c>
      <c r="P1242" s="3">
        <v>355586</v>
      </c>
      <c r="Q1242" s="10">
        <v>0</v>
      </c>
      <c r="R1242" s="3">
        <f>(Таблица1[Размер кредита]-$AA$2)/$AA$3</f>
        <v>0.44621359836644597</v>
      </c>
      <c r="S1242" s="3">
        <f>(Таблица1[Кредитный рейтинг]-$AA$7)/($AA$8-$AA$7)</f>
        <v>0</v>
      </c>
      <c r="T1242" s="3">
        <f>(Таблица1[Срок с последнего нарушения кредитного договора (мес,)]-$AA$12)/($AA$13-$AA$12)</f>
        <v>0.13636363636363635</v>
      </c>
      <c r="U1242" s="3">
        <f>(Таблица1[Количество кредитных карт]-$AA$18)/($AA$19-$AA$18)</f>
        <v>0.14285714285714285</v>
      </c>
      <c r="V1242" s="3">
        <f>(Таблица1[Число нарушений кредитных договоров]-$AA$23)/($AA$24-$AA$23)</f>
        <v>0</v>
      </c>
      <c r="W1242" s="3">
        <f>Таблица1[[#This Row],[Годовой доход]]/12</f>
        <v>97337</v>
      </c>
      <c r="X1242" s="3">
        <f>Таблица1[[#This Row],[Ежемесячный платеж]]/Таблица1[[#This Row],[Ежем доход]]</f>
        <v>0.13297091547921139</v>
      </c>
      <c r="Y1242" s="3"/>
      <c r="Z1242" s="3"/>
      <c r="AA1242" s="3"/>
      <c r="AB1242" s="3"/>
    </row>
    <row r="1243" spans="1:28" x14ac:dyDescent="0.2">
      <c r="A1243">
        <v>996</v>
      </c>
      <c r="B1243" t="s">
        <v>1036</v>
      </c>
      <c r="C1243" t="s">
        <v>18</v>
      </c>
      <c r="D1243" t="s">
        <v>19</v>
      </c>
      <c r="E1243" t="s">
        <v>24</v>
      </c>
      <c r="F1243" t="s">
        <v>21</v>
      </c>
      <c r="G1243" t="s">
        <v>22</v>
      </c>
      <c r="H1243" s="1">
        <v>309594.52439999999</v>
      </c>
      <c r="I1243" s="3">
        <v>726</v>
      </c>
      <c r="J1243" s="3">
        <v>742824</v>
      </c>
      <c r="K1243" s="3">
        <v>19127.68</v>
      </c>
      <c r="L1243" s="2">
        <v>18.899999999999999</v>
      </c>
      <c r="M1243" s="11">
        <v>11</v>
      </c>
      <c r="N1243" s="3">
        <v>15</v>
      </c>
      <c r="O1243" s="3">
        <v>265867</v>
      </c>
      <c r="P1243" s="3">
        <v>354662</v>
      </c>
      <c r="Q1243" s="10">
        <v>0</v>
      </c>
      <c r="R1243" s="3">
        <f>(Таблица1[Размер кредита]-$AA$2)/$AA$3</f>
        <v>-1.2411115481956205E-10</v>
      </c>
      <c r="S1243" s="3">
        <f>(Таблица1[Кредитный рейтинг]-$AA$7)/($AA$8-$AA$7)</f>
        <v>0.96671105193075901</v>
      </c>
      <c r="T1243" s="3">
        <f>(Таблица1[Срок с последнего нарушения кредитного договора (мес,)]-$AA$12)/($AA$13-$AA$12)</f>
        <v>0.125</v>
      </c>
      <c r="U1243" s="3">
        <f>(Таблица1[Количество кредитных карт]-$AA$18)/($AA$19-$AA$18)</f>
        <v>0.33333333333333331</v>
      </c>
      <c r="V1243" s="3">
        <f>(Таблица1[Число нарушений кредитных договоров]-$AA$23)/($AA$24-$AA$23)</f>
        <v>0</v>
      </c>
      <c r="W1243" s="3">
        <f>Таблица1[[#This Row],[Годовой доход]]/12</f>
        <v>61902</v>
      </c>
      <c r="X1243" s="3">
        <f>Таблица1[[#This Row],[Ежемесячный платеж]]/Таблица1[[#This Row],[Ежем доход]]</f>
        <v>0.30899938612645794</v>
      </c>
      <c r="Y1243" s="3"/>
      <c r="Z1243" s="3"/>
      <c r="AA1243" s="3"/>
      <c r="AB1243" s="3"/>
    </row>
    <row r="1244" spans="1:28" x14ac:dyDescent="0.2">
      <c r="A1244">
        <v>913</v>
      </c>
      <c r="B1244" t="s">
        <v>954</v>
      </c>
      <c r="C1244" t="s">
        <v>18</v>
      </c>
      <c r="D1244" t="s">
        <v>19</v>
      </c>
      <c r="E1244" t="s">
        <v>24</v>
      </c>
      <c r="F1244" t="s">
        <v>21</v>
      </c>
      <c r="G1244" t="s">
        <v>22</v>
      </c>
      <c r="H1244" s="1">
        <v>171380</v>
      </c>
      <c r="I1244" s="3">
        <v>747</v>
      </c>
      <c r="J1244" s="3">
        <v>801762</v>
      </c>
      <c r="K1244" s="3">
        <v>9393.98</v>
      </c>
      <c r="L1244" s="2">
        <v>26.1</v>
      </c>
      <c r="M1244" s="11">
        <v>44</v>
      </c>
      <c r="N1244" s="3">
        <v>6</v>
      </c>
      <c r="O1244" s="3">
        <v>3059</v>
      </c>
      <c r="P1244" s="3">
        <v>354574</v>
      </c>
      <c r="Q1244" s="10">
        <v>0</v>
      </c>
      <c r="R1244" s="3">
        <f>(Таблица1[Размер кредита]-$AA$2)/$AA$3</f>
        <v>-0.78689411239645701</v>
      </c>
      <c r="S1244" s="3">
        <f>(Таблица1[Кредитный рейтинг]-$AA$7)/($AA$8-$AA$7)</f>
        <v>0.9946737683089214</v>
      </c>
      <c r="T1244" s="3">
        <f>(Таблица1[Срок с последнего нарушения кредитного договора (мес,)]-$AA$12)/($AA$13-$AA$12)</f>
        <v>0.5</v>
      </c>
      <c r="U1244" s="3">
        <f>(Таблица1[Количество кредитных карт]-$AA$18)/($AA$19-$AA$18)</f>
        <v>0.11904761904761904</v>
      </c>
      <c r="V1244" s="3">
        <f>(Таблица1[Число нарушений кредитных договоров]-$AA$23)/($AA$24-$AA$23)</f>
        <v>0</v>
      </c>
      <c r="W1244" s="3">
        <f>Таблица1[[#This Row],[Годовой доход]]/12</f>
        <v>66813.5</v>
      </c>
      <c r="X1244" s="3">
        <f>Таблица1[[#This Row],[Ежемесячный платеж]]/Таблица1[[#This Row],[Ежем доход]]</f>
        <v>0.14060002843736669</v>
      </c>
      <c r="Y1244" s="3"/>
      <c r="Z1244" s="3"/>
      <c r="AA1244" s="3"/>
      <c r="AB1244" s="3"/>
    </row>
    <row r="1245" spans="1:28" x14ac:dyDescent="0.2">
      <c r="A1245">
        <v>844</v>
      </c>
      <c r="B1245" t="s">
        <v>885</v>
      </c>
      <c r="C1245" t="s">
        <v>35</v>
      </c>
      <c r="D1245" t="s">
        <v>19</v>
      </c>
      <c r="E1245" t="s">
        <v>52</v>
      </c>
      <c r="F1245" t="s">
        <v>33</v>
      </c>
      <c r="G1245" t="s">
        <v>25</v>
      </c>
      <c r="H1245" s="1">
        <v>94908</v>
      </c>
      <c r="I1245" s="3">
        <v>738</v>
      </c>
      <c r="J1245" s="3">
        <v>768170</v>
      </c>
      <c r="K1245" s="3">
        <v>5281.24</v>
      </c>
      <c r="L1245" s="2">
        <v>15.4</v>
      </c>
      <c r="M1245" s="11">
        <v>35.265240640000002</v>
      </c>
      <c r="N1245" s="3">
        <v>10</v>
      </c>
      <c r="O1245" s="3">
        <v>213579</v>
      </c>
      <c r="P1245" s="3">
        <v>353782</v>
      </c>
      <c r="Q1245" s="10">
        <v>0</v>
      </c>
      <c r="R1245" s="3">
        <f>(Таблица1[Размер кредита]-$AA$2)/$AA$3</f>
        <v>-1.2222706896043647</v>
      </c>
      <c r="S1245" s="3">
        <f>(Таблица1[Кредитный рейтинг]-$AA$7)/($AA$8-$AA$7)</f>
        <v>0.9826897470039947</v>
      </c>
      <c r="T1245" s="3">
        <f>(Таблица1[Срок с последнего нарушения кредитного договора (мес,)]-$AA$12)/($AA$13-$AA$12)</f>
        <v>0.40074137090909095</v>
      </c>
      <c r="U1245" s="3">
        <f>(Таблица1[Количество кредитных карт]-$AA$18)/($AA$19-$AA$18)</f>
        <v>0.21428571428571427</v>
      </c>
      <c r="V1245" s="3">
        <f>(Таблица1[Число нарушений кредитных договоров]-$AA$23)/($AA$24-$AA$23)</f>
        <v>0</v>
      </c>
      <c r="W1245" s="3">
        <f>Таблица1[[#This Row],[Годовой доход]]/12</f>
        <v>64014.166666666664</v>
      </c>
      <c r="X1245" s="3">
        <f>Таблица1[[#This Row],[Ежемесячный платеж]]/Таблица1[[#This Row],[Ежем доход]]</f>
        <v>8.250111303487509E-2</v>
      </c>
      <c r="Y1245" s="3"/>
      <c r="Z1245" s="3"/>
      <c r="AA1245" s="3"/>
      <c r="AB1245" s="3"/>
    </row>
    <row r="1246" spans="1:28" x14ac:dyDescent="0.2">
      <c r="A1246">
        <v>839</v>
      </c>
      <c r="B1246" t="s">
        <v>880</v>
      </c>
      <c r="C1246" t="s">
        <v>18</v>
      </c>
      <c r="D1246" t="s">
        <v>19</v>
      </c>
      <c r="E1246" t="s">
        <v>24</v>
      </c>
      <c r="F1246" t="s">
        <v>33</v>
      </c>
      <c r="G1246" t="s">
        <v>25</v>
      </c>
      <c r="H1246" s="1">
        <v>386694</v>
      </c>
      <c r="I1246" s="3">
        <v>740</v>
      </c>
      <c r="J1246" s="3">
        <v>1726910</v>
      </c>
      <c r="K1246" s="3">
        <v>17412.93</v>
      </c>
      <c r="L1246" s="2">
        <v>11.8</v>
      </c>
      <c r="M1246" s="11">
        <v>77</v>
      </c>
      <c r="N1246" s="3">
        <v>8</v>
      </c>
      <c r="O1246" s="3">
        <v>298756</v>
      </c>
      <c r="P1246" s="3">
        <v>353694</v>
      </c>
      <c r="Q1246" s="10">
        <v>0</v>
      </c>
      <c r="R1246" s="3">
        <f>(Таблица1[Размер кредита]-$AA$2)/$AA$3</f>
        <v>0.4389489719343232</v>
      </c>
      <c r="S1246" s="3">
        <f>(Таблица1[Кредитный рейтинг]-$AA$7)/($AA$8-$AA$7)</f>
        <v>0.98535286284953394</v>
      </c>
      <c r="T1246" s="3">
        <f>(Таблица1[Срок с последнего нарушения кредитного договора (мес,)]-$AA$12)/($AA$13-$AA$12)</f>
        <v>0.875</v>
      </c>
      <c r="U1246" s="3">
        <f>(Таблица1[Количество кредитных карт]-$AA$18)/($AA$19-$AA$18)</f>
        <v>0.16666666666666666</v>
      </c>
      <c r="V1246" s="3">
        <f>(Таблица1[Число нарушений кредитных договоров]-$AA$23)/($AA$24-$AA$23)</f>
        <v>0</v>
      </c>
      <c r="W1246" s="3">
        <f>Таблица1[[#This Row],[Годовой доход]]/12</f>
        <v>143909.16666666666</v>
      </c>
      <c r="X1246" s="3">
        <f>Таблица1[[#This Row],[Ежемесячный платеж]]/Таблица1[[#This Row],[Ежем доход]]</f>
        <v>0.12099944988447575</v>
      </c>
      <c r="Y1246" s="3"/>
      <c r="Z1246" s="3"/>
      <c r="AA1246" s="3"/>
      <c r="AB1246" s="3"/>
    </row>
    <row r="1247" spans="1:28" x14ac:dyDescent="0.2">
      <c r="A1247">
        <v>690</v>
      </c>
      <c r="B1247" t="s">
        <v>731</v>
      </c>
      <c r="C1247" t="s">
        <v>35</v>
      </c>
      <c r="D1247" t="s">
        <v>19</v>
      </c>
      <c r="E1247" t="s">
        <v>63</v>
      </c>
      <c r="F1247" t="s">
        <v>21</v>
      </c>
      <c r="G1247" t="s">
        <v>67</v>
      </c>
      <c r="H1247" s="1">
        <v>208670</v>
      </c>
      <c r="I1247" s="3">
        <v>720</v>
      </c>
      <c r="J1247" s="3">
        <v>575130</v>
      </c>
      <c r="K1247" s="3">
        <v>12604.98</v>
      </c>
      <c r="L1247" s="2">
        <v>22.5</v>
      </c>
      <c r="M1247" s="11">
        <v>55</v>
      </c>
      <c r="N1247" s="3">
        <v>5</v>
      </c>
      <c r="O1247" s="3">
        <v>245746</v>
      </c>
      <c r="P1247" s="3">
        <v>353034</v>
      </c>
      <c r="Q1247" s="10">
        <v>0</v>
      </c>
      <c r="R1247" s="3">
        <f>(Таблица1[Размер кредита]-$AA$2)/$AA$3</f>
        <v>-0.57459166752666313</v>
      </c>
      <c r="S1247" s="3">
        <f>(Таблица1[Кредитный рейтинг]-$AA$7)/($AA$8-$AA$7)</f>
        <v>0.95872170439414117</v>
      </c>
      <c r="T1247" s="3">
        <f>(Таблица1[Срок с последнего нарушения кредитного договора (мес,)]-$AA$12)/($AA$13-$AA$12)</f>
        <v>0.625</v>
      </c>
      <c r="U1247" s="3">
        <f>(Таблица1[Количество кредитных карт]-$AA$18)/($AA$19-$AA$18)</f>
        <v>9.5238095238095233E-2</v>
      </c>
      <c r="V1247" s="3">
        <f>(Таблица1[Число нарушений кредитных договоров]-$AA$23)/($AA$24-$AA$23)</f>
        <v>0</v>
      </c>
      <c r="W1247" s="3">
        <f>Таблица1[[#This Row],[Годовой доход]]/12</f>
        <v>47927.5</v>
      </c>
      <c r="X1247" s="3">
        <f>Таблица1[[#This Row],[Ежемесячный платеж]]/Таблица1[[#This Row],[Ежем доход]]</f>
        <v>0.26300099108027747</v>
      </c>
      <c r="Y1247" s="3"/>
      <c r="Z1247" s="3"/>
      <c r="AA1247" s="3"/>
      <c r="AB1247" s="3"/>
    </row>
    <row r="1248" spans="1:28" x14ac:dyDescent="0.2">
      <c r="A1248">
        <v>538</v>
      </c>
      <c r="B1248" t="s">
        <v>579</v>
      </c>
      <c r="C1248" t="s">
        <v>18</v>
      </c>
      <c r="D1248" t="s">
        <v>19</v>
      </c>
      <c r="E1248" t="s">
        <v>69</v>
      </c>
      <c r="F1248" t="s">
        <v>21</v>
      </c>
      <c r="G1248" t="s">
        <v>70</v>
      </c>
      <c r="H1248" s="1">
        <v>608014</v>
      </c>
      <c r="I1248" s="3">
        <v>709</v>
      </c>
      <c r="J1248" s="3">
        <v>1067686</v>
      </c>
      <c r="K1248" s="3">
        <v>16460.080000000002</v>
      </c>
      <c r="L1248" s="2">
        <v>18.100000000000001</v>
      </c>
      <c r="M1248" s="11">
        <v>13</v>
      </c>
      <c r="N1248" s="3">
        <v>7</v>
      </c>
      <c r="O1248" s="3">
        <v>88084</v>
      </c>
      <c r="P1248" s="3">
        <v>352946</v>
      </c>
      <c r="Q1248" s="10">
        <v>0</v>
      </c>
      <c r="R1248" s="3">
        <f>(Таблица1[Размер кредита]-$AA$2)/$AA$3</f>
        <v>1.698985901368026</v>
      </c>
      <c r="S1248" s="3">
        <f>(Таблица1[Кредитный рейтинг]-$AA$7)/($AA$8-$AA$7)</f>
        <v>0.94407456724367511</v>
      </c>
      <c r="T1248" s="3">
        <f>(Таблица1[Срок с последнего нарушения кредитного договора (мес,)]-$AA$12)/($AA$13-$AA$12)</f>
        <v>0.14772727272727273</v>
      </c>
      <c r="U1248" s="3">
        <f>(Таблица1[Количество кредитных карт]-$AA$18)/($AA$19-$AA$18)</f>
        <v>0.14285714285714285</v>
      </c>
      <c r="V1248" s="3">
        <f>(Таблица1[Число нарушений кредитных договоров]-$AA$23)/($AA$24-$AA$23)</f>
        <v>0</v>
      </c>
      <c r="W1248" s="3">
        <f>Таблица1[[#This Row],[Годовой доход]]/12</f>
        <v>88973.833333333328</v>
      </c>
      <c r="X1248" s="3">
        <f>Таблица1[[#This Row],[Ежемесячный платеж]]/Таблица1[[#This Row],[Ежем доход]]</f>
        <v>0.18499911022529097</v>
      </c>
      <c r="Y1248" s="3"/>
      <c r="Z1248" s="3"/>
      <c r="AA1248" s="3"/>
      <c r="AB1248" s="3"/>
    </row>
    <row r="1249" spans="1:28" x14ac:dyDescent="0.2">
      <c r="A1249">
        <v>671</v>
      </c>
      <c r="B1249" t="s">
        <v>712</v>
      </c>
      <c r="C1249" t="s">
        <v>18</v>
      </c>
      <c r="D1249" t="s">
        <v>19</v>
      </c>
      <c r="E1249" t="s">
        <v>63</v>
      </c>
      <c r="F1249" t="s">
        <v>21</v>
      </c>
      <c r="G1249" t="s">
        <v>25</v>
      </c>
      <c r="H1249" s="1">
        <v>309594.52439999999</v>
      </c>
      <c r="I1249" s="3">
        <v>729</v>
      </c>
      <c r="J1249" s="3">
        <v>523925</v>
      </c>
      <c r="K1249" s="3">
        <v>2942.72</v>
      </c>
      <c r="L1249" s="2">
        <v>37.1</v>
      </c>
      <c r="M1249" s="11">
        <v>35.265240640000002</v>
      </c>
      <c r="N1249" s="3">
        <v>4</v>
      </c>
      <c r="O1249" s="3">
        <v>294880</v>
      </c>
      <c r="P1249" s="3">
        <v>351648</v>
      </c>
      <c r="Q1249" s="10">
        <v>0</v>
      </c>
      <c r="R1249" s="3">
        <f>(Таблица1[Размер кредита]-$AA$2)/$AA$3</f>
        <v>-1.2411115481956205E-10</v>
      </c>
      <c r="S1249" s="3">
        <f>(Таблица1[Кредитный рейтинг]-$AA$7)/($AA$8-$AA$7)</f>
        <v>0.97070572569906788</v>
      </c>
      <c r="T1249" s="3">
        <f>(Таблица1[Срок с последнего нарушения кредитного договора (мес,)]-$AA$12)/($AA$13-$AA$12)</f>
        <v>0.40074137090909095</v>
      </c>
      <c r="U1249" s="3">
        <f>(Таблица1[Количество кредитных карт]-$AA$18)/($AA$19-$AA$18)</f>
        <v>7.1428571428571425E-2</v>
      </c>
      <c r="V1249" s="3">
        <f>(Таблица1[Число нарушений кредитных договоров]-$AA$23)/($AA$24-$AA$23)</f>
        <v>0</v>
      </c>
      <c r="W1249" s="3">
        <f>Таблица1[[#This Row],[Годовой доход]]/12</f>
        <v>43660.416666666664</v>
      </c>
      <c r="X1249" s="3">
        <f>Таблица1[[#This Row],[Ежемесячный платеж]]/Таблица1[[#This Row],[Ежем доход]]</f>
        <v>6.7400181323662739E-2</v>
      </c>
      <c r="Y1249" s="3"/>
      <c r="Z1249" s="3"/>
      <c r="AA1249" s="3"/>
      <c r="AB1249" s="3"/>
    </row>
    <row r="1250" spans="1:28" x14ac:dyDescent="0.2">
      <c r="A1250">
        <v>1725</v>
      </c>
      <c r="B1250" t="s">
        <v>1763</v>
      </c>
      <c r="C1250" t="s">
        <v>18</v>
      </c>
      <c r="D1250" t="s">
        <v>19</v>
      </c>
      <c r="E1250" t="s">
        <v>20</v>
      </c>
      <c r="F1250" t="s">
        <v>33</v>
      </c>
      <c r="G1250" t="s">
        <v>25</v>
      </c>
      <c r="H1250" s="1">
        <v>130064</v>
      </c>
      <c r="I1250" s="3">
        <v>710</v>
      </c>
      <c r="J1250" s="3">
        <v>936035</v>
      </c>
      <c r="K1250" s="3">
        <v>12558.43</v>
      </c>
      <c r="L1250" s="2">
        <v>15.8</v>
      </c>
      <c r="M1250" s="11">
        <v>64</v>
      </c>
      <c r="N1250" s="3">
        <v>7</v>
      </c>
      <c r="O1250" s="3">
        <v>233947</v>
      </c>
      <c r="P1250" s="3">
        <v>351362</v>
      </c>
      <c r="Q1250" s="10">
        <v>0</v>
      </c>
      <c r="R1250" s="3">
        <f>(Таблица1[Размер кредита]-$AA$2)/$AA$3</f>
        <v>-1.0221177061813966</v>
      </c>
      <c r="S1250" s="3">
        <f>(Таблица1[Кредитный рейтинг]-$AA$7)/($AA$8-$AA$7)</f>
        <v>0.94540612516644473</v>
      </c>
      <c r="T1250" s="3">
        <f>(Таблица1[Срок с последнего нарушения кредитного договора (мес,)]-$AA$12)/($AA$13-$AA$12)</f>
        <v>0.72727272727272729</v>
      </c>
      <c r="U1250" s="3">
        <f>(Таблица1[Количество кредитных карт]-$AA$18)/($AA$19-$AA$18)</f>
        <v>0.14285714285714285</v>
      </c>
      <c r="V1250" s="3">
        <f>(Таблица1[Число нарушений кредитных договоров]-$AA$23)/($AA$24-$AA$23)</f>
        <v>0</v>
      </c>
      <c r="W1250" s="3">
        <f>Таблица1[[#This Row],[Годовой доход]]/12</f>
        <v>78002.916666666672</v>
      </c>
      <c r="X1250" s="3">
        <f>Таблица1[[#This Row],[Ежемесячный платеж]]/Таблица1[[#This Row],[Ежем доход]]</f>
        <v>0.16099949254034304</v>
      </c>
      <c r="Y1250" s="3"/>
      <c r="Z1250" s="3"/>
      <c r="AA1250" s="3"/>
      <c r="AB1250" s="3"/>
    </row>
    <row r="1251" spans="1:28" x14ac:dyDescent="0.2">
      <c r="A1251">
        <v>150</v>
      </c>
      <c r="B1251" t="s">
        <v>192</v>
      </c>
      <c r="C1251" t="s">
        <v>18</v>
      </c>
      <c r="D1251" t="s">
        <v>19</v>
      </c>
      <c r="E1251" t="s">
        <v>32</v>
      </c>
      <c r="F1251" t="s">
        <v>33</v>
      </c>
      <c r="G1251" t="s">
        <v>25</v>
      </c>
      <c r="H1251" s="1">
        <v>117986</v>
      </c>
      <c r="I1251" s="3">
        <v>694</v>
      </c>
      <c r="J1251" s="3">
        <v>1886890</v>
      </c>
      <c r="K1251" s="3">
        <v>3207.77</v>
      </c>
      <c r="L1251" s="2">
        <v>12</v>
      </c>
      <c r="M1251" s="11">
        <v>19</v>
      </c>
      <c r="N1251" s="3">
        <v>7</v>
      </c>
      <c r="O1251" s="3">
        <v>80408</v>
      </c>
      <c r="P1251" s="3">
        <v>351296</v>
      </c>
      <c r="Q1251" s="10">
        <v>0</v>
      </c>
      <c r="R1251" s="3">
        <f>(Таблица1[Размер кредита]-$AA$2)/$AA$3</f>
        <v>-1.0908811529268343</v>
      </c>
      <c r="S1251" s="3">
        <f>(Таблица1[Кредитный рейтинг]-$AA$7)/($AA$8-$AA$7)</f>
        <v>0.92410119840213045</v>
      </c>
      <c r="T1251" s="3">
        <f>(Таблица1[Срок с последнего нарушения кредитного договора (мес,)]-$AA$12)/($AA$13-$AA$12)</f>
        <v>0.21590909090909091</v>
      </c>
      <c r="U1251" s="3">
        <f>(Таблица1[Количество кредитных карт]-$AA$18)/($AA$19-$AA$18)</f>
        <v>0.14285714285714285</v>
      </c>
      <c r="V1251" s="3">
        <f>(Таблица1[Число нарушений кредитных договоров]-$AA$23)/($AA$24-$AA$23)</f>
        <v>0</v>
      </c>
      <c r="W1251" s="3">
        <f>Таблица1[[#This Row],[Годовой доход]]/12</f>
        <v>157240.83333333334</v>
      </c>
      <c r="X1251" s="3">
        <f>Таблица1[[#This Row],[Ежемесячный платеж]]/Таблица1[[#This Row],[Ежем доход]]</f>
        <v>2.0400362501258682E-2</v>
      </c>
      <c r="Y1251" s="3"/>
      <c r="Z1251" s="3"/>
      <c r="AA1251" s="3"/>
      <c r="AB1251" s="3"/>
    </row>
    <row r="1252" spans="1:28" x14ac:dyDescent="0.2">
      <c r="A1252">
        <v>516</v>
      </c>
      <c r="B1252" s="4" t="s">
        <v>557</v>
      </c>
      <c r="C1252" t="s">
        <v>18</v>
      </c>
      <c r="D1252" t="s">
        <v>19</v>
      </c>
      <c r="E1252" t="s">
        <v>24</v>
      </c>
      <c r="F1252" t="s">
        <v>21</v>
      </c>
      <c r="G1252" t="s">
        <v>25</v>
      </c>
      <c r="H1252" s="1">
        <v>215138</v>
      </c>
      <c r="I1252" s="3">
        <v>0</v>
      </c>
      <c r="J1252" s="3">
        <v>1168044</v>
      </c>
      <c r="K1252" s="3">
        <v>11380.24</v>
      </c>
      <c r="L1252" s="2">
        <v>18.100000000000001</v>
      </c>
      <c r="M1252" s="11">
        <v>66</v>
      </c>
      <c r="N1252" s="3">
        <v>9</v>
      </c>
      <c r="O1252" s="3">
        <v>289199</v>
      </c>
      <c r="P1252" s="3">
        <v>350636</v>
      </c>
      <c r="Q1252" s="10">
        <v>1</v>
      </c>
      <c r="R1252" s="3">
        <f>(Таблица1[Размер кредита]-$AA$2)/$AA$3</f>
        <v>-0.53776752664659266</v>
      </c>
      <c r="S1252" s="3">
        <f>(Таблица1[Кредитный рейтинг]-$AA$7)/($AA$8-$AA$7)</f>
        <v>0</v>
      </c>
      <c r="T1252" s="3">
        <f>(Таблица1[Срок с последнего нарушения кредитного договора (мес,)]-$AA$12)/($AA$13-$AA$12)</f>
        <v>0.75</v>
      </c>
      <c r="U1252" s="3">
        <f>(Таблица1[Количество кредитных карт]-$AA$18)/($AA$19-$AA$18)</f>
        <v>0.19047619047619047</v>
      </c>
      <c r="V1252" s="3">
        <f>(Таблица1[Число нарушений кредитных договоров]-$AA$23)/($AA$24-$AA$23)</f>
        <v>0.14285714285714285</v>
      </c>
      <c r="W1252" s="3">
        <f>Таблица1[[#This Row],[Годовой доход]]/12</f>
        <v>97337</v>
      </c>
      <c r="X1252" s="3">
        <f>Таблица1[[#This Row],[Ежемесячный платеж]]/Таблица1[[#This Row],[Ежем доход]]</f>
        <v>0.11691586960765177</v>
      </c>
      <c r="Y1252" s="3"/>
      <c r="Z1252" s="3"/>
      <c r="AA1252" s="3"/>
      <c r="AB1252" s="3"/>
    </row>
    <row r="1253" spans="1:28" x14ac:dyDescent="0.2">
      <c r="A1253">
        <v>1792</v>
      </c>
      <c r="B1253" t="s">
        <v>1830</v>
      </c>
      <c r="C1253" t="s">
        <v>35</v>
      </c>
      <c r="D1253" t="s">
        <v>19</v>
      </c>
      <c r="E1253" t="s">
        <v>24</v>
      </c>
      <c r="F1253" t="s">
        <v>21</v>
      </c>
      <c r="G1253" t="s">
        <v>25</v>
      </c>
      <c r="H1253" s="1">
        <v>400708</v>
      </c>
      <c r="I1253" s="3">
        <v>0</v>
      </c>
      <c r="J1253" s="3">
        <v>1168044</v>
      </c>
      <c r="K1253" s="3">
        <v>8381.66</v>
      </c>
      <c r="L1253" s="2">
        <v>34.1</v>
      </c>
      <c r="M1253" s="11">
        <v>6</v>
      </c>
      <c r="N1253" s="3">
        <v>14</v>
      </c>
      <c r="O1253" s="3">
        <v>176073</v>
      </c>
      <c r="P1253" s="3">
        <v>350284</v>
      </c>
      <c r="Q1253" s="10">
        <v>0</v>
      </c>
      <c r="R1253" s="3">
        <f>(Таблица1[Размер кредита]-$AA$2)/$AA$3</f>
        <v>0.51873461050780911</v>
      </c>
      <c r="S1253" s="3">
        <f>(Таблица1[Кредитный рейтинг]-$AA$7)/($AA$8-$AA$7)</f>
        <v>0</v>
      </c>
      <c r="T1253" s="3">
        <f>(Таблица1[Срок с последнего нарушения кредитного договора (мес,)]-$AA$12)/($AA$13-$AA$12)</f>
        <v>6.8181818181818177E-2</v>
      </c>
      <c r="U1253" s="3">
        <f>(Таблица1[Количество кредитных карт]-$AA$18)/($AA$19-$AA$18)</f>
        <v>0.30952380952380953</v>
      </c>
      <c r="V1253" s="3">
        <f>(Таблица1[Число нарушений кредитных договоров]-$AA$23)/($AA$24-$AA$23)</f>
        <v>0</v>
      </c>
      <c r="W1253" s="3">
        <f>Таблица1[[#This Row],[Годовой доход]]/12</f>
        <v>97337</v>
      </c>
      <c r="X1253" s="3">
        <f>Таблица1[[#This Row],[Ежемесячный платеж]]/Таблица1[[#This Row],[Ежем доход]]</f>
        <v>8.6109701346867074E-2</v>
      </c>
      <c r="Y1253" s="3"/>
      <c r="Z1253" s="3"/>
      <c r="AA1253" s="3"/>
      <c r="AB1253" s="3"/>
    </row>
    <row r="1254" spans="1:28" x14ac:dyDescent="0.2">
      <c r="A1254">
        <v>1292</v>
      </c>
      <c r="B1254" t="s">
        <v>1331</v>
      </c>
      <c r="C1254" t="s">
        <v>18</v>
      </c>
      <c r="D1254" t="s">
        <v>19</v>
      </c>
      <c r="E1254" t="s">
        <v>24</v>
      </c>
      <c r="F1254" t="s">
        <v>21</v>
      </c>
      <c r="G1254" t="s">
        <v>25</v>
      </c>
      <c r="H1254" s="1">
        <v>155078</v>
      </c>
      <c r="I1254" s="3">
        <v>745</v>
      </c>
      <c r="J1254" s="3">
        <v>1626305</v>
      </c>
      <c r="K1254" s="3">
        <v>30357.82</v>
      </c>
      <c r="L1254" s="2">
        <v>28.2</v>
      </c>
      <c r="M1254" s="11">
        <v>35.265240640000002</v>
      </c>
      <c r="N1254" s="3">
        <v>11</v>
      </c>
      <c r="O1254" s="3">
        <v>98496</v>
      </c>
      <c r="P1254" s="3">
        <v>349844</v>
      </c>
      <c r="Q1254" s="10">
        <v>1</v>
      </c>
      <c r="R1254" s="3">
        <f>(Таблица1[Размер кредита]-$AA$2)/$AA$3</f>
        <v>-0.87970597767581815</v>
      </c>
      <c r="S1254" s="3">
        <f>(Таблица1[Кредитный рейтинг]-$AA$7)/($AA$8-$AA$7)</f>
        <v>0.99201065246338216</v>
      </c>
      <c r="T1254" s="3">
        <f>(Таблица1[Срок с последнего нарушения кредитного договора (мес,)]-$AA$12)/($AA$13-$AA$12)</f>
        <v>0.40074137090909095</v>
      </c>
      <c r="U1254" s="3">
        <f>(Таблица1[Количество кредитных карт]-$AA$18)/($AA$19-$AA$18)</f>
        <v>0.23809523809523808</v>
      </c>
      <c r="V1254" s="3">
        <f>(Таблица1[Число нарушений кредитных договоров]-$AA$23)/($AA$24-$AA$23)</f>
        <v>0.14285714285714285</v>
      </c>
      <c r="W1254" s="3">
        <f>Таблица1[[#This Row],[Годовой доход]]/12</f>
        <v>135525.41666666666</v>
      </c>
      <c r="X1254" s="3">
        <f>Таблица1[[#This Row],[Ежемесячный платеж]]/Таблица1[[#This Row],[Ежем доход]]</f>
        <v>0.22400093463403237</v>
      </c>
      <c r="Y1254" s="3"/>
      <c r="Z1254" s="3"/>
      <c r="AA1254" s="3"/>
      <c r="AB1254" s="3"/>
    </row>
    <row r="1255" spans="1:28" x14ac:dyDescent="0.2">
      <c r="A1255">
        <v>1252</v>
      </c>
      <c r="B1255" t="s">
        <v>1291</v>
      </c>
      <c r="C1255" t="s">
        <v>18</v>
      </c>
      <c r="D1255" t="s">
        <v>19</v>
      </c>
      <c r="E1255" t="s">
        <v>47</v>
      </c>
      <c r="F1255" t="s">
        <v>33</v>
      </c>
      <c r="G1255" t="s">
        <v>25</v>
      </c>
      <c r="H1255" s="1">
        <v>212256</v>
      </c>
      <c r="I1255" s="3">
        <v>727</v>
      </c>
      <c r="J1255" s="3">
        <v>907212</v>
      </c>
      <c r="K1255" s="3">
        <v>20261.22</v>
      </c>
      <c r="L1255" s="2">
        <v>14.1</v>
      </c>
      <c r="M1255" s="11">
        <v>35.265240640000002</v>
      </c>
      <c r="N1255" s="3">
        <v>6</v>
      </c>
      <c r="O1255" s="3">
        <v>265164</v>
      </c>
      <c r="P1255" s="3">
        <v>348898</v>
      </c>
      <c r="Q1255" s="10">
        <v>0</v>
      </c>
      <c r="R1255" s="3">
        <f>(Таблица1[Размер кредита]-$AA$2)/$AA$3</f>
        <v>-0.55417556220880093</v>
      </c>
      <c r="S1255" s="3">
        <f>(Таблица1[Кредитный рейтинг]-$AA$7)/($AA$8-$AA$7)</f>
        <v>0.96804260985352863</v>
      </c>
      <c r="T1255" s="3">
        <f>(Таблица1[Срок с последнего нарушения кредитного договора (мес,)]-$AA$12)/($AA$13-$AA$12)</f>
        <v>0.40074137090909095</v>
      </c>
      <c r="U1255" s="3">
        <f>(Таблица1[Количество кредитных карт]-$AA$18)/($AA$19-$AA$18)</f>
        <v>0.11904761904761904</v>
      </c>
      <c r="V1255" s="3">
        <f>(Таблица1[Число нарушений кредитных договоров]-$AA$23)/($AA$24-$AA$23)</f>
        <v>0</v>
      </c>
      <c r="W1255" s="3">
        <f>Таблица1[[#This Row],[Годовой доход]]/12</f>
        <v>75601</v>
      </c>
      <c r="X1255" s="3">
        <f>Таблица1[[#This Row],[Ежемесячный платеж]]/Таблица1[[#This Row],[Ежем доход]]</f>
        <v>0.26800201055541595</v>
      </c>
      <c r="Y1255" s="3"/>
      <c r="Z1255" s="3"/>
      <c r="AA1255" s="3"/>
      <c r="AB1255" s="3"/>
    </row>
    <row r="1256" spans="1:28" x14ac:dyDescent="0.2">
      <c r="A1256">
        <v>591</v>
      </c>
      <c r="B1256" t="s">
        <v>632</v>
      </c>
      <c r="C1256" t="s">
        <v>18</v>
      </c>
      <c r="D1256" t="s">
        <v>19</v>
      </c>
      <c r="E1256" t="s">
        <v>37</v>
      </c>
      <c r="F1256" t="s">
        <v>21</v>
      </c>
      <c r="G1256" t="s">
        <v>25</v>
      </c>
      <c r="H1256" s="1">
        <v>671836</v>
      </c>
      <c r="I1256" s="3">
        <v>707</v>
      </c>
      <c r="J1256" s="3">
        <v>1318695</v>
      </c>
      <c r="K1256" s="3">
        <v>18022.259999999998</v>
      </c>
      <c r="L1256" s="2">
        <v>21.1</v>
      </c>
      <c r="M1256" s="11">
        <v>31</v>
      </c>
      <c r="N1256" s="3">
        <v>9</v>
      </c>
      <c r="O1256" s="3">
        <v>146965</v>
      </c>
      <c r="P1256" s="3">
        <v>348700</v>
      </c>
      <c r="Q1256" s="10">
        <v>0</v>
      </c>
      <c r="R1256" s="3">
        <f>(Таблица1[Размер кредита]-$AA$2)/$AA$3</f>
        <v>2.0623424751540269</v>
      </c>
      <c r="S1256" s="3">
        <f>(Таблица1[Кредитный рейтинг]-$AA$7)/($AA$8-$AA$7)</f>
        <v>0.94141145139813587</v>
      </c>
      <c r="T1256" s="3">
        <f>(Таблица1[Срок с последнего нарушения кредитного договора (мес,)]-$AA$12)/($AA$13-$AA$12)</f>
        <v>0.35227272727272729</v>
      </c>
      <c r="U1256" s="3">
        <f>(Таблица1[Количество кредитных карт]-$AA$18)/($AA$19-$AA$18)</f>
        <v>0.19047619047619047</v>
      </c>
      <c r="V1256" s="3">
        <f>(Таблица1[Число нарушений кредитных договоров]-$AA$23)/($AA$24-$AA$23)</f>
        <v>0</v>
      </c>
      <c r="W1256" s="3">
        <f>Таблица1[[#This Row],[Годовой доход]]/12</f>
        <v>109891.25</v>
      </c>
      <c r="X1256" s="3">
        <f>Таблица1[[#This Row],[Ежемесячный платеж]]/Таблица1[[#This Row],[Ежем доход]]</f>
        <v>0.16400086449103088</v>
      </c>
      <c r="Y1256" s="3"/>
      <c r="Z1256" s="3"/>
      <c r="AA1256" s="3"/>
      <c r="AB1256" s="3"/>
    </row>
    <row r="1257" spans="1:28" x14ac:dyDescent="0.2">
      <c r="A1257">
        <v>1124</v>
      </c>
      <c r="B1257" t="s">
        <v>1163</v>
      </c>
      <c r="C1257" t="s">
        <v>18</v>
      </c>
      <c r="D1257" t="s">
        <v>19</v>
      </c>
      <c r="E1257" t="s">
        <v>24</v>
      </c>
      <c r="F1257" t="s">
        <v>33</v>
      </c>
      <c r="G1257" t="s">
        <v>25</v>
      </c>
      <c r="H1257" s="1">
        <v>261140</v>
      </c>
      <c r="I1257" s="3">
        <v>731</v>
      </c>
      <c r="J1257" s="3">
        <v>1597558</v>
      </c>
      <c r="K1257" s="3">
        <v>10490.66</v>
      </c>
      <c r="L1257" s="2">
        <v>18.8</v>
      </c>
      <c r="M1257" s="11">
        <v>35.265240640000002</v>
      </c>
      <c r="N1257" s="3">
        <v>8</v>
      </c>
      <c r="O1257" s="3">
        <v>138567</v>
      </c>
      <c r="P1257" s="3">
        <v>348040</v>
      </c>
      <c r="Q1257" s="10">
        <v>1</v>
      </c>
      <c r="R1257" s="3">
        <f>(Таблица1[Размер кредита]-$AA$2)/$AA$3</f>
        <v>-0.27586521855058155</v>
      </c>
      <c r="S1257" s="3">
        <f>(Таблица1[Кредитный рейтинг]-$AA$7)/($AA$8-$AA$7)</f>
        <v>0.97336884154460723</v>
      </c>
      <c r="T1257" s="3">
        <f>(Таблица1[Срок с последнего нарушения кредитного договора (мес,)]-$AA$12)/($AA$13-$AA$12)</f>
        <v>0.40074137090909095</v>
      </c>
      <c r="U1257" s="3">
        <f>(Таблица1[Количество кредитных карт]-$AA$18)/($AA$19-$AA$18)</f>
        <v>0.16666666666666666</v>
      </c>
      <c r="V1257" s="3">
        <f>(Таблица1[Число нарушений кредитных договоров]-$AA$23)/($AA$24-$AA$23)</f>
        <v>0.14285714285714285</v>
      </c>
      <c r="W1257" s="3">
        <f>Таблица1[[#This Row],[Годовой доход]]/12</f>
        <v>133129.83333333334</v>
      </c>
      <c r="X1257" s="3">
        <f>Таблица1[[#This Row],[Ежемесячный платеж]]/Таблица1[[#This Row],[Ежем доход]]</f>
        <v>7.8800218833995378E-2</v>
      </c>
      <c r="Y1257" s="3"/>
      <c r="Z1257" s="3"/>
      <c r="AA1257" s="3"/>
      <c r="AB1257" s="3"/>
    </row>
    <row r="1258" spans="1:28" x14ac:dyDescent="0.2">
      <c r="A1258">
        <v>1669</v>
      </c>
      <c r="B1258" t="s">
        <v>1707</v>
      </c>
      <c r="C1258" t="s">
        <v>18</v>
      </c>
      <c r="D1258" t="s">
        <v>19</v>
      </c>
      <c r="E1258" t="s">
        <v>37</v>
      </c>
      <c r="F1258" t="s">
        <v>21</v>
      </c>
      <c r="G1258" t="s">
        <v>25</v>
      </c>
      <c r="H1258" s="1">
        <v>274780</v>
      </c>
      <c r="I1258" s="3">
        <v>0</v>
      </c>
      <c r="J1258" s="3">
        <v>1168044</v>
      </c>
      <c r="K1258" s="3">
        <v>7562.19</v>
      </c>
      <c r="L1258" s="2">
        <v>12.7</v>
      </c>
      <c r="M1258" s="11">
        <v>35.265240640000002</v>
      </c>
      <c r="N1258" s="3">
        <v>14</v>
      </c>
      <c r="O1258" s="3">
        <v>120688</v>
      </c>
      <c r="P1258" s="3">
        <v>347644</v>
      </c>
      <c r="Q1258" s="10">
        <v>0</v>
      </c>
      <c r="R1258" s="3">
        <f>(Таблица1[Размер кредита]-$AA$2)/$AA$3</f>
        <v>-0.19820886703478671</v>
      </c>
      <c r="S1258" s="3">
        <f>(Таблица1[Кредитный рейтинг]-$AA$7)/($AA$8-$AA$7)</f>
        <v>0</v>
      </c>
      <c r="T1258" s="3">
        <f>(Таблица1[Срок с последнего нарушения кредитного договора (мес,)]-$AA$12)/($AA$13-$AA$12)</f>
        <v>0.40074137090909095</v>
      </c>
      <c r="U1258" s="3">
        <f>(Таблица1[Количество кредитных карт]-$AA$18)/($AA$19-$AA$18)</f>
        <v>0.30952380952380953</v>
      </c>
      <c r="V1258" s="3">
        <f>(Таблица1[Число нарушений кредитных договоров]-$AA$23)/($AA$24-$AA$23)</f>
        <v>0</v>
      </c>
      <c r="W1258" s="3">
        <f>Таблица1[[#This Row],[Годовой доход]]/12</f>
        <v>97337</v>
      </c>
      <c r="X1258" s="3">
        <f>Таблица1[[#This Row],[Ежемесячный платеж]]/Таблица1[[#This Row],[Ежем доход]]</f>
        <v>7.7690806168260781E-2</v>
      </c>
      <c r="Y1258" s="3"/>
      <c r="Z1258" s="3"/>
      <c r="AA1258" s="3"/>
      <c r="AB1258" s="3"/>
    </row>
    <row r="1259" spans="1:28" x14ac:dyDescent="0.2">
      <c r="A1259">
        <v>1800</v>
      </c>
      <c r="B1259" t="s">
        <v>1838</v>
      </c>
      <c r="C1259" t="s">
        <v>18</v>
      </c>
      <c r="D1259" t="s">
        <v>29</v>
      </c>
      <c r="E1259" t="s">
        <v>24</v>
      </c>
      <c r="F1259" t="s">
        <v>21</v>
      </c>
      <c r="G1259" t="s">
        <v>25</v>
      </c>
      <c r="H1259" s="1">
        <v>499884</v>
      </c>
      <c r="I1259" s="3">
        <v>737</v>
      </c>
      <c r="J1259" s="3">
        <v>1126206</v>
      </c>
      <c r="K1259" s="3">
        <v>28061.29</v>
      </c>
      <c r="L1259" s="2">
        <v>19.7</v>
      </c>
      <c r="M1259" s="11">
        <v>35.265240640000002</v>
      </c>
      <c r="N1259" s="3">
        <v>7</v>
      </c>
      <c r="O1259" s="3">
        <v>126939</v>
      </c>
      <c r="P1259" s="3">
        <v>347490</v>
      </c>
      <c r="Q1259" s="10">
        <v>0</v>
      </c>
      <c r="R1259" s="3">
        <f>(Таблица1[Размер кредита]-$AA$2)/$AA$3</f>
        <v>1.0833714373355559</v>
      </c>
      <c r="S1259" s="3">
        <f>(Таблица1[Кредитный рейтинг]-$AA$7)/($AA$8-$AA$7)</f>
        <v>0.98135818908122507</v>
      </c>
      <c r="T1259" s="3">
        <f>(Таблица1[Срок с последнего нарушения кредитного договора (мес,)]-$AA$12)/($AA$13-$AA$12)</f>
        <v>0.40074137090909095</v>
      </c>
      <c r="U1259" s="3">
        <f>(Таблица1[Количество кредитных карт]-$AA$18)/($AA$19-$AA$18)</f>
        <v>0.14285714285714285</v>
      </c>
      <c r="V1259" s="3">
        <f>(Таблица1[Число нарушений кредитных договоров]-$AA$23)/($AA$24-$AA$23)</f>
        <v>0</v>
      </c>
      <c r="W1259" s="3">
        <f>Таблица1[[#This Row],[Годовой доход]]/12</f>
        <v>93850.5</v>
      </c>
      <c r="X1259" s="3">
        <f>Таблица1[[#This Row],[Ежемесячный платеж]]/Таблица1[[#This Row],[Ежем доход]]</f>
        <v>0.29899989877517968</v>
      </c>
      <c r="Y1259" s="3"/>
      <c r="Z1259" s="3"/>
      <c r="AA1259" s="3"/>
      <c r="AB1259" s="3"/>
    </row>
    <row r="1260" spans="1:28" x14ac:dyDescent="0.2">
      <c r="A1260">
        <v>1190</v>
      </c>
      <c r="B1260" t="s">
        <v>1229</v>
      </c>
      <c r="C1260" t="s">
        <v>35</v>
      </c>
      <c r="D1260" t="s">
        <v>19</v>
      </c>
      <c r="E1260" t="s">
        <v>47</v>
      </c>
      <c r="F1260" t="s">
        <v>33</v>
      </c>
      <c r="G1260" t="s">
        <v>25</v>
      </c>
      <c r="H1260" s="1">
        <v>324368</v>
      </c>
      <c r="I1260" s="3">
        <v>741</v>
      </c>
      <c r="J1260" s="3">
        <v>1792802</v>
      </c>
      <c r="K1260" s="3">
        <v>6797.82</v>
      </c>
      <c r="L1260" s="2">
        <v>16</v>
      </c>
      <c r="M1260" s="11">
        <v>41</v>
      </c>
      <c r="N1260" s="3">
        <v>7</v>
      </c>
      <c r="O1260" s="3">
        <v>87381</v>
      </c>
      <c r="P1260" s="3">
        <v>346500</v>
      </c>
      <c r="Q1260" s="10">
        <v>0</v>
      </c>
      <c r="R1260" s="3">
        <f>(Таблица1[Размер кредита]-$AA$2)/$AA$3</f>
        <v>8.4109546379086644E-2</v>
      </c>
      <c r="S1260" s="3">
        <f>(Таблица1[Кредитный рейтинг]-$AA$7)/($AA$8-$AA$7)</f>
        <v>0.98668442077230356</v>
      </c>
      <c r="T1260" s="3">
        <f>(Таблица1[Срок с последнего нарушения кредитного договора (мес,)]-$AA$12)/($AA$13-$AA$12)</f>
        <v>0.46590909090909088</v>
      </c>
      <c r="U1260" s="3">
        <f>(Таблица1[Количество кредитных карт]-$AA$18)/($AA$19-$AA$18)</f>
        <v>0.14285714285714285</v>
      </c>
      <c r="V1260" s="3">
        <f>(Таблица1[Число нарушений кредитных договоров]-$AA$23)/($AA$24-$AA$23)</f>
        <v>0</v>
      </c>
      <c r="W1260" s="3">
        <f>Таблица1[[#This Row],[Годовой доход]]/12</f>
        <v>149400.16666666666</v>
      </c>
      <c r="X1260" s="3">
        <f>Таблица1[[#This Row],[Ежемесячный платеж]]/Таблица1[[#This Row],[Ежем доход]]</f>
        <v>4.5500752453422076E-2</v>
      </c>
      <c r="Y1260" s="3"/>
      <c r="Z1260" s="3"/>
      <c r="AA1260" s="3"/>
      <c r="AB1260" s="3"/>
    </row>
    <row r="1261" spans="1:28" x14ac:dyDescent="0.2">
      <c r="A1261">
        <v>1195</v>
      </c>
      <c r="B1261" s="4" t="s">
        <v>1234</v>
      </c>
      <c r="C1261" t="s">
        <v>18</v>
      </c>
      <c r="D1261" t="s">
        <v>19</v>
      </c>
      <c r="E1261" t="s">
        <v>69</v>
      </c>
      <c r="F1261" t="s">
        <v>21</v>
      </c>
      <c r="G1261" t="s">
        <v>25</v>
      </c>
      <c r="H1261" s="1">
        <v>309594.52439999999</v>
      </c>
      <c r="I1261" s="3">
        <v>724</v>
      </c>
      <c r="J1261" s="3">
        <v>1246362</v>
      </c>
      <c r="K1261" s="3">
        <v>19007.03</v>
      </c>
      <c r="L1261" s="2">
        <v>9.8000000000000007</v>
      </c>
      <c r="M1261" s="11">
        <v>35.265240640000002</v>
      </c>
      <c r="N1261" s="3">
        <v>12</v>
      </c>
      <c r="O1261" s="3">
        <v>271111</v>
      </c>
      <c r="P1261" s="3">
        <v>346500</v>
      </c>
      <c r="Q1261" s="10">
        <v>0</v>
      </c>
      <c r="R1261" s="3">
        <f>(Таблица1[Размер кредита]-$AA$2)/$AA$3</f>
        <v>-1.2411115481956205E-10</v>
      </c>
      <c r="S1261" s="3">
        <f>(Таблица1[Кредитный рейтинг]-$AA$7)/($AA$8-$AA$7)</f>
        <v>0.96404793608521966</v>
      </c>
      <c r="T1261" s="3">
        <f>(Таблица1[Срок с последнего нарушения кредитного договора (мес,)]-$AA$12)/($AA$13-$AA$12)</f>
        <v>0.40074137090909095</v>
      </c>
      <c r="U1261" s="3">
        <f>(Таблица1[Количество кредитных карт]-$AA$18)/($AA$19-$AA$18)</f>
        <v>0.26190476190476192</v>
      </c>
      <c r="V1261" s="3">
        <f>(Таблица1[Число нарушений кредитных договоров]-$AA$23)/($AA$24-$AA$23)</f>
        <v>0</v>
      </c>
      <c r="W1261" s="3">
        <f>Таблица1[[#This Row],[Годовой доход]]/12</f>
        <v>103863.5</v>
      </c>
      <c r="X1261" s="3">
        <f>Таблица1[[#This Row],[Ежемесячный платеж]]/Таблица1[[#This Row],[Ежем доход]]</f>
        <v>0.18300009146620322</v>
      </c>
      <c r="Y1261" s="3"/>
      <c r="Z1261" s="3"/>
      <c r="AA1261" s="3"/>
      <c r="AB1261" s="3"/>
    </row>
    <row r="1262" spans="1:28" x14ac:dyDescent="0.2">
      <c r="A1262">
        <v>976</v>
      </c>
      <c r="B1262" t="s">
        <v>1016</v>
      </c>
      <c r="C1262" t="s">
        <v>18</v>
      </c>
      <c r="D1262" t="s">
        <v>29</v>
      </c>
      <c r="E1262" t="s">
        <v>24</v>
      </c>
      <c r="F1262" t="s">
        <v>33</v>
      </c>
      <c r="G1262" t="s">
        <v>25</v>
      </c>
      <c r="H1262" s="1">
        <v>214874</v>
      </c>
      <c r="I1262" s="3">
        <v>731</v>
      </c>
      <c r="J1262" s="3">
        <v>1540254</v>
      </c>
      <c r="K1262" s="3">
        <v>19766.650000000001</v>
      </c>
      <c r="L1262" s="2">
        <v>13.5</v>
      </c>
      <c r="M1262" s="11">
        <v>2</v>
      </c>
      <c r="N1262" s="3">
        <v>10</v>
      </c>
      <c r="O1262" s="3">
        <v>155477</v>
      </c>
      <c r="P1262" s="3">
        <v>346214</v>
      </c>
      <c r="Q1262" s="10">
        <v>0</v>
      </c>
      <c r="R1262" s="3">
        <f>(Таблица1[Размер кредита]-$AA$2)/$AA$3</f>
        <v>-0.53927055280496294</v>
      </c>
      <c r="S1262" s="3">
        <f>(Таблица1[Кредитный рейтинг]-$AA$7)/($AA$8-$AA$7)</f>
        <v>0.97336884154460723</v>
      </c>
      <c r="T1262" s="3">
        <f>(Таблица1[Срок с последнего нарушения кредитного договора (мес,)]-$AA$12)/($AA$13-$AA$12)</f>
        <v>2.2727272727272728E-2</v>
      </c>
      <c r="U1262" s="3">
        <f>(Таблица1[Количество кредитных карт]-$AA$18)/($AA$19-$AA$18)</f>
        <v>0.21428571428571427</v>
      </c>
      <c r="V1262" s="3">
        <f>(Таблица1[Число нарушений кредитных договоров]-$AA$23)/($AA$24-$AA$23)</f>
        <v>0</v>
      </c>
      <c r="W1262" s="3">
        <f>Таблица1[[#This Row],[Годовой доход]]/12</f>
        <v>128354.5</v>
      </c>
      <c r="X1262" s="3">
        <f>Таблица1[[#This Row],[Ежемесячный платеж]]/Таблица1[[#This Row],[Ежем доход]]</f>
        <v>0.15400044408259939</v>
      </c>
      <c r="Y1262" s="3"/>
      <c r="Z1262" s="3"/>
      <c r="AA1262" s="3"/>
      <c r="AB1262" s="3"/>
    </row>
    <row r="1263" spans="1:28" x14ac:dyDescent="0.2">
      <c r="A1263">
        <v>884</v>
      </c>
      <c r="B1263" t="s">
        <v>925</v>
      </c>
      <c r="C1263" t="s">
        <v>18</v>
      </c>
      <c r="D1263" t="s">
        <v>19</v>
      </c>
      <c r="E1263" t="s">
        <v>41</v>
      </c>
      <c r="F1263" t="s">
        <v>33</v>
      </c>
      <c r="G1263" t="s">
        <v>25</v>
      </c>
      <c r="H1263" s="1">
        <v>216018</v>
      </c>
      <c r="I1263" s="3">
        <v>736</v>
      </c>
      <c r="J1263" s="3">
        <v>1212656</v>
      </c>
      <c r="K1263" s="3">
        <v>2647.65</v>
      </c>
      <c r="L1263" s="2">
        <v>21.6</v>
      </c>
      <c r="M1263" s="11">
        <v>35.265240640000002</v>
      </c>
      <c r="N1263" s="3">
        <v>6</v>
      </c>
      <c r="O1263" s="3">
        <v>76114</v>
      </c>
      <c r="P1263" s="3">
        <v>345620</v>
      </c>
      <c r="Q1263" s="10">
        <v>0</v>
      </c>
      <c r="R1263" s="3">
        <f>(Таблица1[Размер кредита]-$AA$2)/$AA$3</f>
        <v>-0.53275743945202525</v>
      </c>
      <c r="S1263" s="3">
        <f>(Таблица1[Кредитный рейтинг]-$AA$7)/($AA$8-$AA$7)</f>
        <v>0.98002663115845534</v>
      </c>
      <c r="T1263" s="3">
        <f>(Таблица1[Срок с последнего нарушения кредитного договора (мес,)]-$AA$12)/($AA$13-$AA$12)</f>
        <v>0.40074137090909095</v>
      </c>
      <c r="U1263" s="3">
        <f>(Таблица1[Количество кредитных карт]-$AA$18)/($AA$19-$AA$18)</f>
        <v>0.11904761904761904</v>
      </c>
      <c r="V1263" s="3">
        <f>(Таблица1[Число нарушений кредитных договоров]-$AA$23)/($AA$24-$AA$23)</f>
        <v>0</v>
      </c>
      <c r="W1263" s="3">
        <f>Таблица1[[#This Row],[Годовой доход]]/12</f>
        <v>101054.66666666667</v>
      </c>
      <c r="X1263" s="3">
        <f>Таблица1[[#This Row],[Ежемесячный платеж]]/Таблица1[[#This Row],[Ежем доход]]</f>
        <v>2.6200175482577085E-2</v>
      </c>
      <c r="Y1263" s="3"/>
      <c r="Z1263" s="3"/>
      <c r="AA1263" s="3"/>
      <c r="AB1263" s="3"/>
    </row>
    <row r="1264" spans="1:28" x14ac:dyDescent="0.2">
      <c r="A1264">
        <v>1387</v>
      </c>
      <c r="B1264" t="s">
        <v>1426</v>
      </c>
      <c r="C1264" t="s">
        <v>18</v>
      </c>
      <c r="D1264" t="s">
        <v>19</v>
      </c>
      <c r="E1264" t="s">
        <v>41</v>
      </c>
      <c r="F1264" t="s">
        <v>33</v>
      </c>
      <c r="G1264" t="s">
        <v>25</v>
      </c>
      <c r="H1264" s="1">
        <v>441452</v>
      </c>
      <c r="I1264" s="3">
        <v>720</v>
      </c>
      <c r="J1264" s="3">
        <v>869288</v>
      </c>
      <c r="K1264" s="3">
        <v>20717.79</v>
      </c>
      <c r="L1264" s="2">
        <v>15.6</v>
      </c>
      <c r="M1264" s="11">
        <v>35.265240640000002</v>
      </c>
      <c r="N1264" s="3">
        <v>9</v>
      </c>
      <c r="O1264" s="3">
        <v>301169</v>
      </c>
      <c r="P1264" s="3">
        <v>345620</v>
      </c>
      <c r="Q1264" s="10">
        <v>0</v>
      </c>
      <c r="R1264" s="3">
        <f>(Таблица1[Размер кредита]-$AA$2)/$AA$3</f>
        <v>0.75070164761628011</v>
      </c>
      <c r="S1264" s="3">
        <f>(Таблица1[Кредитный рейтинг]-$AA$7)/($AA$8-$AA$7)</f>
        <v>0.95872170439414117</v>
      </c>
      <c r="T1264" s="3">
        <f>(Таблица1[Срок с последнего нарушения кредитного договора (мес,)]-$AA$12)/($AA$13-$AA$12)</f>
        <v>0.40074137090909095</v>
      </c>
      <c r="U1264" s="3">
        <f>(Таблица1[Количество кредитных карт]-$AA$18)/($AA$19-$AA$18)</f>
        <v>0.19047619047619047</v>
      </c>
      <c r="V1264" s="3">
        <f>(Таблица1[Число нарушений кредитных договоров]-$AA$23)/($AA$24-$AA$23)</f>
        <v>0</v>
      </c>
      <c r="W1264" s="3">
        <f>Таблица1[[#This Row],[Годовой доход]]/12</f>
        <v>72440.666666666672</v>
      </c>
      <c r="X1264" s="3">
        <f>Таблица1[[#This Row],[Ежемесячный платеж]]/Таблица1[[#This Row],[Ежем доход]]</f>
        <v>0.28599667774086379</v>
      </c>
      <c r="Y1264" s="3"/>
      <c r="Z1264" s="3"/>
      <c r="AA1264" s="3"/>
      <c r="AB1264" s="3"/>
    </row>
    <row r="1265" spans="1:28" x14ac:dyDescent="0.2">
      <c r="A1265">
        <v>1549</v>
      </c>
      <c r="B1265" t="s">
        <v>1588</v>
      </c>
      <c r="C1265" t="s">
        <v>35</v>
      </c>
      <c r="D1265" t="s">
        <v>19</v>
      </c>
      <c r="E1265" t="s">
        <v>24</v>
      </c>
      <c r="F1265" t="s">
        <v>21</v>
      </c>
      <c r="G1265" t="s">
        <v>25</v>
      </c>
      <c r="H1265" s="1">
        <v>179256</v>
      </c>
      <c r="I1265" s="3">
        <v>702</v>
      </c>
      <c r="J1265" s="3">
        <v>677312</v>
      </c>
      <c r="K1265" s="3">
        <v>6208.63</v>
      </c>
      <c r="L1265" s="2">
        <v>14</v>
      </c>
      <c r="M1265" s="11">
        <v>35.265240640000002</v>
      </c>
      <c r="N1265" s="3">
        <v>5</v>
      </c>
      <c r="O1265" s="3">
        <v>277647</v>
      </c>
      <c r="P1265" s="3">
        <v>344960</v>
      </c>
      <c r="Q1265" s="10">
        <v>0</v>
      </c>
      <c r="R1265" s="3">
        <f>(Таблица1[Размер кредита]-$AA$2)/$AA$3</f>
        <v>-0.74205383200507868</v>
      </c>
      <c r="S1265" s="3">
        <f>(Таблица1[Кредитный рейтинг]-$AA$7)/($AA$8-$AA$7)</f>
        <v>0.93475366178428765</v>
      </c>
      <c r="T1265" s="3">
        <f>(Таблица1[Срок с последнего нарушения кредитного договора (мес,)]-$AA$12)/($AA$13-$AA$12)</f>
        <v>0.40074137090909095</v>
      </c>
      <c r="U1265" s="3">
        <f>(Таблица1[Количество кредитных карт]-$AA$18)/($AA$19-$AA$18)</f>
        <v>9.5238095238095233E-2</v>
      </c>
      <c r="V1265" s="3">
        <f>(Таблица1[Число нарушений кредитных договоров]-$AA$23)/($AA$24-$AA$23)</f>
        <v>0</v>
      </c>
      <c r="W1265" s="3">
        <f>Таблица1[[#This Row],[Годовой доход]]/12</f>
        <v>56442.666666666664</v>
      </c>
      <c r="X1265" s="3">
        <f>Таблица1[[#This Row],[Ежемесячный платеж]]/Таблица1[[#This Row],[Ежем доход]]</f>
        <v>0.10999887791741472</v>
      </c>
      <c r="Y1265" s="3"/>
      <c r="Z1265" s="3"/>
      <c r="AA1265" s="3"/>
      <c r="AB1265" s="3"/>
    </row>
    <row r="1266" spans="1:28" x14ac:dyDescent="0.2">
      <c r="A1266">
        <v>588</v>
      </c>
      <c r="B1266" t="s">
        <v>629</v>
      </c>
      <c r="C1266" t="s">
        <v>18</v>
      </c>
      <c r="D1266" t="s">
        <v>29</v>
      </c>
      <c r="E1266" t="s">
        <v>30</v>
      </c>
      <c r="F1266" t="s">
        <v>21</v>
      </c>
      <c r="G1266" t="s">
        <v>25</v>
      </c>
      <c r="H1266" s="1">
        <v>387904</v>
      </c>
      <c r="I1266" s="3">
        <v>0</v>
      </c>
      <c r="J1266" s="3">
        <v>1168044</v>
      </c>
      <c r="K1266" s="3">
        <v>3782.52</v>
      </c>
      <c r="L1266" s="2">
        <v>22.1</v>
      </c>
      <c r="M1266" s="11">
        <v>35.265240640000002</v>
      </c>
      <c r="N1266" s="3">
        <v>13</v>
      </c>
      <c r="O1266" s="3">
        <v>72238</v>
      </c>
      <c r="P1266" s="3">
        <v>344256</v>
      </c>
      <c r="Q1266" s="10">
        <v>1</v>
      </c>
      <c r="R1266" s="3">
        <f>(Таблица1[Размер кредита]-$AA$2)/$AA$3</f>
        <v>0.44583784182685338</v>
      </c>
      <c r="S1266" s="3">
        <f>(Таблица1[Кредитный рейтинг]-$AA$7)/($AA$8-$AA$7)</f>
        <v>0</v>
      </c>
      <c r="T1266" s="3">
        <f>(Таблица1[Срок с последнего нарушения кредитного договора (мес,)]-$AA$12)/($AA$13-$AA$12)</f>
        <v>0.40074137090909095</v>
      </c>
      <c r="U1266" s="3">
        <f>(Таблица1[Количество кредитных карт]-$AA$18)/($AA$19-$AA$18)</f>
        <v>0.2857142857142857</v>
      </c>
      <c r="V1266" s="3">
        <f>(Таблица1[Число нарушений кредитных договоров]-$AA$23)/($AA$24-$AA$23)</f>
        <v>0.14285714285714285</v>
      </c>
      <c r="W1266" s="3">
        <f>Таблица1[[#This Row],[Годовой доход]]/12</f>
        <v>97337</v>
      </c>
      <c r="X1266" s="3">
        <f>Таблица1[[#This Row],[Ежемесячный платеж]]/Таблица1[[#This Row],[Ежем доход]]</f>
        <v>3.886004294358774E-2</v>
      </c>
      <c r="Y1266" s="3"/>
      <c r="Z1266" s="3"/>
      <c r="AA1266" s="3"/>
      <c r="AB1266" s="3"/>
    </row>
    <row r="1267" spans="1:28" x14ac:dyDescent="0.2">
      <c r="A1267">
        <v>1215</v>
      </c>
      <c r="B1267" t="s">
        <v>1254</v>
      </c>
      <c r="C1267" t="s">
        <v>18</v>
      </c>
      <c r="D1267" t="s">
        <v>29</v>
      </c>
      <c r="E1267" t="s">
        <v>24</v>
      </c>
      <c r="F1267" t="s">
        <v>21</v>
      </c>
      <c r="G1267" t="s">
        <v>25</v>
      </c>
      <c r="H1267" s="1">
        <v>311960</v>
      </c>
      <c r="I1267" s="3">
        <v>702</v>
      </c>
      <c r="J1267" s="3">
        <v>1393517</v>
      </c>
      <c r="K1267" s="3">
        <v>8779.14</v>
      </c>
      <c r="L1267" s="2">
        <v>13.5</v>
      </c>
      <c r="M1267" s="11">
        <v>58</v>
      </c>
      <c r="N1267" s="3">
        <v>14</v>
      </c>
      <c r="O1267" s="3">
        <v>115349</v>
      </c>
      <c r="P1267" s="3">
        <v>344212</v>
      </c>
      <c r="Q1267" s="10">
        <v>0</v>
      </c>
      <c r="R1267" s="3">
        <f>(Таблица1[Размер кредита]-$AA$2)/$AA$3</f>
        <v>1.3467316935686207E-2</v>
      </c>
      <c r="S1267" s="3">
        <f>(Таблица1[Кредитный рейтинг]-$AA$7)/($AA$8-$AA$7)</f>
        <v>0.93475366178428765</v>
      </c>
      <c r="T1267" s="3">
        <f>(Таблица1[Срок с последнего нарушения кредитного договора (мес,)]-$AA$12)/($AA$13-$AA$12)</f>
        <v>0.65909090909090906</v>
      </c>
      <c r="U1267" s="3">
        <f>(Таблица1[Количество кредитных карт]-$AA$18)/($AA$19-$AA$18)</f>
        <v>0.30952380952380953</v>
      </c>
      <c r="V1267" s="3">
        <f>(Таблица1[Число нарушений кредитных договоров]-$AA$23)/($AA$24-$AA$23)</f>
        <v>0</v>
      </c>
      <c r="W1267" s="3">
        <f>Таблица1[[#This Row],[Годовой доход]]/12</f>
        <v>116126.41666666667</v>
      </c>
      <c r="X1267" s="3">
        <f>Таблица1[[#This Row],[Ежемесячный платеж]]/Таблица1[[#This Row],[Ежем доход]]</f>
        <v>7.5599852746683377E-2</v>
      </c>
      <c r="Y1267" s="3"/>
      <c r="Z1267" s="3"/>
      <c r="AA1267" s="3"/>
      <c r="AB1267" s="3"/>
    </row>
    <row r="1268" spans="1:28" x14ac:dyDescent="0.2">
      <c r="A1268">
        <v>1741</v>
      </c>
      <c r="B1268" t="s">
        <v>1779</v>
      </c>
      <c r="C1268" t="s">
        <v>18</v>
      </c>
      <c r="D1268" t="s">
        <v>19</v>
      </c>
      <c r="E1268" t="s">
        <v>63</v>
      </c>
      <c r="F1268" t="s">
        <v>33</v>
      </c>
      <c r="G1268" t="s">
        <v>2038</v>
      </c>
      <c r="H1268" s="1">
        <v>309594.52439999999</v>
      </c>
      <c r="I1268" s="3">
        <v>720</v>
      </c>
      <c r="J1268" s="3">
        <v>718466</v>
      </c>
      <c r="K1268" s="3">
        <v>20356.41</v>
      </c>
      <c r="L1268" s="2">
        <v>15.9</v>
      </c>
      <c r="M1268" s="11">
        <v>35.265240640000002</v>
      </c>
      <c r="N1268" s="3">
        <v>11</v>
      </c>
      <c r="O1268" s="3">
        <v>109573</v>
      </c>
      <c r="P1268" s="3">
        <v>342914</v>
      </c>
      <c r="Q1268" s="10">
        <v>0</v>
      </c>
      <c r="R1268" s="3">
        <f>(Таблица1[Размер кредита]-$AA$2)/$AA$3</f>
        <v>-1.2411115481956205E-10</v>
      </c>
      <c r="S1268" s="3">
        <f>(Таблица1[Кредитный рейтинг]-$AA$7)/($AA$8-$AA$7)</f>
        <v>0.95872170439414117</v>
      </c>
      <c r="T1268" s="3">
        <f>(Таблица1[Срок с последнего нарушения кредитного договора (мес,)]-$AA$12)/($AA$13-$AA$12)</f>
        <v>0.40074137090909095</v>
      </c>
      <c r="U1268" s="3">
        <f>(Таблица1[Количество кредитных карт]-$AA$18)/($AA$19-$AA$18)</f>
        <v>0.23809523809523808</v>
      </c>
      <c r="V1268" s="3">
        <f>(Таблица1[Число нарушений кредитных договоров]-$AA$23)/($AA$24-$AA$23)</f>
        <v>0</v>
      </c>
      <c r="W1268" s="3">
        <f>Таблица1[[#This Row],[Годовой доход]]/12</f>
        <v>59872.166666666664</v>
      </c>
      <c r="X1268" s="3">
        <f>Таблица1[[#This Row],[Ежемесячный платеж]]/Таблица1[[#This Row],[Ежем доход]]</f>
        <v>0.33999788438144601</v>
      </c>
      <c r="Y1268" s="3"/>
      <c r="Z1268" s="3"/>
      <c r="AA1268" s="3"/>
      <c r="AB1268" s="3"/>
    </row>
    <row r="1269" spans="1:28" x14ac:dyDescent="0.2">
      <c r="A1269">
        <v>383</v>
      </c>
      <c r="B1269" t="s">
        <v>425</v>
      </c>
      <c r="C1269" t="s">
        <v>18</v>
      </c>
      <c r="D1269" t="s">
        <v>19</v>
      </c>
      <c r="E1269" t="s">
        <v>24</v>
      </c>
      <c r="F1269" t="s">
        <v>21</v>
      </c>
      <c r="G1269" t="s">
        <v>39</v>
      </c>
      <c r="H1269" s="1">
        <v>133606</v>
      </c>
      <c r="I1269" s="3">
        <v>701</v>
      </c>
      <c r="J1269" s="3">
        <v>2538343</v>
      </c>
      <c r="K1269" s="3">
        <v>18297.189999999999</v>
      </c>
      <c r="L1269" s="2">
        <v>32.9</v>
      </c>
      <c r="M1269" s="11">
        <v>12</v>
      </c>
      <c r="N1269" s="3">
        <v>21</v>
      </c>
      <c r="O1269" s="3">
        <v>198911</v>
      </c>
      <c r="P1269" s="3">
        <v>342738</v>
      </c>
      <c r="Q1269" s="10">
        <v>0</v>
      </c>
      <c r="R1269" s="3">
        <f>(Таблица1[Размер кредита]-$AA$2)/$AA$3</f>
        <v>-1.0019521052232629</v>
      </c>
      <c r="S1269" s="3">
        <f>(Таблица1[Кредитный рейтинг]-$AA$7)/($AA$8-$AA$7)</f>
        <v>0.93342210386151803</v>
      </c>
      <c r="T1269" s="3">
        <f>(Таблица1[Срок с последнего нарушения кредитного договора (мес,)]-$AA$12)/($AA$13-$AA$12)</f>
        <v>0.13636363636363635</v>
      </c>
      <c r="U1269" s="3">
        <f>(Таблица1[Количество кредитных карт]-$AA$18)/($AA$19-$AA$18)</f>
        <v>0.47619047619047616</v>
      </c>
      <c r="V1269" s="3">
        <f>(Таблица1[Число нарушений кредитных договоров]-$AA$23)/($AA$24-$AA$23)</f>
        <v>0</v>
      </c>
      <c r="W1269" s="3">
        <f>Таблица1[[#This Row],[Годовой доход]]/12</f>
        <v>211528.58333333334</v>
      </c>
      <c r="X1269" s="3">
        <f>Таблица1[[#This Row],[Ежемесячный платеж]]/Таблица1[[#This Row],[Ежем доход]]</f>
        <v>8.6499846553440563E-2</v>
      </c>
      <c r="Y1269" s="3"/>
      <c r="Z1269" s="3"/>
      <c r="AA1269" s="3"/>
      <c r="AB1269" s="3"/>
    </row>
    <row r="1270" spans="1:28" x14ac:dyDescent="0.2">
      <c r="A1270">
        <v>1831</v>
      </c>
      <c r="B1270" t="s">
        <v>1868</v>
      </c>
      <c r="C1270" t="s">
        <v>18</v>
      </c>
      <c r="D1270" t="s">
        <v>19</v>
      </c>
      <c r="E1270" t="s">
        <v>63</v>
      </c>
      <c r="F1270" t="s">
        <v>33</v>
      </c>
      <c r="G1270" t="s">
        <v>25</v>
      </c>
      <c r="H1270" s="1">
        <v>175802</v>
      </c>
      <c r="I1270" s="3">
        <v>0</v>
      </c>
      <c r="J1270" s="3">
        <v>1168044</v>
      </c>
      <c r="K1270" s="3">
        <v>11914.52</v>
      </c>
      <c r="L1270" s="2">
        <v>12.7</v>
      </c>
      <c r="M1270" s="11">
        <v>35.265240640000002</v>
      </c>
      <c r="N1270" s="3">
        <v>13</v>
      </c>
      <c r="O1270" s="3">
        <v>202711</v>
      </c>
      <c r="P1270" s="3">
        <v>342650</v>
      </c>
      <c r="Q1270" s="10">
        <v>0</v>
      </c>
      <c r="R1270" s="3">
        <f>(Таблица1[Размер кредита]-$AA$2)/$AA$3</f>
        <v>-0.7617184242437558</v>
      </c>
      <c r="S1270" s="3">
        <f>(Таблица1[Кредитный рейтинг]-$AA$7)/($AA$8-$AA$7)</f>
        <v>0</v>
      </c>
      <c r="T1270" s="3">
        <f>(Таблица1[Срок с последнего нарушения кредитного договора (мес,)]-$AA$12)/($AA$13-$AA$12)</f>
        <v>0.40074137090909095</v>
      </c>
      <c r="U1270" s="3">
        <f>(Таблица1[Количество кредитных карт]-$AA$18)/($AA$19-$AA$18)</f>
        <v>0.2857142857142857</v>
      </c>
      <c r="V1270" s="3">
        <f>(Таблица1[Число нарушений кредитных договоров]-$AA$23)/($AA$24-$AA$23)</f>
        <v>0</v>
      </c>
      <c r="W1270" s="3">
        <f>Таблица1[[#This Row],[Годовой доход]]/12</f>
        <v>97337</v>
      </c>
      <c r="X1270" s="3">
        <f>Таблица1[[#This Row],[Ежемесячный платеж]]/Таблица1[[#This Row],[Ежем доход]]</f>
        <v>0.12240484091352724</v>
      </c>
      <c r="Y1270" s="3"/>
      <c r="Z1270" s="3"/>
      <c r="AA1270" s="3"/>
      <c r="AB1270" s="3"/>
    </row>
    <row r="1271" spans="1:28" x14ac:dyDescent="0.2">
      <c r="A1271">
        <v>755</v>
      </c>
      <c r="B1271" t="s">
        <v>796</v>
      </c>
      <c r="C1271" t="s">
        <v>18</v>
      </c>
      <c r="D1271" t="s">
        <v>29</v>
      </c>
      <c r="E1271" t="s">
        <v>37</v>
      </c>
      <c r="F1271" t="s">
        <v>27</v>
      </c>
      <c r="G1271" t="s">
        <v>25</v>
      </c>
      <c r="H1271" s="1">
        <v>266794</v>
      </c>
      <c r="I1271" s="3">
        <v>686</v>
      </c>
      <c r="J1271" s="3">
        <v>576042</v>
      </c>
      <c r="K1271" s="3">
        <v>12336.89</v>
      </c>
      <c r="L1271" s="2">
        <v>5.8</v>
      </c>
      <c r="M1271" s="11">
        <v>35.265240640000002</v>
      </c>
      <c r="N1271" s="3">
        <v>9</v>
      </c>
      <c r="O1271" s="3">
        <v>233206</v>
      </c>
      <c r="P1271" s="3">
        <v>342232</v>
      </c>
      <c r="Q1271" s="10">
        <v>0</v>
      </c>
      <c r="R1271" s="3">
        <f>(Таблица1[Размер кредита]-$AA$2)/$AA$3</f>
        <v>-0.24367540832548593</v>
      </c>
      <c r="S1271" s="3">
        <f>(Таблица1[Кредитный рейтинг]-$AA$7)/($AA$8-$AA$7)</f>
        <v>0.91344873501997337</v>
      </c>
      <c r="T1271" s="3">
        <f>(Таблица1[Срок с последнего нарушения кредитного договора (мес,)]-$AA$12)/($AA$13-$AA$12)</f>
        <v>0.40074137090909095</v>
      </c>
      <c r="U1271" s="3">
        <f>(Таблица1[Количество кредитных карт]-$AA$18)/($AA$19-$AA$18)</f>
        <v>0.19047619047619047</v>
      </c>
      <c r="V1271" s="3">
        <f>(Таблица1[Число нарушений кредитных договоров]-$AA$23)/($AA$24-$AA$23)</f>
        <v>0</v>
      </c>
      <c r="W1271" s="3">
        <f>Таблица1[[#This Row],[Годовой доход]]/12</f>
        <v>48003.5</v>
      </c>
      <c r="X1271" s="3">
        <f>Таблица1[[#This Row],[Ежемесячный платеж]]/Таблица1[[#This Row],[Ежем доход]]</f>
        <v>0.25699980209776369</v>
      </c>
      <c r="Y1271" s="3"/>
      <c r="Z1271" s="3"/>
      <c r="AA1271" s="3"/>
      <c r="AB1271" s="3"/>
    </row>
    <row r="1272" spans="1:28" x14ac:dyDescent="0.2">
      <c r="A1272">
        <v>1494</v>
      </c>
      <c r="B1272" t="s">
        <v>1533</v>
      </c>
      <c r="C1272" t="s">
        <v>18</v>
      </c>
      <c r="D1272" t="s">
        <v>19</v>
      </c>
      <c r="E1272" t="s">
        <v>32</v>
      </c>
      <c r="F1272" t="s">
        <v>21</v>
      </c>
      <c r="G1272" t="s">
        <v>25</v>
      </c>
      <c r="H1272" s="1">
        <v>283052</v>
      </c>
      <c r="I1272" s="3">
        <v>714</v>
      </c>
      <c r="J1272" s="3">
        <v>1062442</v>
      </c>
      <c r="K1272" s="3">
        <v>26472.51</v>
      </c>
      <c r="L1272" s="2">
        <v>16.5</v>
      </c>
      <c r="M1272" s="11">
        <v>35.265240640000002</v>
      </c>
      <c r="N1272" s="3">
        <v>16</v>
      </c>
      <c r="O1272" s="3">
        <v>224922</v>
      </c>
      <c r="P1272" s="3">
        <v>341770</v>
      </c>
      <c r="Q1272" s="10">
        <v>0</v>
      </c>
      <c r="R1272" s="3">
        <f>(Таблица1[Размер кредита]-$AA$2)/$AA$3</f>
        <v>-0.1511140474058531</v>
      </c>
      <c r="S1272" s="3">
        <f>(Таблица1[Кредитный рейтинг]-$AA$7)/($AA$8-$AA$7)</f>
        <v>0.95073235685752333</v>
      </c>
      <c r="T1272" s="3">
        <f>(Таблица1[Срок с последнего нарушения кредитного договора (мес,)]-$AA$12)/($AA$13-$AA$12)</f>
        <v>0.40074137090909095</v>
      </c>
      <c r="U1272" s="3">
        <f>(Таблица1[Количество кредитных карт]-$AA$18)/($AA$19-$AA$18)</f>
        <v>0.35714285714285715</v>
      </c>
      <c r="V1272" s="3">
        <f>(Таблица1[Число нарушений кредитных договоров]-$AA$23)/($AA$24-$AA$23)</f>
        <v>0</v>
      </c>
      <c r="W1272" s="3">
        <f>Таблица1[[#This Row],[Годовой доход]]/12</f>
        <v>88536.833333333328</v>
      </c>
      <c r="X1272" s="3">
        <f>Таблица1[[#This Row],[Ежемесячный платеж]]/Таблица1[[#This Row],[Ежем доход]]</f>
        <v>0.29899996423334169</v>
      </c>
      <c r="Y1272" s="3"/>
      <c r="Z1272" s="3"/>
      <c r="AA1272" s="3"/>
      <c r="AB1272" s="3"/>
    </row>
    <row r="1273" spans="1:28" x14ac:dyDescent="0.2">
      <c r="A1273">
        <v>192</v>
      </c>
      <c r="B1273" t="s">
        <v>234</v>
      </c>
      <c r="C1273" t="s">
        <v>35</v>
      </c>
      <c r="D1273" t="s">
        <v>29</v>
      </c>
      <c r="E1273" t="s">
        <v>50</v>
      </c>
      <c r="F1273" t="s">
        <v>21</v>
      </c>
      <c r="G1273" t="s">
        <v>25</v>
      </c>
      <c r="H1273" s="1">
        <v>322124</v>
      </c>
      <c r="I1273" s="3">
        <v>716</v>
      </c>
      <c r="J1273" s="3">
        <v>1020034</v>
      </c>
      <c r="K1273" s="3">
        <v>16915.32</v>
      </c>
      <c r="L1273" s="2">
        <v>17.8</v>
      </c>
      <c r="M1273" s="11">
        <v>35.265240640000002</v>
      </c>
      <c r="N1273" s="3">
        <v>10</v>
      </c>
      <c r="O1273" s="3">
        <v>205865</v>
      </c>
      <c r="P1273" s="3">
        <v>341506</v>
      </c>
      <c r="Q1273" s="10">
        <v>0</v>
      </c>
      <c r="R1273" s="3">
        <f>(Таблица1[Размер кредита]-$AA$2)/$AA$3</f>
        <v>7.1333824032939752E-2</v>
      </c>
      <c r="S1273" s="3">
        <f>(Таблица1[Кредитный рейтинг]-$AA$7)/($AA$8-$AA$7)</f>
        <v>0.95339547270306257</v>
      </c>
      <c r="T1273" s="3">
        <f>(Таблица1[Срок с последнего нарушения кредитного договора (мес,)]-$AA$12)/($AA$13-$AA$12)</f>
        <v>0.40074137090909095</v>
      </c>
      <c r="U1273" s="3">
        <f>(Таблица1[Количество кредитных карт]-$AA$18)/($AA$19-$AA$18)</f>
        <v>0.21428571428571427</v>
      </c>
      <c r="V1273" s="3">
        <f>(Таблица1[Число нарушений кредитных договоров]-$AA$23)/($AA$24-$AA$23)</f>
        <v>0</v>
      </c>
      <c r="W1273" s="3">
        <f>Таблица1[[#This Row],[Годовой доход]]/12</f>
        <v>85002.833333333328</v>
      </c>
      <c r="X1273" s="3">
        <f>Таблица1[[#This Row],[Ежемесячный платеж]]/Таблица1[[#This Row],[Ежем доход]]</f>
        <v>0.19899713146816675</v>
      </c>
      <c r="Y1273" s="3"/>
      <c r="Z1273" s="3"/>
      <c r="AA1273" s="3"/>
      <c r="AB1273" s="3"/>
    </row>
    <row r="1274" spans="1:28" x14ac:dyDescent="0.2">
      <c r="A1274">
        <v>1818</v>
      </c>
      <c r="B1274" t="s">
        <v>1856</v>
      </c>
      <c r="C1274" t="s">
        <v>35</v>
      </c>
      <c r="D1274" t="s">
        <v>29</v>
      </c>
      <c r="E1274" t="s">
        <v>24</v>
      </c>
      <c r="F1274" t="s">
        <v>21</v>
      </c>
      <c r="G1274" t="s">
        <v>25</v>
      </c>
      <c r="H1274" s="1">
        <v>535084</v>
      </c>
      <c r="I1274" s="3">
        <v>682</v>
      </c>
      <c r="J1274" s="3">
        <v>1347822</v>
      </c>
      <c r="K1274" s="3">
        <v>26282.51</v>
      </c>
      <c r="L1274" s="2">
        <v>18.399999999999999</v>
      </c>
      <c r="M1274" s="11">
        <v>8</v>
      </c>
      <c r="N1274" s="3">
        <v>10</v>
      </c>
      <c r="O1274" s="3">
        <v>254619</v>
      </c>
      <c r="P1274" s="3">
        <v>341242</v>
      </c>
      <c r="Q1274" s="10">
        <v>0</v>
      </c>
      <c r="R1274" s="3">
        <f>(Таблица1[Размер кредита]-$AA$2)/$AA$3</f>
        <v>1.2837749251182522</v>
      </c>
      <c r="S1274" s="3">
        <f>(Таблица1[Кредитный рейтинг]-$AA$7)/($AA$8-$AA$7)</f>
        <v>0.90812250332889477</v>
      </c>
      <c r="T1274" s="3">
        <f>(Таблица1[Срок с последнего нарушения кредитного договора (мес,)]-$AA$12)/($AA$13-$AA$12)</f>
        <v>9.0909090909090912E-2</v>
      </c>
      <c r="U1274" s="3">
        <f>(Таблица1[Количество кредитных карт]-$AA$18)/($AA$19-$AA$18)</f>
        <v>0.21428571428571427</v>
      </c>
      <c r="V1274" s="3">
        <f>(Таблица1[Число нарушений кредитных договоров]-$AA$23)/($AA$24-$AA$23)</f>
        <v>0</v>
      </c>
      <c r="W1274" s="3">
        <f>Таблица1[[#This Row],[Годовой доход]]/12</f>
        <v>112318.5</v>
      </c>
      <c r="X1274" s="3">
        <f>Таблица1[[#This Row],[Ежемесячный платеж]]/Таблица1[[#This Row],[Ежем доход]]</f>
        <v>0.23399983083819673</v>
      </c>
      <c r="Y1274" s="3"/>
      <c r="Z1274" s="3"/>
      <c r="AA1274" s="3"/>
      <c r="AB1274" s="3"/>
    </row>
    <row r="1275" spans="1:28" x14ac:dyDescent="0.2">
      <c r="A1275">
        <v>1127</v>
      </c>
      <c r="B1275" t="s">
        <v>1166</v>
      </c>
      <c r="C1275" t="s">
        <v>18</v>
      </c>
      <c r="D1275" t="s">
        <v>19</v>
      </c>
      <c r="E1275" t="s">
        <v>32</v>
      </c>
      <c r="F1275" t="s">
        <v>33</v>
      </c>
      <c r="G1275" t="s">
        <v>25</v>
      </c>
      <c r="H1275" s="1">
        <v>85844</v>
      </c>
      <c r="I1275" s="3">
        <v>716</v>
      </c>
      <c r="J1275" s="3">
        <v>688218</v>
      </c>
      <c r="K1275" s="3">
        <v>6882.18</v>
      </c>
      <c r="L1275" s="2">
        <v>13.7</v>
      </c>
      <c r="M1275" s="11">
        <v>35.265240640000002</v>
      </c>
      <c r="N1275" s="3">
        <v>13</v>
      </c>
      <c r="O1275" s="3">
        <v>209703</v>
      </c>
      <c r="P1275" s="3">
        <v>341022</v>
      </c>
      <c r="Q1275" s="10">
        <v>0</v>
      </c>
      <c r="R1275" s="3">
        <f>(Таблица1[Размер кредита]-$AA$2)/$AA$3</f>
        <v>-1.273874587708409</v>
      </c>
      <c r="S1275" s="3">
        <f>(Таблица1[Кредитный рейтинг]-$AA$7)/($AA$8-$AA$7)</f>
        <v>0.95339547270306257</v>
      </c>
      <c r="T1275" s="3">
        <f>(Таблица1[Срок с последнего нарушения кредитного договора (мес,)]-$AA$12)/($AA$13-$AA$12)</f>
        <v>0.40074137090909095</v>
      </c>
      <c r="U1275" s="3">
        <f>(Таблица1[Количество кредитных карт]-$AA$18)/($AA$19-$AA$18)</f>
        <v>0.2857142857142857</v>
      </c>
      <c r="V1275" s="3">
        <f>(Таблица1[Число нарушений кредитных договоров]-$AA$23)/($AA$24-$AA$23)</f>
        <v>0</v>
      </c>
      <c r="W1275" s="3">
        <f>Таблица1[[#This Row],[Годовой доход]]/12</f>
        <v>57351.5</v>
      </c>
      <c r="X1275" s="3">
        <f>Таблица1[[#This Row],[Ежемесячный платеж]]/Таблица1[[#This Row],[Ежем доход]]</f>
        <v>0.12000000000000001</v>
      </c>
      <c r="Y1275" s="3"/>
      <c r="Z1275" s="3"/>
      <c r="AA1275" s="3"/>
      <c r="AB1275" s="3"/>
    </row>
    <row r="1276" spans="1:28" x14ac:dyDescent="0.2">
      <c r="A1276">
        <v>297</v>
      </c>
      <c r="B1276" t="s">
        <v>339</v>
      </c>
      <c r="C1276" t="s">
        <v>18</v>
      </c>
      <c r="D1276" t="s">
        <v>19</v>
      </c>
      <c r="E1276" t="s">
        <v>63</v>
      </c>
      <c r="F1276" t="s">
        <v>33</v>
      </c>
      <c r="G1276" t="s">
        <v>25</v>
      </c>
      <c r="H1276" s="1">
        <v>94974</v>
      </c>
      <c r="I1276" s="3">
        <v>694</v>
      </c>
      <c r="J1276" s="3">
        <v>301093</v>
      </c>
      <c r="K1276" s="3">
        <v>4842.53</v>
      </c>
      <c r="L1276" s="2">
        <v>9.3000000000000007</v>
      </c>
      <c r="M1276" s="11">
        <v>35.265240640000002</v>
      </c>
      <c r="N1276" s="3">
        <v>7</v>
      </c>
      <c r="O1276" s="3">
        <v>162564</v>
      </c>
      <c r="P1276" s="3">
        <v>341000</v>
      </c>
      <c r="Q1276" s="10">
        <v>0</v>
      </c>
      <c r="R1276" s="3">
        <f>(Таблица1[Размер кредита]-$AA$2)/$AA$3</f>
        <v>-1.2218949330647721</v>
      </c>
      <c r="S1276" s="3">
        <f>(Таблица1[Кредитный рейтинг]-$AA$7)/($AA$8-$AA$7)</f>
        <v>0.92410119840213045</v>
      </c>
      <c r="T1276" s="3">
        <f>(Таблица1[Срок с последнего нарушения кредитного договора (мес,)]-$AA$12)/($AA$13-$AA$12)</f>
        <v>0.40074137090909095</v>
      </c>
      <c r="U1276" s="3">
        <f>(Таблица1[Количество кредитных карт]-$AA$18)/($AA$19-$AA$18)</f>
        <v>0.14285714285714285</v>
      </c>
      <c r="V1276" s="3">
        <f>(Таблица1[Число нарушений кредитных договоров]-$AA$23)/($AA$24-$AA$23)</f>
        <v>0</v>
      </c>
      <c r="W1276" s="3">
        <f>Таблица1[[#This Row],[Годовой доход]]/12</f>
        <v>25091.083333333332</v>
      </c>
      <c r="X1276" s="3">
        <f>Таблица1[[#This Row],[Ежемесячный платеж]]/Таблица1[[#This Row],[Ежем доход]]</f>
        <v>0.192998043793778</v>
      </c>
      <c r="Y1276" s="3"/>
      <c r="Z1276" s="3"/>
      <c r="AA1276" s="3"/>
      <c r="AB1276" s="3"/>
    </row>
    <row r="1277" spans="1:28" x14ac:dyDescent="0.2">
      <c r="A1277">
        <v>508</v>
      </c>
      <c r="B1277" t="s">
        <v>549</v>
      </c>
      <c r="C1277" t="s">
        <v>18</v>
      </c>
      <c r="D1277" t="s">
        <v>19</v>
      </c>
      <c r="E1277" t="s">
        <v>30</v>
      </c>
      <c r="F1277" t="s">
        <v>33</v>
      </c>
      <c r="G1277" t="s">
        <v>25</v>
      </c>
      <c r="H1277" s="1">
        <v>96800</v>
      </c>
      <c r="I1277" s="3">
        <v>712</v>
      </c>
      <c r="J1277" s="3">
        <v>371564</v>
      </c>
      <c r="K1277" s="3">
        <v>6874.01</v>
      </c>
      <c r="L1277" s="2">
        <v>14.1</v>
      </c>
      <c r="M1277" s="11">
        <v>65</v>
      </c>
      <c r="N1277" s="3">
        <v>14</v>
      </c>
      <c r="O1277" s="3">
        <v>177688</v>
      </c>
      <c r="P1277" s="3">
        <v>340054</v>
      </c>
      <c r="Q1277" s="10">
        <v>0</v>
      </c>
      <c r="R1277" s="3">
        <f>(Таблица1[Размер кредита]-$AA$2)/$AA$3</f>
        <v>-1.2114990021360448</v>
      </c>
      <c r="S1277" s="3">
        <f>(Таблица1[Кредитный рейтинг]-$AA$7)/($AA$8-$AA$7)</f>
        <v>0.94806924101198398</v>
      </c>
      <c r="T1277" s="3">
        <f>(Таблица1[Срок с последнего нарушения кредитного договора (мес,)]-$AA$12)/($AA$13-$AA$12)</f>
        <v>0.73863636363636365</v>
      </c>
      <c r="U1277" s="3">
        <f>(Таблица1[Количество кредитных карт]-$AA$18)/($AA$19-$AA$18)</f>
        <v>0.30952380952380953</v>
      </c>
      <c r="V1277" s="3">
        <f>(Таблица1[Число нарушений кредитных договоров]-$AA$23)/($AA$24-$AA$23)</f>
        <v>0</v>
      </c>
      <c r="W1277" s="3">
        <f>Таблица1[[#This Row],[Годовой доход]]/12</f>
        <v>30963.666666666668</v>
      </c>
      <c r="X1277" s="3">
        <f>Таблица1[[#This Row],[Ежемесячный платеж]]/Таблица1[[#This Row],[Ежем доход]]</f>
        <v>0.22200245448967068</v>
      </c>
      <c r="Y1277" s="3"/>
      <c r="Z1277" s="3"/>
      <c r="AA1277" s="3"/>
      <c r="AB1277" s="3"/>
    </row>
    <row r="1278" spans="1:28" x14ac:dyDescent="0.2">
      <c r="A1278">
        <v>294</v>
      </c>
      <c r="B1278" t="s">
        <v>336</v>
      </c>
      <c r="C1278" t="s">
        <v>18</v>
      </c>
      <c r="D1278" t="s">
        <v>19</v>
      </c>
      <c r="E1278" t="s">
        <v>24</v>
      </c>
      <c r="F1278" t="s">
        <v>21</v>
      </c>
      <c r="G1278" t="s">
        <v>22</v>
      </c>
      <c r="H1278" s="1">
        <v>222156</v>
      </c>
      <c r="I1278" s="3">
        <v>0</v>
      </c>
      <c r="J1278" s="3">
        <v>1168044</v>
      </c>
      <c r="K1278" s="3">
        <v>16960.54</v>
      </c>
      <c r="L1278" s="2">
        <v>15.9</v>
      </c>
      <c r="M1278" s="11">
        <v>35.265240640000002</v>
      </c>
      <c r="N1278" s="3">
        <v>7</v>
      </c>
      <c r="O1278" s="3">
        <v>170563</v>
      </c>
      <c r="P1278" s="3">
        <v>339922</v>
      </c>
      <c r="Q1278" s="10">
        <v>0</v>
      </c>
      <c r="R1278" s="3">
        <f>(Таблица1[Размер кредита]-$AA$2)/$AA$3</f>
        <v>-0.49781208126991761</v>
      </c>
      <c r="S1278" s="3">
        <f>(Таблица1[Кредитный рейтинг]-$AA$7)/($AA$8-$AA$7)</f>
        <v>0</v>
      </c>
      <c r="T1278" s="3">
        <f>(Таблица1[Срок с последнего нарушения кредитного договора (мес,)]-$AA$12)/($AA$13-$AA$12)</f>
        <v>0.40074137090909095</v>
      </c>
      <c r="U1278" s="3">
        <f>(Таблица1[Количество кредитных карт]-$AA$18)/($AA$19-$AA$18)</f>
        <v>0.14285714285714285</v>
      </c>
      <c r="V1278" s="3">
        <f>(Таблица1[Число нарушений кредитных договоров]-$AA$23)/($AA$24-$AA$23)</f>
        <v>0</v>
      </c>
      <c r="W1278" s="3">
        <f>Таблица1[[#This Row],[Годовой доход]]/12</f>
        <v>97337</v>
      </c>
      <c r="X1278" s="3">
        <f>Таблица1[[#This Row],[Ежемесячный платеж]]/Таблица1[[#This Row],[Ежем доход]]</f>
        <v>0.17424555924263127</v>
      </c>
      <c r="Y1278" s="3"/>
      <c r="Z1278" s="3"/>
      <c r="AA1278" s="3"/>
      <c r="AB1278" s="3"/>
    </row>
    <row r="1279" spans="1:28" x14ac:dyDescent="0.2">
      <c r="A1279">
        <v>89</v>
      </c>
      <c r="B1279" t="s">
        <v>131</v>
      </c>
      <c r="C1279" t="s">
        <v>35</v>
      </c>
      <c r="D1279" t="s">
        <v>19</v>
      </c>
      <c r="E1279" t="s">
        <v>63</v>
      </c>
      <c r="F1279" t="s">
        <v>33</v>
      </c>
      <c r="G1279" t="s">
        <v>25</v>
      </c>
      <c r="H1279" s="1">
        <v>194942</v>
      </c>
      <c r="I1279" s="3">
        <v>742</v>
      </c>
      <c r="J1279" s="3">
        <v>1212238</v>
      </c>
      <c r="K1279" s="3">
        <v>25254.99</v>
      </c>
      <c r="L1279" s="2">
        <v>27.4</v>
      </c>
      <c r="M1279" s="11">
        <v>19</v>
      </c>
      <c r="N1279" s="3">
        <v>13</v>
      </c>
      <c r="O1279" s="3">
        <v>176396</v>
      </c>
      <c r="P1279" s="3">
        <v>339834</v>
      </c>
      <c r="Q1279" s="10">
        <v>1</v>
      </c>
      <c r="R1279" s="3">
        <f>(Таблица1[Размер кредита]-$AA$2)/$AA$3</f>
        <v>-0.65274902776191468</v>
      </c>
      <c r="S1279" s="3">
        <f>(Таблица1[Кредитный рейтинг]-$AA$7)/($AA$8-$AA$7)</f>
        <v>0.98801597869507318</v>
      </c>
      <c r="T1279" s="3">
        <f>(Таблица1[Срок с последнего нарушения кредитного договора (мес,)]-$AA$12)/($AA$13-$AA$12)</f>
        <v>0.21590909090909091</v>
      </c>
      <c r="U1279" s="3">
        <f>(Таблица1[Количество кредитных карт]-$AA$18)/($AA$19-$AA$18)</f>
        <v>0.2857142857142857</v>
      </c>
      <c r="V1279" s="3">
        <f>(Таблица1[Число нарушений кредитных договоров]-$AA$23)/($AA$24-$AA$23)</f>
        <v>0.14285714285714285</v>
      </c>
      <c r="W1279" s="3">
        <f>Таблица1[[#This Row],[Годовой доход]]/12</f>
        <v>101019.83333333333</v>
      </c>
      <c r="X1279" s="3">
        <f>Таблица1[[#This Row],[Ежемесячный платеж]]/Таблица1[[#This Row],[Ежем доход]]</f>
        <v>0.25000031346979723</v>
      </c>
      <c r="Y1279" s="3"/>
      <c r="Z1279" s="3"/>
      <c r="AA1279" s="3"/>
      <c r="AB1279" s="3"/>
    </row>
    <row r="1280" spans="1:28" x14ac:dyDescent="0.2">
      <c r="A1280">
        <v>1890</v>
      </c>
      <c r="B1280" t="s">
        <v>1926</v>
      </c>
      <c r="C1280" t="s">
        <v>18</v>
      </c>
      <c r="D1280" t="s">
        <v>19</v>
      </c>
      <c r="E1280" t="s">
        <v>24</v>
      </c>
      <c r="F1280" t="s">
        <v>33</v>
      </c>
      <c r="G1280" t="s">
        <v>25</v>
      </c>
      <c r="H1280" s="1">
        <v>675048</v>
      </c>
      <c r="I1280" s="3">
        <v>732</v>
      </c>
      <c r="J1280" s="3">
        <v>2444806</v>
      </c>
      <c r="K1280" s="3">
        <v>27504.02</v>
      </c>
      <c r="L1280" s="2">
        <v>16</v>
      </c>
      <c r="M1280" s="11">
        <v>33</v>
      </c>
      <c r="N1280" s="3">
        <v>8</v>
      </c>
      <c r="O1280" s="3">
        <v>268964</v>
      </c>
      <c r="P1280" s="3">
        <v>339636</v>
      </c>
      <c r="Q1280" s="10">
        <v>0</v>
      </c>
      <c r="R1280" s="3">
        <f>(Таблица1[Размер кредита]-$AA$2)/$AA$3</f>
        <v>2.0806292934141983</v>
      </c>
      <c r="S1280" s="3">
        <f>(Таблица1[Кредитный рейтинг]-$AA$7)/($AA$8-$AA$7)</f>
        <v>0.97470039946737685</v>
      </c>
      <c r="T1280" s="3">
        <f>(Таблица1[Срок с последнего нарушения кредитного договора (мес,)]-$AA$12)/($AA$13-$AA$12)</f>
        <v>0.375</v>
      </c>
      <c r="U1280" s="3">
        <f>(Таблица1[Количество кредитных карт]-$AA$18)/($AA$19-$AA$18)</f>
        <v>0.16666666666666666</v>
      </c>
      <c r="V1280" s="3">
        <f>(Таблица1[Число нарушений кредитных договоров]-$AA$23)/($AA$24-$AA$23)</f>
        <v>0</v>
      </c>
      <c r="W1280" s="3">
        <f>Таблица1[[#This Row],[Годовой доход]]/12</f>
        <v>203733.83333333334</v>
      </c>
      <c r="X1280" s="3">
        <f>Таблица1[[#This Row],[Ежемесячный платеж]]/Таблица1[[#This Row],[Ежем доход]]</f>
        <v>0.13499976685266643</v>
      </c>
      <c r="Y1280" s="3"/>
      <c r="Z1280" s="3"/>
      <c r="AA1280" s="3"/>
      <c r="AB1280" s="3"/>
    </row>
    <row r="1281" spans="1:28" x14ac:dyDescent="0.2">
      <c r="A1281">
        <v>777</v>
      </c>
      <c r="B1281" t="s">
        <v>818</v>
      </c>
      <c r="C1281" t="s">
        <v>35</v>
      </c>
      <c r="D1281" t="s">
        <v>19</v>
      </c>
      <c r="E1281" t="s">
        <v>63</v>
      </c>
      <c r="F1281" t="s">
        <v>33</v>
      </c>
      <c r="G1281" t="s">
        <v>25</v>
      </c>
      <c r="H1281" s="1">
        <v>138380</v>
      </c>
      <c r="I1281" s="3">
        <v>735</v>
      </c>
      <c r="J1281" s="3">
        <v>485792</v>
      </c>
      <c r="K1281" s="3">
        <v>8055.81</v>
      </c>
      <c r="L1281" s="2">
        <v>17.100000000000001</v>
      </c>
      <c r="M1281" s="11">
        <v>35.265240640000002</v>
      </c>
      <c r="N1281" s="3">
        <v>8</v>
      </c>
      <c r="O1281" s="3">
        <v>117838</v>
      </c>
      <c r="P1281" s="3">
        <v>339394</v>
      </c>
      <c r="Q1281" s="10">
        <v>0</v>
      </c>
      <c r="R1281" s="3">
        <f>(Таблица1[Размер кредита]-$AA$2)/$AA$3</f>
        <v>-0.97477238219273477</v>
      </c>
      <c r="S1281" s="3">
        <f>(Таблица1[Кредитный рейтинг]-$AA$7)/($AA$8-$AA$7)</f>
        <v>0.97869507323568572</v>
      </c>
      <c r="T1281" s="3">
        <f>(Таблица1[Срок с последнего нарушения кредитного договора (мес,)]-$AA$12)/($AA$13-$AA$12)</f>
        <v>0.40074137090909095</v>
      </c>
      <c r="U1281" s="3">
        <f>(Таблица1[Количество кредитных карт]-$AA$18)/($AA$19-$AA$18)</f>
        <v>0.16666666666666666</v>
      </c>
      <c r="V1281" s="3">
        <f>(Таблица1[Число нарушений кредитных договоров]-$AA$23)/($AA$24-$AA$23)</f>
        <v>0</v>
      </c>
      <c r="W1281" s="3">
        <f>Таблица1[[#This Row],[Годовой доход]]/12</f>
        <v>40482.666666666664</v>
      </c>
      <c r="X1281" s="3">
        <f>Таблица1[[#This Row],[Ежемесячный платеж]]/Таблица1[[#This Row],[Ежем доход]]</f>
        <v>0.19899405506883608</v>
      </c>
      <c r="Y1281" s="3"/>
      <c r="Z1281" s="3"/>
      <c r="AA1281" s="3"/>
      <c r="AB1281" s="3"/>
    </row>
    <row r="1282" spans="1:28" x14ac:dyDescent="0.2">
      <c r="A1282">
        <v>1889</v>
      </c>
      <c r="B1282" t="s">
        <v>1925</v>
      </c>
      <c r="C1282" t="s">
        <v>18</v>
      </c>
      <c r="D1282" t="s">
        <v>29</v>
      </c>
      <c r="E1282" t="s">
        <v>47</v>
      </c>
      <c r="F1282" t="s">
        <v>21</v>
      </c>
      <c r="G1282" t="s">
        <v>25</v>
      </c>
      <c r="H1282" s="1">
        <v>352462</v>
      </c>
      <c r="I1282" s="3">
        <v>721</v>
      </c>
      <c r="J1282" s="3">
        <v>2187850</v>
      </c>
      <c r="K1282" s="3">
        <v>40839.74</v>
      </c>
      <c r="L1282" s="2">
        <v>21.8</v>
      </c>
      <c r="M1282" s="11">
        <v>68</v>
      </c>
      <c r="N1282" s="3">
        <v>14</v>
      </c>
      <c r="O1282" s="3">
        <v>208240</v>
      </c>
      <c r="P1282" s="3">
        <v>339130</v>
      </c>
      <c r="Q1282" s="10">
        <v>1</v>
      </c>
      <c r="R1282" s="3">
        <f>(Таблица1[Размер кредита]-$AA$2)/$AA$3</f>
        <v>0.24405658006565109</v>
      </c>
      <c r="S1282" s="3">
        <f>(Таблица1[Кредитный рейтинг]-$AA$7)/($AA$8-$AA$7)</f>
        <v>0.96005326231691079</v>
      </c>
      <c r="T1282" s="3">
        <f>(Таблица1[Срок с последнего нарушения кредитного договора (мес,)]-$AA$12)/($AA$13-$AA$12)</f>
        <v>0.77272727272727271</v>
      </c>
      <c r="U1282" s="3">
        <f>(Таблица1[Количество кредитных карт]-$AA$18)/($AA$19-$AA$18)</f>
        <v>0.30952380952380953</v>
      </c>
      <c r="V1282" s="3">
        <f>(Таблица1[Число нарушений кредитных договоров]-$AA$23)/($AA$24-$AA$23)</f>
        <v>0.14285714285714285</v>
      </c>
      <c r="W1282" s="3">
        <f>Таблица1[[#This Row],[Годовой доход]]/12</f>
        <v>182320.83333333334</v>
      </c>
      <c r="X1282" s="3">
        <f>Таблица1[[#This Row],[Ежемесячный платеж]]/Таблица1[[#This Row],[Ежем доход]]</f>
        <v>0.22399930525401648</v>
      </c>
      <c r="Y1282" s="3"/>
      <c r="Z1282" s="3"/>
      <c r="AA1282" s="3"/>
      <c r="AB1282" s="3"/>
    </row>
    <row r="1283" spans="1:28" x14ac:dyDescent="0.2">
      <c r="A1283">
        <v>171</v>
      </c>
      <c r="B1283" t="s">
        <v>213</v>
      </c>
      <c r="C1283" t="s">
        <v>18</v>
      </c>
      <c r="D1283" t="s">
        <v>19</v>
      </c>
      <c r="E1283" t="s">
        <v>24</v>
      </c>
      <c r="F1283" t="s">
        <v>21</v>
      </c>
      <c r="G1283" t="s">
        <v>25</v>
      </c>
      <c r="H1283" s="1">
        <v>300366</v>
      </c>
      <c r="I1283" s="3">
        <v>730</v>
      </c>
      <c r="J1283" s="3">
        <v>833188</v>
      </c>
      <c r="K1283" s="3">
        <v>13400.32</v>
      </c>
      <c r="L1283" s="2">
        <v>17.899999999999999</v>
      </c>
      <c r="M1283" s="11">
        <v>37</v>
      </c>
      <c r="N1283" s="3">
        <v>7</v>
      </c>
      <c r="O1283" s="3">
        <v>179721</v>
      </c>
      <c r="P1283" s="3">
        <v>338932</v>
      </c>
      <c r="Q1283" s="10">
        <v>0</v>
      </c>
      <c r="R1283" s="3">
        <f>(Таблица1[Размер кредита]-$AA$2)/$AA$3</f>
        <v>-5.2540581852739375E-2</v>
      </c>
      <c r="S1283" s="3">
        <f>(Таблица1[Кредитный рейтинг]-$AA$7)/($AA$8-$AA$7)</f>
        <v>0.9720372836218375</v>
      </c>
      <c r="T1283" s="3">
        <f>(Таблица1[Срок с последнего нарушения кредитного договора (мес,)]-$AA$12)/($AA$13-$AA$12)</f>
        <v>0.42045454545454547</v>
      </c>
      <c r="U1283" s="3">
        <f>(Таблица1[Количество кредитных карт]-$AA$18)/($AA$19-$AA$18)</f>
        <v>0.14285714285714285</v>
      </c>
      <c r="V1283" s="3">
        <f>(Таблица1[Число нарушений кредитных договоров]-$AA$23)/($AA$24-$AA$23)</f>
        <v>0</v>
      </c>
      <c r="W1283" s="3">
        <f>Таблица1[[#This Row],[Годовой доход]]/12</f>
        <v>69432.333333333328</v>
      </c>
      <c r="X1283" s="3">
        <f>Таблица1[[#This Row],[Ежемесячный платеж]]/Таблица1[[#This Row],[Ежем доход]]</f>
        <v>0.19299826689774699</v>
      </c>
      <c r="Y1283" s="3"/>
      <c r="Z1283" s="3"/>
      <c r="AA1283" s="3"/>
      <c r="AB1283" s="3"/>
    </row>
    <row r="1284" spans="1:28" x14ac:dyDescent="0.2">
      <c r="A1284">
        <v>1011</v>
      </c>
      <c r="B1284" t="s">
        <v>1050</v>
      </c>
      <c r="C1284" t="s">
        <v>18</v>
      </c>
      <c r="D1284" t="s">
        <v>19</v>
      </c>
      <c r="E1284" t="s">
        <v>47</v>
      </c>
      <c r="F1284" t="s">
        <v>21</v>
      </c>
      <c r="G1284" t="s">
        <v>67</v>
      </c>
      <c r="H1284" s="1">
        <v>267652</v>
      </c>
      <c r="I1284" s="3">
        <v>0</v>
      </c>
      <c r="J1284" s="3">
        <v>1168044</v>
      </c>
      <c r="K1284" s="3">
        <v>1035.31</v>
      </c>
      <c r="L1284" s="2">
        <v>14.5</v>
      </c>
      <c r="M1284" s="11">
        <v>35.265240640000002</v>
      </c>
      <c r="N1284" s="3">
        <v>5</v>
      </c>
      <c r="O1284" s="3">
        <v>40945</v>
      </c>
      <c r="P1284" s="3">
        <v>338712</v>
      </c>
      <c r="Q1284" s="10">
        <v>1</v>
      </c>
      <c r="R1284" s="3">
        <f>(Таблица1[Размер кредита]-$AA$2)/$AA$3</f>
        <v>-0.23879057331078271</v>
      </c>
      <c r="S1284" s="3">
        <f>(Таблица1[Кредитный рейтинг]-$AA$7)/($AA$8-$AA$7)</f>
        <v>0</v>
      </c>
      <c r="T1284" s="3">
        <f>(Таблица1[Срок с последнего нарушения кредитного договора (мес,)]-$AA$12)/($AA$13-$AA$12)</f>
        <v>0.40074137090909095</v>
      </c>
      <c r="U1284" s="3">
        <f>(Таблица1[Количество кредитных карт]-$AA$18)/($AA$19-$AA$18)</f>
        <v>9.5238095238095233E-2</v>
      </c>
      <c r="V1284" s="3">
        <f>(Таблица1[Число нарушений кредитных договоров]-$AA$23)/($AA$24-$AA$23)</f>
        <v>0.14285714285714285</v>
      </c>
      <c r="W1284" s="3">
        <f>Таблица1[[#This Row],[Годовой доход]]/12</f>
        <v>97337</v>
      </c>
      <c r="X1284" s="3">
        <f>Таблица1[[#This Row],[Ежемесячный платеж]]/Таблица1[[#This Row],[Ежем доход]]</f>
        <v>1.0636345891079445E-2</v>
      </c>
      <c r="Y1284" s="3"/>
      <c r="Z1284" s="3"/>
      <c r="AA1284" s="3"/>
      <c r="AB1284" s="3"/>
    </row>
    <row r="1285" spans="1:28" x14ac:dyDescent="0.2">
      <c r="A1285">
        <v>447</v>
      </c>
      <c r="B1285" t="s">
        <v>488</v>
      </c>
      <c r="C1285" t="s">
        <v>18</v>
      </c>
      <c r="D1285" t="s">
        <v>29</v>
      </c>
      <c r="E1285" t="s">
        <v>24</v>
      </c>
      <c r="F1285" t="s">
        <v>27</v>
      </c>
      <c r="G1285" t="s">
        <v>25</v>
      </c>
      <c r="H1285" s="1">
        <v>311850</v>
      </c>
      <c r="I1285" s="3">
        <v>723</v>
      </c>
      <c r="J1285" s="3">
        <v>694564</v>
      </c>
      <c r="K1285" s="3">
        <v>12270.77</v>
      </c>
      <c r="L1285" s="2">
        <v>18.8</v>
      </c>
      <c r="M1285" s="11">
        <v>35.265240640000002</v>
      </c>
      <c r="N1285" s="3">
        <v>6</v>
      </c>
      <c r="O1285" s="3">
        <v>167238</v>
      </c>
      <c r="P1285" s="3">
        <v>338536</v>
      </c>
      <c r="Q1285" s="10">
        <v>0</v>
      </c>
      <c r="R1285" s="3">
        <f>(Таблица1[Размер кредита]-$AA$2)/$AA$3</f>
        <v>1.2841056036365282E-2</v>
      </c>
      <c r="S1285" s="3">
        <f>(Таблица1[Кредитный рейтинг]-$AA$7)/($AA$8-$AA$7)</f>
        <v>0.96271637816245004</v>
      </c>
      <c r="T1285" s="3">
        <f>(Таблица1[Срок с последнего нарушения кредитного договора (мес,)]-$AA$12)/($AA$13-$AA$12)</f>
        <v>0.40074137090909095</v>
      </c>
      <c r="U1285" s="3">
        <f>(Таблица1[Количество кредитных карт]-$AA$18)/($AA$19-$AA$18)</f>
        <v>0.11904761904761904</v>
      </c>
      <c r="V1285" s="3">
        <f>(Таблица1[Число нарушений кредитных договоров]-$AA$23)/($AA$24-$AA$23)</f>
        <v>0</v>
      </c>
      <c r="W1285" s="3">
        <f>Таблица1[[#This Row],[Годовой доход]]/12</f>
        <v>57880.333333333336</v>
      </c>
      <c r="X1285" s="3">
        <f>Таблица1[[#This Row],[Ежемесячный платеж]]/Таблица1[[#This Row],[Ежем доход]]</f>
        <v>0.21200240726556516</v>
      </c>
      <c r="Y1285" s="3"/>
      <c r="Z1285" s="3"/>
      <c r="AA1285" s="3"/>
      <c r="AB1285" s="3"/>
    </row>
    <row r="1286" spans="1:28" x14ac:dyDescent="0.2">
      <c r="A1286">
        <v>1915</v>
      </c>
      <c r="B1286" t="s">
        <v>1951</v>
      </c>
      <c r="C1286" t="s">
        <v>18</v>
      </c>
      <c r="D1286" t="s">
        <v>19</v>
      </c>
      <c r="E1286" t="s">
        <v>32</v>
      </c>
      <c r="F1286" t="s">
        <v>21</v>
      </c>
      <c r="G1286" t="s">
        <v>25</v>
      </c>
      <c r="H1286" s="1">
        <v>222662</v>
      </c>
      <c r="I1286" s="3">
        <v>716</v>
      </c>
      <c r="J1286" s="3">
        <v>1538392</v>
      </c>
      <c r="K1286" s="3">
        <v>19358.150000000001</v>
      </c>
      <c r="L1286" s="2">
        <v>16.399999999999999</v>
      </c>
      <c r="M1286" s="11">
        <v>35.265240640000002</v>
      </c>
      <c r="N1286" s="3">
        <v>10</v>
      </c>
      <c r="O1286" s="3">
        <v>284582</v>
      </c>
      <c r="P1286" s="3">
        <v>338316</v>
      </c>
      <c r="Q1286" s="10">
        <v>0</v>
      </c>
      <c r="R1286" s="3">
        <f>(Таблица1[Размер кредита]-$AA$2)/$AA$3</f>
        <v>-0.49493128113304136</v>
      </c>
      <c r="S1286" s="3">
        <f>(Таблица1[Кредитный рейтинг]-$AA$7)/($AA$8-$AA$7)</f>
        <v>0.95339547270306257</v>
      </c>
      <c r="T1286" s="3">
        <f>(Таблица1[Срок с последнего нарушения кредитного договора (мес,)]-$AA$12)/($AA$13-$AA$12)</f>
        <v>0.40074137090909095</v>
      </c>
      <c r="U1286" s="3">
        <f>(Таблица1[Количество кредитных карт]-$AA$18)/($AA$19-$AA$18)</f>
        <v>0.21428571428571427</v>
      </c>
      <c r="V1286" s="3">
        <f>(Таблица1[Число нарушений кредитных договоров]-$AA$23)/($AA$24-$AA$23)</f>
        <v>0</v>
      </c>
      <c r="W1286" s="3">
        <f>Таблица1[[#This Row],[Годовой доход]]/12</f>
        <v>128199.33333333333</v>
      </c>
      <c r="X1286" s="3">
        <f>Таблица1[[#This Row],[Ежемесячный платеж]]/Таблица1[[#This Row],[Ежем доход]]</f>
        <v>0.15100039521786388</v>
      </c>
      <c r="Y1286" s="3"/>
      <c r="Z1286" s="3"/>
      <c r="AA1286" s="3"/>
      <c r="AB1286" s="3"/>
    </row>
    <row r="1287" spans="1:28" x14ac:dyDescent="0.2">
      <c r="A1287">
        <v>680</v>
      </c>
      <c r="B1287" t="s">
        <v>721</v>
      </c>
      <c r="C1287" t="s">
        <v>35</v>
      </c>
      <c r="D1287" t="s">
        <v>19</v>
      </c>
      <c r="E1287" t="s">
        <v>24</v>
      </c>
      <c r="F1287" t="s">
        <v>21</v>
      </c>
      <c r="G1287" t="s">
        <v>25</v>
      </c>
      <c r="H1287" s="1">
        <v>322520</v>
      </c>
      <c r="I1287" s="3">
        <v>709</v>
      </c>
      <c r="J1287" s="3">
        <v>1648896</v>
      </c>
      <c r="K1287" s="3">
        <v>29680.28</v>
      </c>
      <c r="L1287" s="2">
        <v>16.600000000000001</v>
      </c>
      <c r="M1287" s="11">
        <v>35.265240640000002</v>
      </c>
      <c r="N1287" s="3">
        <v>8</v>
      </c>
      <c r="O1287" s="3">
        <v>254828</v>
      </c>
      <c r="P1287" s="3">
        <v>337634</v>
      </c>
      <c r="Q1287" s="10">
        <v>0</v>
      </c>
      <c r="R1287" s="3">
        <f>(Таблица1[Размер кредита]-$AA$2)/$AA$3</f>
        <v>7.3588363270495089E-2</v>
      </c>
      <c r="S1287" s="3">
        <f>(Таблица1[Кредитный рейтинг]-$AA$7)/($AA$8-$AA$7)</f>
        <v>0.94407456724367511</v>
      </c>
      <c r="T1287" s="3">
        <f>(Таблица1[Срок с последнего нарушения кредитного договора (мес,)]-$AA$12)/($AA$13-$AA$12)</f>
        <v>0.40074137090909095</v>
      </c>
      <c r="U1287" s="3">
        <f>(Таблица1[Количество кредитных карт]-$AA$18)/($AA$19-$AA$18)</f>
        <v>0.16666666666666666</v>
      </c>
      <c r="V1287" s="3">
        <f>(Таблица1[Число нарушений кредитных договоров]-$AA$23)/($AA$24-$AA$23)</f>
        <v>0</v>
      </c>
      <c r="W1287" s="3">
        <f>Таблица1[[#This Row],[Годовой доход]]/12</f>
        <v>137408</v>
      </c>
      <c r="X1287" s="3">
        <f>Таблица1[[#This Row],[Ежемесячный платеж]]/Таблица1[[#This Row],[Ежем доход]]</f>
        <v>0.21600110619469026</v>
      </c>
      <c r="Y1287" s="3"/>
      <c r="Z1287" s="3"/>
      <c r="AA1287" s="3"/>
      <c r="AB1287" s="3"/>
    </row>
    <row r="1288" spans="1:28" x14ac:dyDescent="0.2">
      <c r="A1288">
        <v>1654</v>
      </c>
      <c r="B1288" t="s">
        <v>1692</v>
      </c>
      <c r="C1288" t="s">
        <v>18</v>
      </c>
      <c r="D1288" t="s">
        <v>29</v>
      </c>
      <c r="E1288" t="s">
        <v>41</v>
      </c>
      <c r="F1288" t="s">
        <v>21</v>
      </c>
      <c r="G1288" t="s">
        <v>22</v>
      </c>
      <c r="H1288" s="1">
        <v>544346</v>
      </c>
      <c r="I1288" s="3">
        <v>684</v>
      </c>
      <c r="J1288" s="3">
        <v>1692387</v>
      </c>
      <c r="K1288" s="3">
        <v>3511.77</v>
      </c>
      <c r="L1288" s="2">
        <v>31.9</v>
      </c>
      <c r="M1288" s="11">
        <v>35.265240640000002</v>
      </c>
      <c r="N1288" s="3">
        <v>9</v>
      </c>
      <c r="O1288" s="3">
        <v>137047</v>
      </c>
      <c r="P1288" s="3">
        <v>337612</v>
      </c>
      <c r="Q1288" s="10">
        <v>1</v>
      </c>
      <c r="R1288" s="3">
        <f>(Таблица1[Размер кредита]-$AA$2)/$AA$3</f>
        <v>1.3365060928410741</v>
      </c>
      <c r="S1288" s="3">
        <f>(Таблица1[Кредитный рейтинг]-$AA$7)/($AA$8-$AA$7)</f>
        <v>0.91078561917443412</v>
      </c>
      <c r="T1288" s="3">
        <f>(Таблица1[Срок с последнего нарушения кредитного договора (мес,)]-$AA$12)/($AA$13-$AA$12)</f>
        <v>0.40074137090909095</v>
      </c>
      <c r="U1288" s="3">
        <f>(Таблица1[Количество кредитных карт]-$AA$18)/($AA$19-$AA$18)</f>
        <v>0.19047619047619047</v>
      </c>
      <c r="V1288" s="3">
        <f>(Таблица1[Число нарушений кредитных договоров]-$AA$23)/($AA$24-$AA$23)</f>
        <v>0.14285714285714285</v>
      </c>
      <c r="W1288" s="3">
        <f>Таблица1[[#This Row],[Годовой доход]]/12</f>
        <v>141032.25</v>
      </c>
      <c r="X1288" s="3">
        <f>Таблица1[[#This Row],[Ежемесячный платеж]]/Таблица1[[#This Row],[Ежем доход]]</f>
        <v>2.4900474891381228E-2</v>
      </c>
      <c r="Y1288" s="3"/>
      <c r="Z1288" s="3"/>
      <c r="AA1288" s="3"/>
      <c r="AB1288" s="3"/>
    </row>
    <row r="1289" spans="1:28" x14ac:dyDescent="0.2">
      <c r="A1289">
        <v>1675</v>
      </c>
      <c r="B1289" t="s">
        <v>1713</v>
      </c>
      <c r="C1289" t="s">
        <v>18</v>
      </c>
      <c r="D1289" t="s">
        <v>19</v>
      </c>
      <c r="E1289" t="s">
        <v>24</v>
      </c>
      <c r="F1289" t="s">
        <v>33</v>
      </c>
      <c r="G1289" t="s">
        <v>25</v>
      </c>
      <c r="H1289" s="1">
        <v>263274</v>
      </c>
      <c r="I1289" s="3">
        <v>0</v>
      </c>
      <c r="J1289" s="3">
        <v>1168044</v>
      </c>
      <c r="K1289" s="3">
        <v>6065.75</v>
      </c>
      <c r="L1289" s="2">
        <v>14.7</v>
      </c>
      <c r="M1289" s="11">
        <v>35.265240640000002</v>
      </c>
      <c r="N1289" s="3">
        <v>6</v>
      </c>
      <c r="O1289" s="3">
        <v>191444</v>
      </c>
      <c r="P1289" s="3">
        <v>337392</v>
      </c>
      <c r="Q1289" s="10">
        <v>0</v>
      </c>
      <c r="R1289" s="3">
        <f>(Таблица1[Размер кредита]-$AA$2)/$AA$3</f>
        <v>-0.26371575710375555</v>
      </c>
      <c r="S1289" s="3">
        <f>(Таблица1[Кредитный рейтинг]-$AA$7)/($AA$8-$AA$7)</f>
        <v>0</v>
      </c>
      <c r="T1289" s="3">
        <f>(Таблица1[Срок с последнего нарушения кредитного договора (мес,)]-$AA$12)/($AA$13-$AA$12)</f>
        <v>0.40074137090909095</v>
      </c>
      <c r="U1289" s="3">
        <f>(Таблица1[Количество кредитных карт]-$AA$18)/($AA$19-$AA$18)</f>
        <v>0.11904761904761904</v>
      </c>
      <c r="V1289" s="3">
        <f>(Таблица1[Число нарушений кредитных договоров]-$AA$23)/($AA$24-$AA$23)</f>
        <v>0</v>
      </c>
      <c r="W1289" s="3">
        <f>Таблица1[[#This Row],[Годовой доход]]/12</f>
        <v>97337</v>
      </c>
      <c r="X1289" s="3">
        <f>Таблица1[[#This Row],[Ежемесячный платеж]]/Таблица1[[#This Row],[Ежем доход]]</f>
        <v>6.2317001756783133E-2</v>
      </c>
      <c r="Y1289" s="3"/>
      <c r="Z1289" s="3"/>
      <c r="AA1289" s="3"/>
      <c r="AB1289" s="3"/>
    </row>
    <row r="1290" spans="1:28" x14ac:dyDescent="0.2">
      <c r="A1290">
        <v>900</v>
      </c>
      <c r="B1290" t="s">
        <v>941</v>
      </c>
      <c r="C1290" t="s">
        <v>18</v>
      </c>
      <c r="D1290" t="s">
        <v>19</v>
      </c>
      <c r="E1290" t="s">
        <v>41</v>
      </c>
      <c r="F1290" t="s">
        <v>33</v>
      </c>
      <c r="G1290" t="s">
        <v>25</v>
      </c>
      <c r="H1290" s="1">
        <v>214456</v>
      </c>
      <c r="I1290" s="3">
        <v>718</v>
      </c>
      <c r="J1290" s="3">
        <v>1543408</v>
      </c>
      <c r="K1290" s="3">
        <v>35627.089999999997</v>
      </c>
      <c r="L1290" s="2">
        <v>14.9</v>
      </c>
      <c r="M1290" s="11">
        <v>54</v>
      </c>
      <c r="N1290" s="3">
        <v>13</v>
      </c>
      <c r="O1290" s="3">
        <v>140049</v>
      </c>
      <c r="P1290" s="3">
        <v>337106</v>
      </c>
      <c r="Q1290" s="10">
        <v>0</v>
      </c>
      <c r="R1290" s="3">
        <f>(Таблица1[Размер кредита]-$AA$2)/$AA$3</f>
        <v>-0.54165034422238245</v>
      </c>
      <c r="S1290" s="3">
        <f>(Таблица1[Кредитный рейтинг]-$AA$7)/($AA$8-$AA$7)</f>
        <v>0.95605858854860182</v>
      </c>
      <c r="T1290" s="3">
        <f>(Таблица1[Срок с последнего нарушения кредитного договора (мес,)]-$AA$12)/($AA$13-$AA$12)</f>
        <v>0.61363636363636365</v>
      </c>
      <c r="U1290" s="3">
        <f>(Таблица1[Количество кредитных карт]-$AA$18)/($AA$19-$AA$18)</f>
        <v>0.2857142857142857</v>
      </c>
      <c r="V1290" s="3">
        <f>(Таблица1[Число нарушений кредитных договоров]-$AA$23)/($AA$24-$AA$23)</f>
        <v>0</v>
      </c>
      <c r="W1290" s="3">
        <f>Таблица1[[#This Row],[Годовой доход]]/12</f>
        <v>128617.33333333333</v>
      </c>
      <c r="X1290" s="3">
        <f>Таблица1[[#This Row],[Ежемесячный платеж]]/Таблица1[[#This Row],[Ежем доход]]</f>
        <v>0.27700068938349415</v>
      </c>
      <c r="Y1290" s="3"/>
      <c r="Z1290" s="3"/>
      <c r="AA1290" s="3"/>
      <c r="AB1290" s="3"/>
    </row>
    <row r="1291" spans="1:28" x14ac:dyDescent="0.2">
      <c r="A1291">
        <v>1813</v>
      </c>
      <c r="B1291" t="s">
        <v>1851</v>
      </c>
      <c r="C1291" t="s">
        <v>18</v>
      </c>
      <c r="D1291" t="s">
        <v>19</v>
      </c>
      <c r="E1291" t="s">
        <v>24</v>
      </c>
      <c r="F1291" t="s">
        <v>33</v>
      </c>
      <c r="G1291" t="s">
        <v>25</v>
      </c>
      <c r="H1291" s="1">
        <v>265342</v>
      </c>
      <c r="I1291" s="3">
        <v>738</v>
      </c>
      <c r="J1291" s="3">
        <v>1283127</v>
      </c>
      <c r="K1291" s="3">
        <v>23737.84</v>
      </c>
      <c r="L1291" s="2">
        <v>27.4</v>
      </c>
      <c r="M1291" s="11">
        <v>8</v>
      </c>
      <c r="N1291" s="3">
        <v>18</v>
      </c>
      <c r="O1291" s="3">
        <v>147592</v>
      </c>
      <c r="P1291" s="3">
        <v>336446</v>
      </c>
      <c r="Q1291" s="10">
        <v>0</v>
      </c>
      <c r="R1291" s="3">
        <f>(Таблица1[Размер кредита]-$AA$2)/$AA$3</f>
        <v>-0.25194205219652216</v>
      </c>
      <c r="S1291" s="3">
        <f>(Таблица1[Кредитный рейтинг]-$AA$7)/($AA$8-$AA$7)</f>
        <v>0.9826897470039947</v>
      </c>
      <c r="T1291" s="3">
        <f>(Таблица1[Срок с последнего нарушения кредитного договора (мес,)]-$AA$12)/($AA$13-$AA$12)</f>
        <v>9.0909090909090912E-2</v>
      </c>
      <c r="U1291" s="3">
        <f>(Таблица1[Количество кредитных карт]-$AA$18)/($AA$19-$AA$18)</f>
        <v>0.40476190476190477</v>
      </c>
      <c r="V1291" s="3">
        <f>(Таблица1[Число нарушений кредитных договоров]-$AA$23)/($AA$24-$AA$23)</f>
        <v>0</v>
      </c>
      <c r="W1291" s="3">
        <f>Таблица1[[#This Row],[Годовой доход]]/12</f>
        <v>106927.25</v>
      </c>
      <c r="X1291" s="3">
        <f>Таблица1[[#This Row],[Ежемесячный платеж]]/Таблица1[[#This Row],[Ежем доход]]</f>
        <v>0.22199991115454668</v>
      </c>
      <c r="Y1291" s="3"/>
      <c r="Z1291" s="3"/>
      <c r="AA1291" s="3"/>
      <c r="AB1291" s="3"/>
    </row>
    <row r="1292" spans="1:28" x14ac:dyDescent="0.2">
      <c r="A1292">
        <v>912</v>
      </c>
      <c r="B1292" t="s">
        <v>953</v>
      </c>
      <c r="C1292" t="s">
        <v>35</v>
      </c>
      <c r="D1292" t="s">
        <v>19</v>
      </c>
      <c r="E1292" t="s">
        <v>24</v>
      </c>
      <c r="F1292" t="s">
        <v>33</v>
      </c>
      <c r="G1292" t="s">
        <v>25</v>
      </c>
      <c r="H1292" s="1">
        <v>266882</v>
      </c>
      <c r="I1292" s="3">
        <v>698</v>
      </c>
      <c r="J1292" s="3">
        <v>1382915</v>
      </c>
      <c r="K1292" s="3">
        <v>21976.73</v>
      </c>
      <c r="L1292" s="2">
        <v>22.5</v>
      </c>
      <c r="M1292" s="11">
        <v>34</v>
      </c>
      <c r="N1292" s="3">
        <v>10</v>
      </c>
      <c r="O1292" s="3">
        <v>257678</v>
      </c>
      <c r="P1292" s="3">
        <v>336006</v>
      </c>
      <c r="Q1292" s="10">
        <v>0</v>
      </c>
      <c r="R1292" s="3">
        <f>(Таблица1[Размер кредита]-$AA$2)/$AA$3</f>
        <v>-0.24317439960602918</v>
      </c>
      <c r="S1292" s="3">
        <f>(Таблица1[Кредитный рейтинг]-$AA$7)/($AA$8-$AA$7)</f>
        <v>0.92942743009320905</v>
      </c>
      <c r="T1292" s="3">
        <f>(Таблица1[Срок с последнего нарушения кредитного договора (мес,)]-$AA$12)/($AA$13-$AA$12)</f>
        <v>0.38636363636363635</v>
      </c>
      <c r="U1292" s="3">
        <f>(Таблица1[Количество кредитных карт]-$AA$18)/($AA$19-$AA$18)</f>
        <v>0.21428571428571427</v>
      </c>
      <c r="V1292" s="3">
        <f>(Таблица1[Число нарушений кредитных договоров]-$AA$23)/($AA$24-$AA$23)</f>
        <v>0</v>
      </c>
      <c r="W1292" s="3">
        <f>Таблица1[[#This Row],[Годовой доход]]/12</f>
        <v>115242.91666666667</v>
      </c>
      <c r="X1292" s="3">
        <f>Таблица1[[#This Row],[Ежемесячный платеж]]/Таблица1[[#This Row],[Ежем доход]]</f>
        <v>0.19069918252387166</v>
      </c>
      <c r="Y1292" s="3"/>
      <c r="Z1292" s="3"/>
      <c r="AA1292" s="3"/>
      <c r="AB1292" s="3"/>
    </row>
    <row r="1293" spans="1:28" x14ac:dyDescent="0.2">
      <c r="A1293">
        <v>1904</v>
      </c>
      <c r="B1293" t="s">
        <v>1940</v>
      </c>
      <c r="C1293" t="s">
        <v>18</v>
      </c>
      <c r="D1293" t="s">
        <v>19</v>
      </c>
      <c r="E1293" t="s">
        <v>20</v>
      </c>
      <c r="F1293" t="s">
        <v>33</v>
      </c>
      <c r="G1293" t="s">
        <v>25</v>
      </c>
      <c r="H1293" s="1">
        <v>146322</v>
      </c>
      <c r="I1293" s="3">
        <v>704</v>
      </c>
      <c r="J1293" s="3">
        <v>595384</v>
      </c>
      <c r="K1293" s="3">
        <v>6499.52</v>
      </c>
      <c r="L1293" s="2">
        <v>10</v>
      </c>
      <c r="M1293" s="11">
        <v>35.265240640000002</v>
      </c>
      <c r="N1293" s="3">
        <v>14</v>
      </c>
      <c r="O1293" s="3">
        <v>149549</v>
      </c>
      <c r="P1293" s="3">
        <v>335610</v>
      </c>
      <c r="Q1293" s="10">
        <v>0</v>
      </c>
      <c r="R1293" s="3">
        <f>(Таблица1[Размер кредита]-$AA$2)/$AA$3</f>
        <v>-0.92955634526176389</v>
      </c>
      <c r="S1293" s="3">
        <f>(Таблица1[Кредитный рейтинг]-$AA$7)/($AA$8-$AA$7)</f>
        <v>0.93741677762982689</v>
      </c>
      <c r="T1293" s="3">
        <f>(Таблица1[Срок с последнего нарушения кредитного договора (мес,)]-$AA$12)/($AA$13-$AA$12)</f>
        <v>0.40074137090909095</v>
      </c>
      <c r="U1293" s="3">
        <f>(Таблица1[Количество кредитных карт]-$AA$18)/($AA$19-$AA$18)</f>
        <v>0.30952380952380953</v>
      </c>
      <c r="V1293" s="3">
        <f>(Таблица1[Число нарушений кредитных договоров]-$AA$23)/($AA$24-$AA$23)</f>
        <v>0</v>
      </c>
      <c r="W1293" s="3">
        <f>Таблица1[[#This Row],[Годовой доход]]/12</f>
        <v>49615.333333333336</v>
      </c>
      <c r="X1293" s="3">
        <f>Таблица1[[#This Row],[Ежемесячный платеж]]/Таблица1[[#This Row],[Ежем доход]]</f>
        <v>0.13099821291804953</v>
      </c>
      <c r="Y1293" s="3"/>
      <c r="Z1293" s="3"/>
      <c r="AA1293" s="3"/>
      <c r="AB1293" s="3"/>
    </row>
    <row r="1294" spans="1:28" x14ac:dyDescent="0.2">
      <c r="A1294">
        <v>1532</v>
      </c>
      <c r="B1294" s="4" t="s">
        <v>1571</v>
      </c>
      <c r="C1294" t="s">
        <v>18</v>
      </c>
      <c r="D1294" t="s">
        <v>19</v>
      </c>
      <c r="E1294" t="s">
        <v>20</v>
      </c>
      <c r="F1294" t="s">
        <v>21</v>
      </c>
      <c r="G1294" t="s">
        <v>25</v>
      </c>
      <c r="H1294" s="1">
        <v>408540</v>
      </c>
      <c r="I1294" s="3">
        <v>718</v>
      </c>
      <c r="J1294" s="3">
        <v>1335054</v>
      </c>
      <c r="K1294" s="3">
        <v>21027.11</v>
      </c>
      <c r="L1294" s="2">
        <v>14.7</v>
      </c>
      <c r="M1294" s="11">
        <v>18</v>
      </c>
      <c r="N1294" s="3">
        <v>12</v>
      </c>
      <c r="O1294" s="3">
        <v>271548</v>
      </c>
      <c r="P1294" s="3">
        <v>335566</v>
      </c>
      <c r="Q1294" s="10">
        <v>0</v>
      </c>
      <c r="R1294" s="3">
        <f>(Таблица1[Размер кредита]-$AA$2)/$AA$3</f>
        <v>0.56332438653945904</v>
      </c>
      <c r="S1294" s="3">
        <f>(Таблица1[Кредитный рейтинг]-$AA$7)/($AA$8-$AA$7)</f>
        <v>0.95605858854860182</v>
      </c>
      <c r="T1294" s="3">
        <f>(Таблица1[Срок с последнего нарушения кредитного договора (мес,)]-$AA$12)/($AA$13-$AA$12)</f>
        <v>0.20454545454545456</v>
      </c>
      <c r="U1294" s="3">
        <f>(Таблица1[Количество кредитных карт]-$AA$18)/($AA$19-$AA$18)</f>
        <v>0.26190476190476192</v>
      </c>
      <c r="V1294" s="3">
        <f>(Таблица1[Число нарушений кредитных договоров]-$AA$23)/($AA$24-$AA$23)</f>
        <v>0</v>
      </c>
      <c r="W1294" s="3">
        <f>Таблица1[[#This Row],[Годовой доход]]/12</f>
        <v>111254.5</v>
      </c>
      <c r="X1294" s="3">
        <f>Таблица1[[#This Row],[Ежемесячный платеж]]/Таблица1[[#This Row],[Ежем доход]]</f>
        <v>0.18900008538980445</v>
      </c>
      <c r="Y1294" s="3"/>
      <c r="Z1294" s="3"/>
      <c r="AA1294" s="3"/>
      <c r="AB1294" s="3"/>
    </row>
    <row r="1295" spans="1:28" x14ac:dyDescent="0.2">
      <c r="A1295">
        <v>142</v>
      </c>
      <c r="B1295" t="s">
        <v>184</v>
      </c>
      <c r="C1295" t="s">
        <v>18</v>
      </c>
      <c r="D1295" t="s">
        <v>29</v>
      </c>
      <c r="E1295" t="s">
        <v>24</v>
      </c>
      <c r="F1295" t="s">
        <v>21</v>
      </c>
      <c r="G1295" t="s">
        <v>25</v>
      </c>
      <c r="H1295" s="1">
        <v>286462</v>
      </c>
      <c r="I1295" s="3">
        <v>719</v>
      </c>
      <c r="J1295" s="3">
        <v>1380426</v>
      </c>
      <c r="K1295" s="3">
        <v>27378.62</v>
      </c>
      <c r="L1295" s="2">
        <v>15.7</v>
      </c>
      <c r="M1295" s="11">
        <v>75</v>
      </c>
      <c r="N1295" s="3">
        <v>10</v>
      </c>
      <c r="O1295" s="3">
        <v>177916</v>
      </c>
      <c r="P1295" s="3">
        <v>335522</v>
      </c>
      <c r="Q1295" s="10">
        <v>0</v>
      </c>
      <c r="R1295" s="3">
        <f>(Таблица1[Размер кредита]-$AA$2)/$AA$3</f>
        <v>-0.13169995952690439</v>
      </c>
      <c r="S1295" s="3">
        <f>(Таблица1[Кредитный рейтинг]-$AA$7)/($AA$8-$AA$7)</f>
        <v>0.95739014647137155</v>
      </c>
      <c r="T1295" s="3">
        <f>(Таблица1[Срок с последнего нарушения кредитного договора (мес,)]-$AA$12)/($AA$13-$AA$12)</f>
        <v>0.85227272727272729</v>
      </c>
      <c r="U1295" s="3">
        <f>(Таблица1[Количество кредитных карт]-$AA$18)/($AA$19-$AA$18)</f>
        <v>0.21428571428571427</v>
      </c>
      <c r="V1295" s="3">
        <f>(Таблица1[Число нарушений кредитных договоров]-$AA$23)/($AA$24-$AA$23)</f>
        <v>0</v>
      </c>
      <c r="W1295" s="3">
        <f>Таблица1[[#This Row],[Годовой доход]]/12</f>
        <v>115035.5</v>
      </c>
      <c r="X1295" s="3">
        <f>Таблица1[[#This Row],[Ежемесячный платеж]]/Таблица1[[#This Row],[Ежем доход]]</f>
        <v>0.23800148649764638</v>
      </c>
      <c r="Y1295" s="3"/>
      <c r="Z1295" s="3"/>
      <c r="AA1295" s="3"/>
      <c r="AB1295" s="3"/>
    </row>
    <row r="1296" spans="1:28" x14ac:dyDescent="0.2">
      <c r="A1296">
        <v>1926</v>
      </c>
      <c r="B1296" t="s">
        <v>1962</v>
      </c>
      <c r="C1296" t="s">
        <v>18</v>
      </c>
      <c r="D1296" t="s">
        <v>29</v>
      </c>
      <c r="E1296" t="s">
        <v>32</v>
      </c>
      <c r="F1296" t="s">
        <v>21</v>
      </c>
      <c r="G1296" t="s">
        <v>25</v>
      </c>
      <c r="H1296" s="1">
        <v>200882</v>
      </c>
      <c r="I1296" s="3">
        <v>672</v>
      </c>
      <c r="J1296" s="3">
        <v>1044639</v>
      </c>
      <c r="K1296" s="3">
        <v>19499.7</v>
      </c>
      <c r="L1296" s="2">
        <v>12.1</v>
      </c>
      <c r="M1296" s="11">
        <v>35.265240640000002</v>
      </c>
      <c r="N1296" s="3">
        <v>14</v>
      </c>
      <c r="O1296" s="3">
        <v>231876</v>
      </c>
      <c r="P1296" s="3">
        <v>334774</v>
      </c>
      <c r="Q1296" s="10">
        <v>0</v>
      </c>
      <c r="R1296" s="3">
        <f>(Таблица1[Размер кредита]-$AA$2)/$AA$3</f>
        <v>-0.61893093919858466</v>
      </c>
      <c r="S1296" s="3">
        <f>(Таблица1[Кредитный рейтинг]-$AA$7)/($AA$8-$AA$7)</f>
        <v>0.89480692410119844</v>
      </c>
      <c r="T1296" s="3">
        <f>(Таблица1[Срок с последнего нарушения кредитного договора (мес,)]-$AA$12)/($AA$13-$AA$12)</f>
        <v>0.40074137090909095</v>
      </c>
      <c r="U1296" s="3">
        <f>(Таблица1[Количество кредитных карт]-$AA$18)/($AA$19-$AA$18)</f>
        <v>0.30952380952380953</v>
      </c>
      <c r="V1296" s="3">
        <f>(Таблица1[Число нарушений кредитных договоров]-$AA$23)/($AA$24-$AA$23)</f>
        <v>0</v>
      </c>
      <c r="W1296" s="3">
        <f>Таблица1[[#This Row],[Годовой доход]]/12</f>
        <v>87053.25</v>
      </c>
      <c r="X1296" s="3">
        <f>Таблица1[[#This Row],[Ежемесячный платеж]]/Таблица1[[#This Row],[Ежем доход]]</f>
        <v>0.22399738091340646</v>
      </c>
      <c r="Y1296" s="3"/>
      <c r="Z1296" s="3"/>
      <c r="AA1296" s="3"/>
      <c r="AB1296" s="3"/>
    </row>
    <row r="1297" spans="1:28" x14ac:dyDescent="0.2">
      <c r="A1297">
        <v>1846</v>
      </c>
      <c r="B1297" t="s">
        <v>1883</v>
      </c>
      <c r="C1297" t="s">
        <v>18</v>
      </c>
      <c r="D1297" t="s">
        <v>29</v>
      </c>
      <c r="E1297" t="s">
        <v>24</v>
      </c>
      <c r="F1297" t="s">
        <v>21</v>
      </c>
      <c r="G1297" t="s">
        <v>25</v>
      </c>
      <c r="H1297" s="1">
        <v>460372</v>
      </c>
      <c r="I1297" s="3">
        <v>701</v>
      </c>
      <c r="J1297" s="3">
        <v>1322153</v>
      </c>
      <c r="K1297" s="3">
        <v>10103.44</v>
      </c>
      <c r="L1297" s="2">
        <v>13.5</v>
      </c>
      <c r="M1297" s="11">
        <v>72</v>
      </c>
      <c r="N1297" s="3">
        <v>8</v>
      </c>
      <c r="O1297" s="3">
        <v>208354</v>
      </c>
      <c r="P1297" s="3">
        <v>334620</v>
      </c>
      <c r="Q1297" s="10">
        <v>0</v>
      </c>
      <c r="R1297" s="3">
        <f>(Таблица1[Размер кредита]-$AA$2)/$AA$3</f>
        <v>0.85841852229947935</v>
      </c>
      <c r="S1297" s="3">
        <f>(Таблица1[Кредитный рейтинг]-$AA$7)/($AA$8-$AA$7)</f>
        <v>0.93342210386151803</v>
      </c>
      <c r="T1297" s="3">
        <f>(Таблица1[Срок с последнего нарушения кредитного договора (мес,)]-$AA$12)/($AA$13-$AA$12)</f>
        <v>0.81818181818181823</v>
      </c>
      <c r="U1297" s="3">
        <f>(Таблица1[Количество кредитных карт]-$AA$18)/($AA$19-$AA$18)</f>
        <v>0.16666666666666666</v>
      </c>
      <c r="V1297" s="3">
        <f>(Таблица1[Число нарушений кредитных договоров]-$AA$23)/($AA$24-$AA$23)</f>
        <v>0</v>
      </c>
      <c r="W1297" s="3">
        <f>Таблица1[[#This Row],[Годовой доход]]/12</f>
        <v>110179.41666666667</v>
      </c>
      <c r="X1297" s="3">
        <f>Таблица1[[#This Row],[Ежемесячный платеж]]/Таблица1[[#This Row],[Ежем доход]]</f>
        <v>9.1699886473048123E-2</v>
      </c>
      <c r="Y1297" s="3"/>
      <c r="Z1297" s="3"/>
      <c r="AA1297" s="3"/>
      <c r="AB1297" s="3"/>
    </row>
    <row r="1298" spans="1:28" x14ac:dyDescent="0.2">
      <c r="A1298">
        <v>418</v>
      </c>
      <c r="B1298" t="s">
        <v>460</v>
      </c>
      <c r="C1298" t="s">
        <v>18</v>
      </c>
      <c r="D1298" t="s">
        <v>29</v>
      </c>
      <c r="E1298" t="s">
        <v>41</v>
      </c>
      <c r="F1298" t="s">
        <v>33</v>
      </c>
      <c r="G1298" t="s">
        <v>25</v>
      </c>
      <c r="H1298" s="1">
        <v>407528</v>
      </c>
      <c r="I1298" s="3">
        <v>711</v>
      </c>
      <c r="J1298" s="3">
        <v>928226</v>
      </c>
      <c r="K1298" s="3">
        <v>18487.38</v>
      </c>
      <c r="L1298" s="2">
        <v>11.1</v>
      </c>
      <c r="M1298" s="11">
        <v>35.265240640000002</v>
      </c>
      <c r="N1298" s="3">
        <v>5</v>
      </c>
      <c r="O1298" s="3">
        <v>263093</v>
      </c>
      <c r="P1298" s="3">
        <v>333652</v>
      </c>
      <c r="Q1298" s="10">
        <v>0</v>
      </c>
      <c r="R1298" s="3">
        <f>(Таблица1[Размер кредита]-$AA$2)/$AA$3</f>
        <v>0.55756278626570654</v>
      </c>
      <c r="S1298" s="3">
        <f>(Таблица1[Кредитный рейтинг]-$AA$7)/($AA$8-$AA$7)</f>
        <v>0.94673768308921435</v>
      </c>
      <c r="T1298" s="3">
        <f>(Таблица1[Срок с последнего нарушения кредитного договора (мес,)]-$AA$12)/($AA$13-$AA$12)</f>
        <v>0.40074137090909095</v>
      </c>
      <c r="U1298" s="3">
        <f>(Таблица1[Количество кредитных карт]-$AA$18)/($AA$19-$AA$18)</f>
        <v>9.5238095238095233E-2</v>
      </c>
      <c r="V1298" s="3">
        <f>(Таблица1[Число нарушений кредитных договоров]-$AA$23)/($AA$24-$AA$23)</f>
        <v>0</v>
      </c>
      <c r="W1298" s="3">
        <f>Таблица1[[#This Row],[Годовой доход]]/12</f>
        <v>77352.166666666672</v>
      </c>
      <c r="X1298" s="3">
        <f>Таблица1[[#This Row],[Ежемесячный платеж]]/Таблица1[[#This Row],[Ежем доход]]</f>
        <v>0.2390027428665002</v>
      </c>
      <c r="Y1298" s="3"/>
      <c r="Z1298" s="3"/>
      <c r="AA1298" s="3"/>
      <c r="AB1298" s="3"/>
    </row>
    <row r="1299" spans="1:28" x14ac:dyDescent="0.2">
      <c r="A1299">
        <v>390</v>
      </c>
      <c r="B1299" t="s">
        <v>432</v>
      </c>
      <c r="C1299" t="s">
        <v>35</v>
      </c>
      <c r="D1299" t="s">
        <v>29</v>
      </c>
      <c r="E1299" t="s">
        <v>47</v>
      </c>
      <c r="F1299" t="s">
        <v>21</v>
      </c>
      <c r="G1299" t="s">
        <v>25</v>
      </c>
      <c r="H1299" s="1">
        <v>418572</v>
      </c>
      <c r="I1299" s="3">
        <v>704</v>
      </c>
      <c r="J1299" s="3">
        <v>1201788</v>
      </c>
      <c r="K1299" s="3">
        <v>23935.63</v>
      </c>
      <c r="L1299" s="2">
        <v>16.600000000000001</v>
      </c>
      <c r="M1299" s="11">
        <v>35.265240640000002</v>
      </c>
      <c r="N1299" s="3">
        <v>18</v>
      </c>
      <c r="O1299" s="3">
        <v>232522</v>
      </c>
      <c r="P1299" s="3">
        <v>333608</v>
      </c>
      <c r="Q1299" s="10">
        <v>1</v>
      </c>
      <c r="R1299" s="3">
        <f>(Таблица1[Размер кредита]-$AA$2)/$AA$3</f>
        <v>0.62043938055752756</v>
      </c>
      <c r="S1299" s="3">
        <f>(Таблица1[Кредитный рейтинг]-$AA$7)/($AA$8-$AA$7)</f>
        <v>0.93741677762982689</v>
      </c>
      <c r="T1299" s="3">
        <f>(Таблица1[Срок с последнего нарушения кредитного договора (мес,)]-$AA$12)/($AA$13-$AA$12)</f>
        <v>0.40074137090909095</v>
      </c>
      <c r="U1299" s="3">
        <f>(Таблица1[Количество кредитных карт]-$AA$18)/($AA$19-$AA$18)</f>
        <v>0.40476190476190477</v>
      </c>
      <c r="V1299" s="3">
        <f>(Таблица1[Число нарушений кредитных договоров]-$AA$23)/($AA$24-$AA$23)</f>
        <v>0.14285714285714285</v>
      </c>
      <c r="W1299" s="3">
        <f>Таблица1[[#This Row],[Годовой доход]]/12</f>
        <v>100149</v>
      </c>
      <c r="X1299" s="3">
        <f>Таблица1[[#This Row],[Ежемесячный платеж]]/Таблица1[[#This Row],[Ежем доход]]</f>
        <v>0.2390001897173212</v>
      </c>
      <c r="Y1299" s="3"/>
      <c r="Z1299" s="3"/>
      <c r="AA1299" s="3"/>
      <c r="AB1299" s="3"/>
    </row>
    <row r="1300" spans="1:28" x14ac:dyDescent="0.2">
      <c r="A1300">
        <v>1962</v>
      </c>
      <c r="B1300" t="s">
        <v>1998</v>
      </c>
      <c r="C1300" t="s">
        <v>35</v>
      </c>
      <c r="D1300" t="s">
        <v>19</v>
      </c>
      <c r="E1300" t="s">
        <v>37</v>
      </c>
      <c r="F1300" t="s">
        <v>33</v>
      </c>
      <c r="G1300" t="s">
        <v>25</v>
      </c>
      <c r="H1300" s="1">
        <v>179080</v>
      </c>
      <c r="I1300" s="3">
        <v>727</v>
      </c>
      <c r="J1300" s="3">
        <v>502645</v>
      </c>
      <c r="K1300" s="3">
        <v>13529.52</v>
      </c>
      <c r="L1300" s="2">
        <v>13</v>
      </c>
      <c r="M1300" s="11">
        <v>49</v>
      </c>
      <c r="N1300" s="3">
        <v>10</v>
      </c>
      <c r="O1300" s="3">
        <v>197011</v>
      </c>
      <c r="P1300" s="3">
        <v>333520</v>
      </c>
      <c r="Q1300" s="10">
        <v>0</v>
      </c>
      <c r="R1300" s="3">
        <f>(Таблица1[Размер кредита]-$AA$2)/$AA$3</f>
        <v>-0.74305584944399217</v>
      </c>
      <c r="S1300" s="3">
        <f>(Таблица1[Кредитный рейтинг]-$AA$7)/($AA$8-$AA$7)</f>
        <v>0.96804260985352863</v>
      </c>
      <c r="T1300" s="3">
        <f>(Таблица1[Срок с последнего нарушения кредитного договора (мес,)]-$AA$12)/($AA$13-$AA$12)</f>
        <v>0.55681818181818177</v>
      </c>
      <c r="U1300" s="3">
        <f>(Таблица1[Количество кредитных карт]-$AA$18)/($AA$19-$AA$18)</f>
        <v>0.21428571428571427</v>
      </c>
      <c r="V1300" s="3">
        <f>(Таблица1[Число нарушений кредитных договоров]-$AA$23)/($AA$24-$AA$23)</f>
        <v>0</v>
      </c>
      <c r="W1300" s="3">
        <f>Таблица1[[#This Row],[Годовой доход]]/12</f>
        <v>41887.083333333336</v>
      </c>
      <c r="X1300" s="3">
        <f>Таблица1[[#This Row],[Ежемесячный платеж]]/Таблица1[[#This Row],[Ежем доход]]</f>
        <v>0.32299981099981101</v>
      </c>
      <c r="Y1300" s="3"/>
      <c r="Z1300" s="3"/>
      <c r="AA1300" s="3"/>
      <c r="AB1300" s="3"/>
    </row>
    <row r="1301" spans="1:28" x14ac:dyDescent="0.2">
      <c r="A1301">
        <v>1538</v>
      </c>
      <c r="B1301" t="s">
        <v>1577</v>
      </c>
      <c r="C1301" t="s">
        <v>18</v>
      </c>
      <c r="D1301" t="s">
        <v>19</v>
      </c>
      <c r="E1301" t="s">
        <v>50</v>
      </c>
      <c r="F1301" t="s">
        <v>21</v>
      </c>
      <c r="G1301" t="s">
        <v>25</v>
      </c>
      <c r="H1301" s="1">
        <v>225126</v>
      </c>
      <c r="I1301" s="3">
        <v>725</v>
      </c>
      <c r="J1301" s="3">
        <v>1263785</v>
      </c>
      <c r="K1301" s="3">
        <v>15165.23</v>
      </c>
      <c r="L1301" s="2">
        <v>10.6</v>
      </c>
      <c r="M1301" s="11">
        <v>48</v>
      </c>
      <c r="N1301" s="3">
        <v>11</v>
      </c>
      <c r="O1301" s="3">
        <v>106571</v>
      </c>
      <c r="P1301" s="3">
        <v>333498</v>
      </c>
      <c r="Q1301" s="10">
        <v>0</v>
      </c>
      <c r="R1301" s="3">
        <f>(Таблица1[Размер кредита]-$AA$2)/$AA$3</f>
        <v>-0.48090303698825265</v>
      </c>
      <c r="S1301" s="3">
        <f>(Таблица1[Кредитный рейтинг]-$AA$7)/($AA$8-$AA$7)</f>
        <v>0.96537949400798939</v>
      </c>
      <c r="T1301" s="3">
        <f>(Таблица1[Срок с последнего нарушения кредитного договора (мес,)]-$AA$12)/($AA$13-$AA$12)</f>
        <v>0.54545454545454541</v>
      </c>
      <c r="U1301" s="3">
        <f>(Таблица1[Количество кредитных карт]-$AA$18)/($AA$19-$AA$18)</f>
        <v>0.23809523809523808</v>
      </c>
      <c r="V1301" s="3">
        <f>(Таблица1[Число нарушений кредитных договоров]-$AA$23)/($AA$24-$AA$23)</f>
        <v>0</v>
      </c>
      <c r="W1301" s="3">
        <f>Таблица1[[#This Row],[Годовой доход]]/12</f>
        <v>105315.41666666667</v>
      </c>
      <c r="X1301" s="3">
        <f>Таблица1[[#This Row],[Ежемесячный платеж]]/Таблица1[[#This Row],[Ежем доход]]</f>
        <v>0.14399819589566262</v>
      </c>
      <c r="Y1301" s="3"/>
      <c r="Z1301" s="3"/>
      <c r="AA1301" s="3"/>
      <c r="AB1301" s="3"/>
    </row>
    <row r="1302" spans="1:28" x14ac:dyDescent="0.2">
      <c r="A1302">
        <v>1158</v>
      </c>
      <c r="B1302" t="s">
        <v>1197</v>
      </c>
      <c r="C1302" t="s">
        <v>18</v>
      </c>
      <c r="D1302" t="s">
        <v>19</v>
      </c>
      <c r="E1302" t="s">
        <v>63</v>
      </c>
      <c r="F1302" t="s">
        <v>33</v>
      </c>
      <c r="G1302" t="s">
        <v>25</v>
      </c>
      <c r="H1302" s="1">
        <v>134112</v>
      </c>
      <c r="I1302" s="3">
        <v>0</v>
      </c>
      <c r="J1302" s="3">
        <v>1168044</v>
      </c>
      <c r="K1302" s="3">
        <v>17952.72</v>
      </c>
      <c r="L1302" s="2">
        <v>8.1999999999999993</v>
      </c>
      <c r="M1302" s="11">
        <v>12</v>
      </c>
      <c r="N1302" s="3">
        <v>14</v>
      </c>
      <c r="O1302" s="3">
        <v>137332</v>
      </c>
      <c r="P1302" s="3">
        <v>333366</v>
      </c>
      <c r="Q1302" s="10">
        <v>0</v>
      </c>
      <c r="R1302" s="3">
        <f>(Таблица1[Размер кредита]-$AA$2)/$AA$3</f>
        <v>-0.99907130508638664</v>
      </c>
      <c r="S1302" s="3">
        <f>(Таблица1[Кредитный рейтинг]-$AA$7)/($AA$8-$AA$7)</f>
        <v>0</v>
      </c>
      <c r="T1302" s="3">
        <f>(Таблица1[Срок с последнего нарушения кредитного договора (мес,)]-$AA$12)/($AA$13-$AA$12)</f>
        <v>0.13636363636363635</v>
      </c>
      <c r="U1302" s="3">
        <f>(Таблица1[Количество кредитных карт]-$AA$18)/($AA$19-$AA$18)</f>
        <v>0.30952380952380953</v>
      </c>
      <c r="V1302" s="3">
        <f>(Таблица1[Число нарушений кредитных договоров]-$AA$23)/($AA$24-$AA$23)</f>
        <v>0</v>
      </c>
      <c r="W1302" s="3">
        <f>Таблица1[[#This Row],[Годовой доход]]/12</f>
        <v>97337</v>
      </c>
      <c r="X1302" s="3">
        <f>Таблица1[[#This Row],[Ежемесячный платеж]]/Таблица1[[#This Row],[Ежем доход]]</f>
        <v>0.18443880538746829</v>
      </c>
      <c r="Y1302" s="3"/>
      <c r="Z1302" s="3"/>
      <c r="AA1302" s="3"/>
      <c r="AB1302" s="3"/>
    </row>
    <row r="1303" spans="1:28" x14ac:dyDescent="0.2">
      <c r="A1303">
        <v>1247</v>
      </c>
      <c r="B1303" t="s">
        <v>1286</v>
      </c>
      <c r="C1303" t="s">
        <v>18</v>
      </c>
      <c r="D1303" t="s">
        <v>29</v>
      </c>
      <c r="E1303" t="s">
        <v>32</v>
      </c>
      <c r="F1303" t="s">
        <v>21</v>
      </c>
      <c r="G1303" t="s">
        <v>25</v>
      </c>
      <c r="H1303" s="1">
        <v>555170</v>
      </c>
      <c r="I1303" s="3">
        <v>684</v>
      </c>
      <c r="J1303" s="3">
        <v>1150716</v>
      </c>
      <c r="K1303" s="3">
        <v>23014.32</v>
      </c>
      <c r="L1303" s="2">
        <v>32.299999999999997</v>
      </c>
      <c r="M1303" s="11">
        <v>35.265240640000002</v>
      </c>
      <c r="N1303" s="3">
        <v>11</v>
      </c>
      <c r="O1303" s="3">
        <v>172691</v>
      </c>
      <c r="P1303" s="3">
        <v>333256</v>
      </c>
      <c r="Q1303" s="10">
        <v>0</v>
      </c>
      <c r="R1303" s="3">
        <f>(Таблица1[Размер кредита]-$AA$2)/$AA$3</f>
        <v>1.3981301653342533</v>
      </c>
      <c r="S1303" s="3">
        <f>(Таблица1[Кредитный рейтинг]-$AA$7)/($AA$8-$AA$7)</f>
        <v>0.91078561917443412</v>
      </c>
      <c r="T1303" s="3">
        <f>(Таблица1[Срок с последнего нарушения кредитного договора (мес,)]-$AA$12)/($AA$13-$AA$12)</f>
        <v>0.40074137090909095</v>
      </c>
      <c r="U1303" s="3">
        <f>(Таблица1[Количество кредитных карт]-$AA$18)/($AA$19-$AA$18)</f>
        <v>0.23809523809523808</v>
      </c>
      <c r="V1303" s="3">
        <f>(Таблица1[Число нарушений кредитных договоров]-$AA$23)/($AA$24-$AA$23)</f>
        <v>0</v>
      </c>
      <c r="W1303" s="3">
        <f>Таблица1[[#This Row],[Годовой доход]]/12</f>
        <v>95893</v>
      </c>
      <c r="X1303" s="3">
        <f>Таблица1[[#This Row],[Ежемесячный платеж]]/Таблица1[[#This Row],[Ежем доход]]</f>
        <v>0.24</v>
      </c>
      <c r="Y1303" s="3"/>
      <c r="Z1303" s="3"/>
      <c r="AA1303" s="3"/>
      <c r="AB1303" s="3"/>
    </row>
    <row r="1304" spans="1:28" x14ac:dyDescent="0.2">
      <c r="A1304">
        <v>614</v>
      </c>
      <c r="B1304" t="s">
        <v>655</v>
      </c>
      <c r="C1304" t="s">
        <v>18</v>
      </c>
      <c r="D1304" t="s">
        <v>19</v>
      </c>
      <c r="E1304" t="s">
        <v>41</v>
      </c>
      <c r="F1304" t="s">
        <v>21</v>
      </c>
      <c r="G1304" t="s">
        <v>25</v>
      </c>
      <c r="H1304" s="1">
        <v>77814</v>
      </c>
      <c r="I1304" s="3">
        <v>748</v>
      </c>
      <c r="J1304" s="3">
        <v>529967</v>
      </c>
      <c r="K1304" s="3">
        <v>2534.98</v>
      </c>
      <c r="L1304" s="2">
        <v>18</v>
      </c>
      <c r="M1304" s="11">
        <v>80</v>
      </c>
      <c r="N1304" s="3">
        <v>4</v>
      </c>
      <c r="O1304" s="3">
        <v>14383</v>
      </c>
      <c r="P1304" s="3">
        <v>333058</v>
      </c>
      <c r="Q1304" s="10">
        <v>1</v>
      </c>
      <c r="R1304" s="3">
        <f>(Таблица1[Размер кредита]-$AA$2)/$AA$3</f>
        <v>-1.3195916333588364</v>
      </c>
      <c r="S1304" s="3">
        <f>(Таблица1[Кредитный рейтинг]-$AA$7)/($AA$8-$AA$7)</f>
        <v>0.99600532623169102</v>
      </c>
      <c r="T1304" s="3">
        <f>(Таблица1[Срок с последнего нарушения кредитного договора (мес,)]-$AA$12)/($AA$13-$AA$12)</f>
        <v>0.90909090909090906</v>
      </c>
      <c r="U1304" s="3">
        <f>(Таблица1[Количество кредитных карт]-$AA$18)/($AA$19-$AA$18)</f>
        <v>7.1428571428571425E-2</v>
      </c>
      <c r="V1304" s="3">
        <f>(Таблица1[Число нарушений кредитных договоров]-$AA$23)/($AA$24-$AA$23)</f>
        <v>0.14285714285714285</v>
      </c>
      <c r="W1304" s="3">
        <f>Таблица1[[#This Row],[Годовой доход]]/12</f>
        <v>44163.916666666664</v>
      </c>
      <c r="X1304" s="3">
        <f>Таблица1[[#This Row],[Ежемесячный платеж]]/Таблица1[[#This Row],[Ежем доход]]</f>
        <v>5.7399347506542867E-2</v>
      </c>
      <c r="Y1304" s="3"/>
      <c r="Z1304" s="3"/>
      <c r="AA1304" s="3"/>
      <c r="AB1304" s="3"/>
    </row>
    <row r="1305" spans="1:28" x14ac:dyDescent="0.2">
      <c r="A1305">
        <v>1664</v>
      </c>
      <c r="B1305" t="s">
        <v>1702</v>
      </c>
      <c r="C1305" t="s">
        <v>18</v>
      </c>
      <c r="D1305" t="s">
        <v>19</v>
      </c>
      <c r="E1305" t="s">
        <v>69</v>
      </c>
      <c r="F1305" t="s">
        <v>33</v>
      </c>
      <c r="G1305" t="s">
        <v>22</v>
      </c>
      <c r="H1305" s="1">
        <v>112706</v>
      </c>
      <c r="I1305" s="3">
        <v>0</v>
      </c>
      <c r="J1305" s="3">
        <v>1168044</v>
      </c>
      <c r="K1305" s="3">
        <v>14489.59</v>
      </c>
      <c r="L1305" s="2">
        <v>20</v>
      </c>
      <c r="M1305" s="11">
        <v>56</v>
      </c>
      <c r="N1305" s="3">
        <v>13</v>
      </c>
      <c r="O1305" s="3">
        <v>198588</v>
      </c>
      <c r="P1305" s="3">
        <v>332772</v>
      </c>
      <c r="Q1305" s="10">
        <v>0</v>
      </c>
      <c r="R1305" s="3">
        <f>(Таблица1[Размер кредита]-$AA$2)/$AA$3</f>
        <v>-1.1209416760942388</v>
      </c>
      <c r="S1305" s="3">
        <f>(Таблица1[Кредитный рейтинг]-$AA$7)/($AA$8-$AA$7)</f>
        <v>0</v>
      </c>
      <c r="T1305" s="3">
        <f>(Таблица1[Срок с последнего нарушения кредитного договора (мес,)]-$AA$12)/($AA$13-$AA$12)</f>
        <v>0.63636363636363635</v>
      </c>
      <c r="U1305" s="3">
        <f>(Таблица1[Количество кредитных карт]-$AA$18)/($AA$19-$AA$18)</f>
        <v>0.2857142857142857</v>
      </c>
      <c r="V1305" s="3">
        <f>(Таблица1[Число нарушений кредитных договоров]-$AA$23)/($AA$24-$AA$23)</f>
        <v>0</v>
      </c>
      <c r="W1305" s="3">
        <f>Таблица1[[#This Row],[Годовой доход]]/12</f>
        <v>97337</v>
      </c>
      <c r="X1305" s="3">
        <f>Таблица1[[#This Row],[Ежемесячный платеж]]/Таблица1[[#This Row],[Ежем доход]]</f>
        <v>0.14886004294358773</v>
      </c>
      <c r="Y1305" s="3"/>
      <c r="Z1305" s="3"/>
      <c r="AA1305" s="3"/>
      <c r="AB1305" s="3"/>
    </row>
    <row r="1306" spans="1:28" x14ac:dyDescent="0.2">
      <c r="A1306">
        <v>1686</v>
      </c>
      <c r="B1306" t="s">
        <v>1724</v>
      </c>
      <c r="C1306" t="s">
        <v>18</v>
      </c>
      <c r="D1306" t="s">
        <v>19</v>
      </c>
      <c r="E1306" t="s">
        <v>32</v>
      </c>
      <c r="F1306" t="s">
        <v>21</v>
      </c>
      <c r="G1306" t="s">
        <v>22</v>
      </c>
      <c r="H1306" s="1">
        <v>284328</v>
      </c>
      <c r="I1306" s="3">
        <v>677</v>
      </c>
      <c r="J1306" s="3">
        <v>1818908</v>
      </c>
      <c r="K1306" s="3">
        <v>23039.4</v>
      </c>
      <c r="L1306" s="2">
        <v>10.1</v>
      </c>
      <c r="M1306" s="11">
        <v>36</v>
      </c>
      <c r="N1306" s="3">
        <v>14</v>
      </c>
      <c r="O1306" s="3">
        <v>174401</v>
      </c>
      <c r="P1306" s="3">
        <v>332706</v>
      </c>
      <c r="Q1306" s="10">
        <v>0</v>
      </c>
      <c r="R1306" s="3">
        <f>(Таблица1[Размер кредита]-$AA$2)/$AA$3</f>
        <v>-0.14384942097373035</v>
      </c>
      <c r="S1306" s="3">
        <f>(Таблица1[Кредитный рейтинг]-$AA$7)/($AA$8-$AA$7)</f>
        <v>0.90146471371504655</v>
      </c>
      <c r="T1306" s="3">
        <f>(Таблица1[Срок с последнего нарушения кредитного договора (мес,)]-$AA$12)/($AA$13-$AA$12)</f>
        <v>0.40909090909090912</v>
      </c>
      <c r="U1306" s="3">
        <f>(Таблица1[Количество кредитных карт]-$AA$18)/($AA$19-$AA$18)</f>
        <v>0.30952380952380953</v>
      </c>
      <c r="V1306" s="3">
        <f>(Таблица1[Число нарушений кредитных договоров]-$AA$23)/($AA$24-$AA$23)</f>
        <v>0</v>
      </c>
      <c r="W1306" s="3">
        <f>Таблица1[[#This Row],[Годовой доход]]/12</f>
        <v>151575.66666666666</v>
      </c>
      <c r="X1306" s="3">
        <f>Таблица1[[#This Row],[Ежемесячный платеж]]/Таблица1[[#This Row],[Ежем доход]]</f>
        <v>0.15199933146701208</v>
      </c>
      <c r="Y1306" s="3"/>
      <c r="Z1306" s="3"/>
      <c r="AA1306" s="3"/>
      <c r="AB1306" s="3"/>
    </row>
    <row r="1307" spans="1:28" x14ac:dyDescent="0.2">
      <c r="A1307">
        <v>197</v>
      </c>
      <c r="B1307" t="s">
        <v>239</v>
      </c>
      <c r="C1307" t="s">
        <v>18</v>
      </c>
      <c r="D1307" t="s">
        <v>29</v>
      </c>
      <c r="E1307" t="s">
        <v>24</v>
      </c>
      <c r="F1307" t="s">
        <v>21</v>
      </c>
      <c r="G1307" t="s">
        <v>25</v>
      </c>
      <c r="H1307" s="1">
        <v>606122</v>
      </c>
      <c r="I1307" s="3">
        <v>693</v>
      </c>
      <c r="J1307" s="3">
        <v>1395911</v>
      </c>
      <c r="K1307" s="3">
        <v>24079.46</v>
      </c>
      <c r="L1307" s="2">
        <v>22.5</v>
      </c>
      <c r="M1307" s="11">
        <v>35.265240640000002</v>
      </c>
      <c r="N1307" s="3">
        <v>8</v>
      </c>
      <c r="O1307" s="3">
        <v>168378</v>
      </c>
      <c r="P1307" s="3">
        <v>332156</v>
      </c>
      <c r="Q1307" s="10">
        <v>1</v>
      </c>
      <c r="R1307" s="3">
        <f>(Таблица1[Размер кредита]-$AA$2)/$AA$3</f>
        <v>1.6882142138997061</v>
      </c>
      <c r="S1307" s="3">
        <f>(Таблица1[Кредитный рейтинг]-$AA$7)/($AA$8-$AA$7)</f>
        <v>0.92276964047936083</v>
      </c>
      <c r="T1307" s="3">
        <f>(Таблица1[Срок с последнего нарушения кредитного договора (мес,)]-$AA$12)/($AA$13-$AA$12)</f>
        <v>0.40074137090909095</v>
      </c>
      <c r="U1307" s="3">
        <f>(Таблица1[Количество кредитных карт]-$AA$18)/($AA$19-$AA$18)</f>
        <v>0.16666666666666666</v>
      </c>
      <c r="V1307" s="3">
        <f>(Таблица1[Число нарушений кредитных договоров]-$AA$23)/($AA$24-$AA$23)</f>
        <v>0.14285714285714285</v>
      </c>
      <c r="W1307" s="3">
        <f>Таблица1[[#This Row],[Годовой доход]]/12</f>
        <v>116325.91666666667</v>
      </c>
      <c r="X1307" s="3">
        <f>Таблица1[[#This Row],[Ежемесячный платеж]]/Таблица1[[#This Row],[Ежем доход]]</f>
        <v>0.20699995916645114</v>
      </c>
      <c r="Y1307" s="3"/>
      <c r="Z1307" s="3"/>
      <c r="AA1307" s="3"/>
      <c r="AB1307" s="3"/>
    </row>
    <row r="1308" spans="1:28" x14ac:dyDescent="0.2">
      <c r="A1308">
        <v>490</v>
      </c>
      <c r="B1308" t="s">
        <v>531</v>
      </c>
      <c r="C1308" t="s">
        <v>18</v>
      </c>
      <c r="D1308" t="s">
        <v>19</v>
      </c>
      <c r="E1308" t="s">
        <v>69</v>
      </c>
      <c r="F1308" t="s">
        <v>21</v>
      </c>
      <c r="G1308" t="s">
        <v>25</v>
      </c>
      <c r="H1308" s="1">
        <v>648516</v>
      </c>
      <c r="I1308" s="3">
        <v>730</v>
      </c>
      <c r="J1308" s="3">
        <v>1400205</v>
      </c>
      <c r="K1308" s="3">
        <v>21353.15</v>
      </c>
      <c r="L1308" s="2">
        <v>19</v>
      </c>
      <c r="M1308" s="11">
        <v>69</v>
      </c>
      <c r="N1308" s="3">
        <v>8</v>
      </c>
      <c r="O1308" s="3">
        <v>265905</v>
      </c>
      <c r="P1308" s="3">
        <v>332156</v>
      </c>
      <c r="Q1308" s="10">
        <v>0</v>
      </c>
      <c r="R1308" s="3">
        <f>(Таблица1[Размер кредита]-$AA$2)/$AA$3</f>
        <v>1.9295751644979908</v>
      </c>
      <c r="S1308" s="3">
        <f>(Таблица1[Кредитный рейтинг]-$AA$7)/($AA$8-$AA$7)</f>
        <v>0.9720372836218375</v>
      </c>
      <c r="T1308" s="3">
        <f>(Таблица1[Срок с последнего нарушения кредитного договора (мес,)]-$AA$12)/($AA$13-$AA$12)</f>
        <v>0.78409090909090906</v>
      </c>
      <c r="U1308" s="3">
        <f>(Таблица1[Количество кредитных карт]-$AA$18)/($AA$19-$AA$18)</f>
        <v>0.16666666666666666</v>
      </c>
      <c r="V1308" s="3">
        <f>(Таблица1[Число нарушений кредитных договоров]-$AA$23)/($AA$24-$AA$23)</f>
        <v>0</v>
      </c>
      <c r="W1308" s="3">
        <f>Таблица1[[#This Row],[Годовой доход]]/12</f>
        <v>116683.75</v>
      </c>
      <c r="X1308" s="3">
        <f>Таблица1[[#This Row],[Ежемесячный платеж]]/Таблица1[[#This Row],[Ежем доход]]</f>
        <v>0.18300020354162427</v>
      </c>
      <c r="Y1308" s="3"/>
      <c r="Z1308" s="3"/>
      <c r="AA1308" s="3"/>
      <c r="AB1308" s="3"/>
    </row>
    <row r="1309" spans="1:28" x14ac:dyDescent="0.2">
      <c r="A1309">
        <v>507</v>
      </c>
      <c r="B1309" t="s">
        <v>548</v>
      </c>
      <c r="C1309" t="s">
        <v>18</v>
      </c>
      <c r="D1309" t="s">
        <v>29</v>
      </c>
      <c r="E1309" t="s">
        <v>30</v>
      </c>
      <c r="F1309" t="s">
        <v>33</v>
      </c>
      <c r="G1309" t="s">
        <v>25</v>
      </c>
      <c r="H1309" s="1">
        <v>590986</v>
      </c>
      <c r="I1309" s="3">
        <v>613</v>
      </c>
      <c r="J1309" s="3">
        <v>1156511</v>
      </c>
      <c r="K1309" s="3">
        <v>22060.52</v>
      </c>
      <c r="L1309" s="2">
        <v>14.1</v>
      </c>
      <c r="M1309" s="11">
        <v>35.265240640000002</v>
      </c>
      <c r="N1309" s="3">
        <v>11</v>
      </c>
      <c r="O1309" s="3">
        <v>268926</v>
      </c>
      <c r="P1309" s="3">
        <v>331254</v>
      </c>
      <c r="Q1309" s="10">
        <v>0</v>
      </c>
      <c r="R1309" s="3">
        <f>(Таблица1[Размер кредита]-$AA$2)/$AA$3</f>
        <v>1.6020407141531467</v>
      </c>
      <c r="S1309" s="3">
        <f>(Таблица1[Кредитный рейтинг]-$AA$7)/($AA$8-$AA$7)</f>
        <v>0.81624500665778965</v>
      </c>
      <c r="T1309" s="3">
        <f>(Таблица1[Срок с последнего нарушения кредитного договора (мес,)]-$AA$12)/($AA$13-$AA$12)</f>
        <v>0.40074137090909095</v>
      </c>
      <c r="U1309" s="3">
        <f>(Таблица1[Количество кредитных карт]-$AA$18)/($AA$19-$AA$18)</f>
        <v>0.23809523809523808</v>
      </c>
      <c r="V1309" s="3">
        <f>(Таблица1[Число нарушений кредитных договоров]-$AA$23)/($AA$24-$AA$23)</f>
        <v>0</v>
      </c>
      <c r="W1309" s="3">
        <f>Таблица1[[#This Row],[Годовой доход]]/12</f>
        <v>96375.916666666672</v>
      </c>
      <c r="X1309" s="3">
        <f>Таблица1[[#This Row],[Ежемесячный платеж]]/Таблица1[[#This Row],[Ежем доход]]</f>
        <v>0.22890075407843072</v>
      </c>
      <c r="Y1309" s="3"/>
      <c r="Z1309" s="3"/>
      <c r="AA1309" s="3"/>
      <c r="AB1309" s="3"/>
    </row>
    <row r="1310" spans="1:28" x14ac:dyDescent="0.2">
      <c r="A1310">
        <v>898</v>
      </c>
      <c r="B1310" t="s">
        <v>939</v>
      </c>
      <c r="C1310" t="s">
        <v>35</v>
      </c>
      <c r="D1310" t="s">
        <v>29</v>
      </c>
      <c r="E1310" t="s">
        <v>24</v>
      </c>
      <c r="F1310" t="s">
        <v>33</v>
      </c>
      <c r="G1310" t="s">
        <v>25</v>
      </c>
      <c r="H1310" s="1">
        <v>291258</v>
      </c>
      <c r="I1310" s="3">
        <v>0</v>
      </c>
      <c r="J1310" s="3">
        <v>1168044</v>
      </c>
      <c r="K1310" s="3">
        <v>19207.29</v>
      </c>
      <c r="L1310" s="2">
        <v>9</v>
      </c>
      <c r="M1310" s="11">
        <v>35.265240640000002</v>
      </c>
      <c r="N1310" s="3">
        <v>11</v>
      </c>
      <c r="O1310" s="3">
        <v>101251</v>
      </c>
      <c r="P1310" s="3">
        <v>331188</v>
      </c>
      <c r="Q1310" s="10">
        <v>1</v>
      </c>
      <c r="R1310" s="3">
        <f>(Таблица1[Размер кредита]-$AA$2)/$AA$3</f>
        <v>-0.10439498431651204</v>
      </c>
      <c r="S1310" s="3">
        <f>(Таблица1[Кредитный рейтинг]-$AA$7)/($AA$8-$AA$7)</f>
        <v>0</v>
      </c>
      <c r="T1310" s="3">
        <f>(Таблица1[Срок с последнего нарушения кредитного договора (мес,)]-$AA$12)/($AA$13-$AA$12)</f>
        <v>0.40074137090909095</v>
      </c>
      <c r="U1310" s="3">
        <f>(Таблица1[Количество кредитных карт]-$AA$18)/($AA$19-$AA$18)</f>
        <v>0.23809523809523808</v>
      </c>
      <c r="V1310" s="3">
        <f>(Таблица1[Число нарушений кредитных договоров]-$AA$23)/($AA$24-$AA$23)</f>
        <v>0.14285714285714285</v>
      </c>
      <c r="W1310" s="3">
        <f>Таблица1[[#This Row],[Годовой доход]]/12</f>
        <v>97337</v>
      </c>
      <c r="X1310" s="3">
        <f>Таблица1[[#This Row],[Ежемесячный платеж]]/Таблица1[[#This Row],[Ежем доход]]</f>
        <v>0.19732773765371853</v>
      </c>
      <c r="Y1310" s="3"/>
      <c r="Z1310" s="3"/>
      <c r="AA1310" s="3"/>
      <c r="AB1310" s="3"/>
    </row>
    <row r="1311" spans="1:28" x14ac:dyDescent="0.2">
      <c r="A1311">
        <v>1965</v>
      </c>
      <c r="B1311" t="s">
        <v>2001</v>
      </c>
      <c r="C1311" t="s">
        <v>18</v>
      </c>
      <c r="D1311" t="s">
        <v>19</v>
      </c>
      <c r="E1311" t="s">
        <v>32</v>
      </c>
      <c r="F1311" t="s">
        <v>21</v>
      </c>
      <c r="G1311" t="s">
        <v>25</v>
      </c>
      <c r="H1311" s="1">
        <v>287430</v>
      </c>
      <c r="I1311" s="3">
        <v>0</v>
      </c>
      <c r="J1311" s="3">
        <v>1168044</v>
      </c>
      <c r="K1311" s="3">
        <v>31683.83</v>
      </c>
      <c r="L1311" s="2">
        <v>21.7</v>
      </c>
      <c r="M1311" s="11">
        <v>14</v>
      </c>
      <c r="N1311" s="3">
        <v>16</v>
      </c>
      <c r="O1311" s="3">
        <v>217018</v>
      </c>
      <c r="P1311" s="3">
        <v>330638</v>
      </c>
      <c r="Q1311" s="10">
        <v>1</v>
      </c>
      <c r="R1311" s="3">
        <f>(Таблица1[Размер кредита]-$AA$2)/$AA$3</f>
        <v>-0.12618886361288026</v>
      </c>
      <c r="S1311" s="3">
        <f>(Таблица1[Кредитный рейтинг]-$AA$7)/($AA$8-$AA$7)</f>
        <v>0</v>
      </c>
      <c r="T1311" s="3">
        <f>(Таблица1[Срок с последнего нарушения кредитного договора (мес,)]-$AA$12)/($AA$13-$AA$12)</f>
        <v>0.15909090909090909</v>
      </c>
      <c r="U1311" s="3">
        <f>(Таблица1[Количество кредитных карт]-$AA$18)/($AA$19-$AA$18)</f>
        <v>0.35714285714285715</v>
      </c>
      <c r="V1311" s="3">
        <f>(Таблица1[Число нарушений кредитных договоров]-$AA$23)/($AA$24-$AA$23)</f>
        <v>0.14285714285714285</v>
      </c>
      <c r="W1311" s="3">
        <f>Таблица1[[#This Row],[Годовой доход]]/12</f>
        <v>97337</v>
      </c>
      <c r="X1311" s="3">
        <f>Таблица1[[#This Row],[Ежемесячный платеж]]/Таблица1[[#This Row],[Ежем доход]]</f>
        <v>0.32550653913722433</v>
      </c>
      <c r="Y1311" s="3"/>
      <c r="Z1311" s="3"/>
      <c r="AA1311" s="3"/>
      <c r="AB1311" s="3"/>
    </row>
    <row r="1312" spans="1:28" x14ac:dyDescent="0.2">
      <c r="A1312">
        <v>1655</v>
      </c>
      <c r="B1312" t="s">
        <v>1693</v>
      </c>
      <c r="C1312" t="s">
        <v>18</v>
      </c>
      <c r="D1312" t="s">
        <v>29</v>
      </c>
      <c r="E1312" t="s">
        <v>24</v>
      </c>
      <c r="F1312" t="s">
        <v>21</v>
      </c>
      <c r="G1312" t="s">
        <v>25</v>
      </c>
      <c r="H1312" s="1">
        <v>440220</v>
      </c>
      <c r="I1312" s="3">
        <v>661</v>
      </c>
      <c r="J1312" s="3">
        <v>1083551</v>
      </c>
      <c r="K1312" s="3">
        <v>17336.740000000002</v>
      </c>
      <c r="L1312" s="2">
        <v>11.9</v>
      </c>
      <c r="M1312" s="11">
        <v>18</v>
      </c>
      <c r="N1312" s="3">
        <v>9</v>
      </c>
      <c r="O1312" s="3">
        <v>105298</v>
      </c>
      <c r="P1312" s="3">
        <v>330418</v>
      </c>
      <c r="Q1312" s="10">
        <v>0</v>
      </c>
      <c r="R1312" s="3">
        <f>(Таблица1[Размер кредита]-$AA$2)/$AA$3</f>
        <v>0.74368752554388573</v>
      </c>
      <c r="S1312" s="3">
        <f>(Таблица1[Кредитный рейтинг]-$AA$7)/($AA$8-$AA$7)</f>
        <v>0.88015978695073238</v>
      </c>
      <c r="T1312" s="3">
        <f>(Таблица1[Срок с последнего нарушения кредитного договора (мес,)]-$AA$12)/($AA$13-$AA$12)</f>
        <v>0.20454545454545456</v>
      </c>
      <c r="U1312" s="3">
        <f>(Таблица1[Количество кредитных карт]-$AA$18)/($AA$19-$AA$18)</f>
        <v>0.19047619047619047</v>
      </c>
      <c r="V1312" s="3">
        <f>(Таблица1[Число нарушений кредитных договоров]-$AA$23)/($AA$24-$AA$23)</f>
        <v>0</v>
      </c>
      <c r="W1312" s="3">
        <f>Таблица1[[#This Row],[Годовой доход]]/12</f>
        <v>90295.916666666672</v>
      </c>
      <c r="X1312" s="3">
        <f>Таблица1[[#This Row],[Ежемесячный платеж]]/Таблица1[[#This Row],[Ежем доход]]</f>
        <v>0.1919991583229585</v>
      </c>
      <c r="Y1312" s="3"/>
      <c r="Z1312" s="3"/>
      <c r="AA1312" s="3"/>
      <c r="AB1312" s="3"/>
    </row>
    <row r="1313" spans="1:28" x14ac:dyDescent="0.2">
      <c r="A1313">
        <v>1429</v>
      </c>
      <c r="B1313" t="s">
        <v>1468</v>
      </c>
      <c r="C1313" t="s">
        <v>35</v>
      </c>
      <c r="D1313" t="s">
        <v>19</v>
      </c>
      <c r="E1313" t="s">
        <v>50</v>
      </c>
      <c r="F1313" t="s">
        <v>33</v>
      </c>
      <c r="G1313" t="s">
        <v>75</v>
      </c>
      <c r="H1313" s="1">
        <v>325578</v>
      </c>
      <c r="I1313" s="3">
        <v>747</v>
      </c>
      <c r="J1313" s="3">
        <v>749816</v>
      </c>
      <c r="K1313" s="3">
        <v>12934.25</v>
      </c>
      <c r="L1313" s="2">
        <v>14.5</v>
      </c>
      <c r="M1313" s="11">
        <v>35.265240640000002</v>
      </c>
      <c r="N1313" s="3">
        <v>7</v>
      </c>
      <c r="O1313" s="3">
        <v>207138</v>
      </c>
      <c r="P1313" s="3">
        <v>329890</v>
      </c>
      <c r="Q1313" s="10">
        <v>0</v>
      </c>
      <c r="R1313" s="3">
        <f>(Таблица1[Размер кредита]-$AA$2)/$AA$3</f>
        <v>9.0998416271616825E-2</v>
      </c>
      <c r="S1313" s="3">
        <f>(Таблица1[Кредитный рейтинг]-$AA$7)/($AA$8-$AA$7)</f>
        <v>0.9946737683089214</v>
      </c>
      <c r="T1313" s="3">
        <f>(Таблица1[Срок с последнего нарушения кредитного договора (мес,)]-$AA$12)/($AA$13-$AA$12)</f>
        <v>0.40074137090909095</v>
      </c>
      <c r="U1313" s="3">
        <f>(Таблица1[Количество кредитных карт]-$AA$18)/($AA$19-$AA$18)</f>
        <v>0.14285714285714285</v>
      </c>
      <c r="V1313" s="3">
        <f>(Таблица1[Число нарушений кредитных договоров]-$AA$23)/($AA$24-$AA$23)</f>
        <v>0</v>
      </c>
      <c r="W1313" s="3">
        <f>Таблица1[[#This Row],[Годовой доход]]/12</f>
        <v>62484.666666666664</v>
      </c>
      <c r="X1313" s="3">
        <f>Таблица1[[#This Row],[Ежемесячный платеж]]/Таблица1[[#This Row],[Ежем доход]]</f>
        <v>0.20699878370160146</v>
      </c>
      <c r="Y1313" s="3"/>
      <c r="Z1313" s="3"/>
      <c r="AA1313" s="3"/>
      <c r="AB1313" s="3"/>
    </row>
    <row r="1314" spans="1:28" x14ac:dyDescent="0.2">
      <c r="A1314">
        <v>214</v>
      </c>
      <c r="B1314" t="s">
        <v>256</v>
      </c>
      <c r="C1314" t="s">
        <v>35</v>
      </c>
      <c r="D1314" t="s">
        <v>19</v>
      </c>
      <c r="E1314" t="s">
        <v>24</v>
      </c>
      <c r="F1314" t="s">
        <v>21</v>
      </c>
      <c r="G1314" t="s">
        <v>25</v>
      </c>
      <c r="H1314" s="1">
        <v>96690</v>
      </c>
      <c r="I1314" s="3">
        <v>673</v>
      </c>
      <c r="J1314" s="3">
        <v>280136</v>
      </c>
      <c r="K1314" s="3">
        <v>4598.76</v>
      </c>
      <c r="L1314" s="2">
        <v>17.8</v>
      </c>
      <c r="M1314" s="11">
        <v>51</v>
      </c>
      <c r="N1314" s="3">
        <v>4</v>
      </c>
      <c r="O1314" s="3">
        <v>179037</v>
      </c>
      <c r="P1314" s="3">
        <v>329582</v>
      </c>
      <c r="Q1314" s="10">
        <v>0</v>
      </c>
      <c r="R1314" s="3">
        <f>(Таблица1[Размер кредита]-$AA$2)/$AA$3</f>
        <v>-1.2121252630353656</v>
      </c>
      <c r="S1314" s="3">
        <f>(Таблица1[Кредитный рейтинг]-$AA$7)/($AA$8-$AA$7)</f>
        <v>0.89613848202396806</v>
      </c>
      <c r="T1314" s="3">
        <f>(Таблица1[Срок с последнего нарушения кредитного договора (мес,)]-$AA$12)/($AA$13-$AA$12)</f>
        <v>0.57954545454545459</v>
      </c>
      <c r="U1314" s="3">
        <f>(Таблица1[Количество кредитных карт]-$AA$18)/($AA$19-$AA$18)</f>
        <v>7.1428571428571425E-2</v>
      </c>
      <c r="V1314" s="3">
        <f>(Таблица1[Число нарушений кредитных договоров]-$AA$23)/($AA$24-$AA$23)</f>
        <v>0</v>
      </c>
      <c r="W1314" s="3">
        <f>Таблица1[[#This Row],[Годовой доход]]/12</f>
        <v>23344.666666666668</v>
      </c>
      <c r="X1314" s="3">
        <f>Таблица1[[#This Row],[Ежемесячный платеж]]/Таблица1[[#This Row],[Ежем доход]]</f>
        <v>0.19699403147042865</v>
      </c>
      <c r="Y1314" s="3"/>
      <c r="Z1314" s="3"/>
      <c r="AA1314" s="3"/>
      <c r="AB1314" s="3"/>
    </row>
    <row r="1315" spans="1:28" x14ac:dyDescent="0.2">
      <c r="A1315">
        <v>949</v>
      </c>
      <c r="B1315" t="s">
        <v>990</v>
      </c>
      <c r="C1315" t="s">
        <v>35</v>
      </c>
      <c r="D1315" t="s">
        <v>19</v>
      </c>
      <c r="E1315" t="s">
        <v>24</v>
      </c>
      <c r="F1315" t="s">
        <v>33</v>
      </c>
      <c r="G1315" t="s">
        <v>25</v>
      </c>
      <c r="H1315" s="1">
        <v>298760</v>
      </c>
      <c r="I1315" s="3">
        <v>0</v>
      </c>
      <c r="J1315" s="3">
        <v>1168044</v>
      </c>
      <c r="K1315" s="3">
        <v>11952.14</v>
      </c>
      <c r="L1315" s="2">
        <v>17.3</v>
      </c>
      <c r="M1315" s="11">
        <v>63</v>
      </c>
      <c r="N1315" s="3">
        <v>9</v>
      </c>
      <c r="O1315" s="3">
        <v>191786</v>
      </c>
      <c r="P1315" s="3">
        <v>329494</v>
      </c>
      <c r="Q1315" s="10">
        <v>6</v>
      </c>
      <c r="R1315" s="3">
        <f>(Таблица1[Размер кредита]-$AA$2)/$AA$3</f>
        <v>-6.1683990982824892E-2</v>
      </c>
      <c r="S1315" s="3">
        <f>(Таблица1[Кредитный рейтинг]-$AA$7)/($AA$8-$AA$7)</f>
        <v>0</v>
      </c>
      <c r="T1315" s="3">
        <f>(Таблица1[Срок с последнего нарушения кредитного договора (мес,)]-$AA$12)/($AA$13-$AA$12)</f>
        <v>0.71590909090909094</v>
      </c>
      <c r="U1315" s="3">
        <f>(Таблица1[Количество кредитных карт]-$AA$18)/($AA$19-$AA$18)</f>
        <v>0.19047619047619047</v>
      </c>
      <c r="V1315" s="3">
        <f>(Таблица1[Число нарушений кредитных договоров]-$AA$23)/($AA$24-$AA$23)</f>
        <v>0.8571428571428571</v>
      </c>
      <c r="W1315" s="3">
        <f>Таблица1[[#This Row],[Годовой доход]]/12</f>
        <v>97337</v>
      </c>
      <c r="X1315" s="3">
        <f>Таблица1[[#This Row],[Ежемесячный платеж]]/Таблица1[[#This Row],[Ежем доход]]</f>
        <v>0.12279133320320125</v>
      </c>
      <c r="Y1315" s="3"/>
      <c r="Z1315" s="3"/>
      <c r="AA1315" s="3"/>
      <c r="AB1315" s="3"/>
    </row>
    <row r="1316" spans="1:28" x14ac:dyDescent="0.2">
      <c r="A1316">
        <v>1584</v>
      </c>
      <c r="B1316" t="s">
        <v>1623</v>
      </c>
      <c r="C1316" t="s">
        <v>18</v>
      </c>
      <c r="D1316" t="s">
        <v>19</v>
      </c>
      <c r="E1316" t="s">
        <v>52</v>
      </c>
      <c r="F1316" t="s">
        <v>21</v>
      </c>
      <c r="G1316" t="s">
        <v>25</v>
      </c>
      <c r="H1316" s="1">
        <v>257840</v>
      </c>
      <c r="I1316" s="3">
        <v>741</v>
      </c>
      <c r="J1316" s="3">
        <v>835088</v>
      </c>
      <c r="K1316" s="3">
        <v>15448.9</v>
      </c>
      <c r="L1316" s="2">
        <v>27.2</v>
      </c>
      <c r="M1316" s="11">
        <v>34</v>
      </c>
      <c r="N1316" s="3">
        <v>12</v>
      </c>
      <c r="O1316" s="3">
        <v>193325</v>
      </c>
      <c r="P1316" s="3">
        <v>328724</v>
      </c>
      <c r="Q1316" s="10">
        <v>0</v>
      </c>
      <c r="R1316" s="3">
        <f>(Таблица1[Размер кредита]-$AA$2)/$AA$3</f>
        <v>-0.29465304553020932</v>
      </c>
      <c r="S1316" s="3">
        <f>(Таблица1[Кредитный рейтинг]-$AA$7)/($AA$8-$AA$7)</f>
        <v>0.98668442077230356</v>
      </c>
      <c r="T1316" s="3">
        <f>(Таблица1[Срок с последнего нарушения кредитного договора (мес,)]-$AA$12)/($AA$13-$AA$12)</f>
        <v>0.38636363636363635</v>
      </c>
      <c r="U1316" s="3">
        <f>(Таблица1[Количество кредитных карт]-$AA$18)/($AA$19-$AA$18)</f>
        <v>0.26190476190476192</v>
      </c>
      <c r="V1316" s="3">
        <f>(Таблица1[Число нарушений кредитных договоров]-$AA$23)/($AA$24-$AA$23)</f>
        <v>0</v>
      </c>
      <c r="W1316" s="3">
        <f>Таблица1[[#This Row],[Годовой доход]]/12</f>
        <v>69590.666666666672</v>
      </c>
      <c r="X1316" s="3">
        <f>Таблица1[[#This Row],[Ежемесячный платеж]]/Таблица1[[#This Row],[Ежем доход]]</f>
        <v>0.22199672369858026</v>
      </c>
      <c r="Y1316" s="3"/>
      <c r="Z1316" s="3"/>
      <c r="AA1316" s="3"/>
      <c r="AB1316" s="3"/>
    </row>
    <row r="1317" spans="1:28" x14ac:dyDescent="0.2">
      <c r="A1317">
        <v>682</v>
      </c>
      <c r="B1317" t="s">
        <v>723</v>
      </c>
      <c r="C1317" t="s">
        <v>18</v>
      </c>
      <c r="D1317" t="s">
        <v>19</v>
      </c>
      <c r="E1317" t="s">
        <v>63</v>
      </c>
      <c r="F1317" t="s">
        <v>33</v>
      </c>
      <c r="G1317" t="s">
        <v>25</v>
      </c>
      <c r="H1317" s="1">
        <v>237116</v>
      </c>
      <c r="I1317" s="3">
        <v>721</v>
      </c>
      <c r="J1317" s="3">
        <v>655310</v>
      </c>
      <c r="K1317" s="3">
        <v>6880.66</v>
      </c>
      <c r="L1317" s="2">
        <v>14.5</v>
      </c>
      <c r="M1317" s="11">
        <v>74</v>
      </c>
      <c r="N1317" s="3">
        <v>5</v>
      </c>
      <c r="O1317" s="3">
        <v>229026</v>
      </c>
      <c r="P1317" s="3">
        <v>328218</v>
      </c>
      <c r="Q1317" s="10">
        <v>0</v>
      </c>
      <c r="R1317" s="3">
        <f>(Таблица1[Размер кредита]-$AA$2)/$AA$3</f>
        <v>-0.41264059896227173</v>
      </c>
      <c r="S1317" s="3">
        <f>(Таблица1[Кредитный рейтинг]-$AA$7)/($AA$8-$AA$7)</f>
        <v>0.96005326231691079</v>
      </c>
      <c r="T1317" s="3">
        <f>(Таблица1[Срок с последнего нарушения кредитного договора (мес,)]-$AA$12)/($AA$13-$AA$12)</f>
        <v>0.84090909090909094</v>
      </c>
      <c r="U1317" s="3">
        <f>(Таблица1[Количество кредитных карт]-$AA$18)/($AA$19-$AA$18)</f>
        <v>9.5238095238095233E-2</v>
      </c>
      <c r="V1317" s="3">
        <f>(Таблица1[Число нарушений кредитных договоров]-$AA$23)/($AA$24-$AA$23)</f>
        <v>0</v>
      </c>
      <c r="W1317" s="3">
        <f>Таблица1[[#This Row],[Годовой доход]]/12</f>
        <v>54609.166666666664</v>
      </c>
      <c r="X1317" s="3">
        <f>Таблица1[[#This Row],[Ежемесячный платеж]]/Таблица1[[#This Row],[Ежем доход]]</f>
        <v>0.12599826036532327</v>
      </c>
      <c r="Y1317" s="3"/>
      <c r="Z1317" s="3"/>
      <c r="AA1317" s="3"/>
      <c r="AB1317" s="3"/>
    </row>
    <row r="1318" spans="1:28" x14ac:dyDescent="0.2">
      <c r="A1318">
        <v>744</v>
      </c>
      <c r="B1318" t="s">
        <v>785</v>
      </c>
      <c r="C1318" t="s">
        <v>35</v>
      </c>
      <c r="D1318" t="s">
        <v>19</v>
      </c>
      <c r="E1318" t="s">
        <v>37</v>
      </c>
      <c r="F1318" t="s">
        <v>21</v>
      </c>
      <c r="G1318" t="s">
        <v>25</v>
      </c>
      <c r="H1318" s="1">
        <v>219604</v>
      </c>
      <c r="I1318" s="3">
        <v>0</v>
      </c>
      <c r="J1318" s="3">
        <v>1168044</v>
      </c>
      <c r="K1318" s="3">
        <v>9843.33</v>
      </c>
      <c r="L1318" s="2">
        <v>21.9</v>
      </c>
      <c r="M1318" s="11">
        <v>53</v>
      </c>
      <c r="N1318" s="3">
        <v>11</v>
      </c>
      <c r="O1318" s="3">
        <v>111245</v>
      </c>
      <c r="P1318" s="3">
        <v>326942</v>
      </c>
      <c r="Q1318" s="10">
        <v>0</v>
      </c>
      <c r="R1318" s="3">
        <f>(Таблица1[Размер кредита]-$AA$2)/$AA$3</f>
        <v>-0.51234133413416316</v>
      </c>
      <c r="S1318" s="3">
        <f>(Таблица1[Кредитный рейтинг]-$AA$7)/($AA$8-$AA$7)</f>
        <v>0</v>
      </c>
      <c r="T1318" s="3">
        <f>(Таблица1[Срок с последнего нарушения кредитного договора (мес,)]-$AA$12)/($AA$13-$AA$12)</f>
        <v>0.60227272727272729</v>
      </c>
      <c r="U1318" s="3">
        <f>(Таблица1[Количество кредитных карт]-$AA$18)/($AA$19-$AA$18)</f>
        <v>0.23809523809523808</v>
      </c>
      <c r="V1318" s="3">
        <f>(Таблица1[Число нарушений кредитных договоров]-$AA$23)/($AA$24-$AA$23)</f>
        <v>0</v>
      </c>
      <c r="W1318" s="3">
        <f>Таблица1[[#This Row],[Годовой доход]]/12</f>
        <v>97337</v>
      </c>
      <c r="X1318" s="3">
        <f>Таблица1[[#This Row],[Ежемесячный платеж]]/Таблица1[[#This Row],[Ежем доход]]</f>
        <v>0.1011262931875854</v>
      </c>
      <c r="Y1318" s="3"/>
      <c r="Z1318" s="3"/>
      <c r="AA1318" s="3"/>
      <c r="AB1318" s="3"/>
    </row>
    <row r="1319" spans="1:28" x14ac:dyDescent="0.2">
      <c r="A1319">
        <v>1257</v>
      </c>
      <c r="B1319" t="s">
        <v>1296</v>
      </c>
      <c r="C1319" t="s">
        <v>35</v>
      </c>
      <c r="D1319" t="s">
        <v>19</v>
      </c>
      <c r="E1319" t="s">
        <v>37</v>
      </c>
      <c r="F1319" t="s">
        <v>27</v>
      </c>
      <c r="G1319" t="s">
        <v>25</v>
      </c>
      <c r="H1319" s="1">
        <v>186362</v>
      </c>
      <c r="I1319" s="3">
        <v>708</v>
      </c>
      <c r="J1319" s="3">
        <v>492328</v>
      </c>
      <c r="K1319" s="3">
        <v>8492.6200000000008</v>
      </c>
      <c r="L1319" s="2">
        <v>17.3</v>
      </c>
      <c r="M1319" s="11">
        <v>35.265240640000002</v>
      </c>
      <c r="N1319" s="3">
        <v>8</v>
      </c>
      <c r="O1319" s="3">
        <v>221255</v>
      </c>
      <c r="P1319" s="3">
        <v>326766</v>
      </c>
      <c r="Q1319" s="10">
        <v>0</v>
      </c>
      <c r="R1319" s="3">
        <f>(Таблица1[Размер кредита]-$AA$2)/$AA$3</f>
        <v>-0.70159737790894694</v>
      </c>
      <c r="S1319" s="3">
        <f>(Таблица1[Кредитный рейтинг]-$AA$7)/($AA$8-$AA$7)</f>
        <v>0.94274300932090549</v>
      </c>
      <c r="T1319" s="3">
        <f>(Таблица1[Срок с последнего нарушения кредитного договора (мес,)]-$AA$12)/($AA$13-$AA$12)</f>
        <v>0.40074137090909095</v>
      </c>
      <c r="U1319" s="3">
        <f>(Таблица1[Количество кредитных карт]-$AA$18)/($AA$19-$AA$18)</f>
        <v>0.16666666666666666</v>
      </c>
      <c r="V1319" s="3">
        <f>(Таблица1[Число нарушений кредитных договоров]-$AA$23)/($AA$24-$AA$23)</f>
        <v>0</v>
      </c>
      <c r="W1319" s="3">
        <f>Таблица1[[#This Row],[Годовой доход]]/12</f>
        <v>41027.333333333336</v>
      </c>
      <c r="X1319" s="3">
        <f>Таблица1[[#This Row],[Ежемесячный платеж]]/Таблица1[[#This Row],[Ежем доход]]</f>
        <v>0.20699907378820626</v>
      </c>
      <c r="Y1319" s="3"/>
      <c r="Z1319" s="3"/>
      <c r="AA1319" s="3"/>
      <c r="AB1319" s="3"/>
    </row>
    <row r="1320" spans="1:28" x14ac:dyDescent="0.2">
      <c r="A1320">
        <v>1232</v>
      </c>
      <c r="B1320" t="s">
        <v>1271</v>
      </c>
      <c r="C1320" t="s">
        <v>35</v>
      </c>
      <c r="D1320" t="s">
        <v>19</v>
      </c>
      <c r="E1320" t="s">
        <v>24</v>
      </c>
      <c r="F1320" t="s">
        <v>27</v>
      </c>
      <c r="G1320" t="s">
        <v>22</v>
      </c>
      <c r="H1320" s="1">
        <v>135124</v>
      </c>
      <c r="I1320" s="3">
        <v>737</v>
      </c>
      <c r="J1320" s="3">
        <v>583509</v>
      </c>
      <c r="K1320" s="3">
        <v>11816.1</v>
      </c>
      <c r="L1320" s="2">
        <v>25.6</v>
      </c>
      <c r="M1320" s="11">
        <v>35.265240640000002</v>
      </c>
      <c r="N1320" s="3">
        <v>17</v>
      </c>
      <c r="O1320" s="3">
        <v>229444</v>
      </c>
      <c r="P1320" s="3">
        <v>326348</v>
      </c>
      <c r="Q1320" s="10">
        <v>0</v>
      </c>
      <c r="R1320" s="3">
        <f>(Таблица1[Размер кредита]-$AA$2)/$AA$3</f>
        <v>-0.99330970481263414</v>
      </c>
      <c r="S1320" s="3">
        <f>(Таблица1[Кредитный рейтинг]-$AA$7)/($AA$8-$AA$7)</f>
        <v>0.98135818908122507</v>
      </c>
      <c r="T1320" s="3">
        <f>(Таблица1[Срок с последнего нарушения кредитного договора (мес,)]-$AA$12)/($AA$13-$AA$12)</f>
        <v>0.40074137090909095</v>
      </c>
      <c r="U1320" s="3">
        <f>(Таблица1[Количество кредитных карт]-$AA$18)/($AA$19-$AA$18)</f>
        <v>0.38095238095238093</v>
      </c>
      <c r="V1320" s="3">
        <f>(Таблица1[Число нарушений кредитных договоров]-$AA$23)/($AA$24-$AA$23)</f>
        <v>0</v>
      </c>
      <c r="W1320" s="3">
        <f>Таблица1[[#This Row],[Годовой доход]]/12</f>
        <v>48625.75</v>
      </c>
      <c r="X1320" s="3">
        <f>Таблица1[[#This Row],[Ежемесячный платеж]]/Таблица1[[#This Row],[Ежем доход]]</f>
        <v>0.24300087916381755</v>
      </c>
      <c r="Y1320" s="3"/>
      <c r="Z1320" s="3"/>
      <c r="AA1320" s="3"/>
      <c r="AB1320" s="3"/>
    </row>
    <row r="1321" spans="1:28" x14ac:dyDescent="0.2">
      <c r="A1321">
        <v>1081</v>
      </c>
      <c r="B1321" t="s">
        <v>1120</v>
      </c>
      <c r="C1321" t="s">
        <v>18</v>
      </c>
      <c r="D1321" t="s">
        <v>19</v>
      </c>
      <c r="E1321" t="s">
        <v>63</v>
      </c>
      <c r="F1321" t="s">
        <v>21</v>
      </c>
      <c r="G1321" t="s">
        <v>25</v>
      </c>
      <c r="H1321" s="1">
        <v>217338</v>
      </c>
      <c r="I1321" s="3">
        <v>746</v>
      </c>
      <c r="J1321" s="3">
        <v>1595468</v>
      </c>
      <c r="K1321" s="3">
        <v>33504.6</v>
      </c>
      <c r="L1321" s="2">
        <v>12.7</v>
      </c>
      <c r="M1321" s="11">
        <v>35.265240640000002</v>
      </c>
      <c r="N1321" s="3">
        <v>11</v>
      </c>
      <c r="O1321" s="3">
        <v>104462</v>
      </c>
      <c r="P1321" s="3">
        <v>326018</v>
      </c>
      <c r="Q1321" s="10">
        <v>0</v>
      </c>
      <c r="R1321" s="3">
        <f>(Таблица1[Размер кредита]-$AA$2)/$AA$3</f>
        <v>-0.52524230866017418</v>
      </c>
      <c r="S1321" s="3">
        <f>(Таблица1[Кредитный рейтинг]-$AA$7)/($AA$8-$AA$7)</f>
        <v>0.99334221038615178</v>
      </c>
      <c r="T1321" s="3">
        <f>(Таблица1[Срок с последнего нарушения кредитного договора (мес,)]-$AA$12)/($AA$13-$AA$12)</f>
        <v>0.40074137090909095</v>
      </c>
      <c r="U1321" s="3">
        <f>(Таблица1[Количество кредитных карт]-$AA$18)/($AA$19-$AA$18)</f>
        <v>0.23809523809523808</v>
      </c>
      <c r="V1321" s="3">
        <f>(Таблица1[Число нарушений кредитных договоров]-$AA$23)/($AA$24-$AA$23)</f>
        <v>0</v>
      </c>
      <c r="W1321" s="3">
        <f>Таблица1[[#This Row],[Годовой доход]]/12</f>
        <v>132955.66666666666</v>
      </c>
      <c r="X1321" s="3">
        <f>Таблица1[[#This Row],[Ежемесячный платеж]]/Таблица1[[#This Row],[Ежем доход]]</f>
        <v>0.25199828514266659</v>
      </c>
      <c r="Y1321" s="3"/>
      <c r="Z1321" s="3"/>
      <c r="AA1321" s="3"/>
      <c r="AB1321" s="3"/>
    </row>
    <row r="1322" spans="1:28" x14ac:dyDescent="0.2">
      <c r="A1322">
        <v>613</v>
      </c>
      <c r="B1322" t="s">
        <v>654</v>
      </c>
      <c r="C1322" t="s">
        <v>35</v>
      </c>
      <c r="D1322" t="s">
        <v>19</v>
      </c>
      <c r="E1322" t="s">
        <v>24</v>
      </c>
      <c r="F1322" t="s">
        <v>21</v>
      </c>
      <c r="G1322" t="s">
        <v>25</v>
      </c>
      <c r="H1322" s="1">
        <v>655314</v>
      </c>
      <c r="I1322" s="3">
        <v>0</v>
      </c>
      <c r="J1322" s="3">
        <v>1168044</v>
      </c>
      <c r="K1322" s="3">
        <v>12937.86</v>
      </c>
      <c r="L1322" s="2">
        <v>22.1</v>
      </c>
      <c r="M1322" s="11">
        <v>35.265240640000002</v>
      </c>
      <c r="N1322" s="3">
        <v>9</v>
      </c>
      <c r="O1322" s="3">
        <v>219678</v>
      </c>
      <c r="P1322" s="3">
        <v>325270</v>
      </c>
      <c r="Q1322" s="10">
        <v>0</v>
      </c>
      <c r="R1322" s="3">
        <f>(Таблица1[Размер кредита]-$AA$2)/$AA$3</f>
        <v>1.968278088076024</v>
      </c>
      <c r="S1322" s="3">
        <f>(Таблица1[Кредитный рейтинг]-$AA$7)/($AA$8-$AA$7)</f>
        <v>0</v>
      </c>
      <c r="T1322" s="3">
        <f>(Таблица1[Срок с последнего нарушения кредитного договора (мес,)]-$AA$12)/($AA$13-$AA$12)</f>
        <v>0.40074137090909095</v>
      </c>
      <c r="U1322" s="3">
        <f>(Таблица1[Количество кредитных карт]-$AA$18)/($AA$19-$AA$18)</f>
        <v>0.19047619047619047</v>
      </c>
      <c r="V1322" s="3">
        <f>(Таблица1[Число нарушений кредитных договоров]-$AA$23)/($AA$24-$AA$23)</f>
        <v>0</v>
      </c>
      <c r="W1322" s="3">
        <f>Таблица1[[#This Row],[Годовой доход]]/12</f>
        <v>97337</v>
      </c>
      <c r="X1322" s="3">
        <f>Таблица1[[#This Row],[Ежемесячный платеж]]/Таблица1[[#This Row],[Ежем доход]]</f>
        <v>0.13291821198516496</v>
      </c>
      <c r="Y1322" s="3"/>
      <c r="Z1322" s="3"/>
      <c r="AA1322" s="3"/>
      <c r="AB1322" s="3"/>
    </row>
    <row r="1323" spans="1:28" x14ac:dyDescent="0.2">
      <c r="A1323">
        <v>1390</v>
      </c>
      <c r="B1323" t="s">
        <v>1429</v>
      </c>
      <c r="C1323" t="s">
        <v>18</v>
      </c>
      <c r="D1323" t="s">
        <v>19</v>
      </c>
      <c r="E1323" t="s">
        <v>24</v>
      </c>
      <c r="F1323" t="s">
        <v>21</v>
      </c>
      <c r="G1323" t="s">
        <v>25</v>
      </c>
      <c r="H1323" s="1">
        <v>178178</v>
      </c>
      <c r="I1323" s="3">
        <v>747</v>
      </c>
      <c r="J1323" s="3">
        <v>827127</v>
      </c>
      <c r="K1323" s="3">
        <v>4446</v>
      </c>
      <c r="L1323" s="2">
        <v>39.6</v>
      </c>
      <c r="M1323" s="11">
        <v>34</v>
      </c>
      <c r="N1323" s="3">
        <v>12</v>
      </c>
      <c r="O1323" s="3">
        <v>86070</v>
      </c>
      <c r="P1323" s="3">
        <v>324676</v>
      </c>
      <c r="Q1323" s="10">
        <v>0</v>
      </c>
      <c r="R1323" s="3">
        <f>(Таблица1[Размер кредита]-$AA$2)/$AA$3</f>
        <v>-0.74819118881842372</v>
      </c>
      <c r="S1323" s="3">
        <f>(Таблица1[Кредитный рейтинг]-$AA$7)/($AA$8-$AA$7)</f>
        <v>0.9946737683089214</v>
      </c>
      <c r="T1323" s="3">
        <f>(Таблица1[Срок с последнего нарушения кредитного договора (мес,)]-$AA$12)/($AA$13-$AA$12)</f>
        <v>0.38636363636363635</v>
      </c>
      <c r="U1323" s="3">
        <f>(Таблица1[Количество кредитных карт]-$AA$18)/($AA$19-$AA$18)</f>
        <v>0.26190476190476192</v>
      </c>
      <c r="V1323" s="3">
        <f>(Таблица1[Число нарушений кредитных договоров]-$AA$23)/($AA$24-$AA$23)</f>
        <v>0</v>
      </c>
      <c r="W1323" s="3">
        <f>Таблица1[[#This Row],[Годовой доход]]/12</f>
        <v>68927.25</v>
      </c>
      <c r="X1323" s="3">
        <f>Таблица1[[#This Row],[Ежемесячный платеж]]/Таблица1[[#This Row],[Ежем доход]]</f>
        <v>6.4502790986148445E-2</v>
      </c>
      <c r="Y1323" s="3"/>
      <c r="Z1323" s="3"/>
      <c r="AA1323" s="3"/>
      <c r="AB1323" s="3"/>
    </row>
    <row r="1324" spans="1:28" x14ac:dyDescent="0.2">
      <c r="A1324">
        <v>104</v>
      </c>
      <c r="B1324" t="s">
        <v>146</v>
      </c>
      <c r="C1324" t="s">
        <v>18</v>
      </c>
      <c r="D1324" t="s">
        <v>19</v>
      </c>
      <c r="E1324" t="s">
        <v>52</v>
      </c>
      <c r="F1324" t="s">
        <v>33</v>
      </c>
      <c r="G1324" t="s">
        <v>25</v>
      </c>
      <c r="H1324" s="1">
        <v>33022</v>
      </c>
      <c r="I1324" s="3">
        <v>723</v>
      </c>
      <c r="J1324" s="3">
        <v>1673007</v>
      </c>
      <c r="K1324" s="3">
        <v>25234.47</v>
      </c>
      <c r="L1324" s="2">
        <v>23.3</v>
      </c>
      <c r="M1324" s="11">
        <v>80</v>
      </c>
      <c r="N1324" s="3">
        <v>13</v>
      </c>
      <c r="O1324" s="3">
        <v>125609</v>
      </c>
      <c r="P1324" s="3">
        <v>323928</v>
      </c>
      <c r="Q1324" s="10">
        <v>0</v>
      </c>
      <c r="R1324" s="3">
        <f>(Таблица1[Размер кредита]-$AA$2)/$AA$3</f>
        <v>-1.5746050715623174</v>
      </c>
      <c r="S1324" s="3">
        <f>(Таблица1[Кредитный рейтинг]-$AA$7)/($AA$8-$AA$7)</f>
        <v>0.96271637816245004</v>
      </c>
      <c r="T1324" s="3">
        <f>(Таблица1[Срок с последнего нарушения кредитного договора (мес,)]-$AA$12)/($AA$13-$AA$12)</f>
        <v>0.90909090909090906</v>
      </c>
      <c r="U1324" s="3">
        <f>(Таблица1[Количество кредитных карт]-$AA$18)/($AA$19-$AA$18)</f>
        <v>0.2857142857142857</v>
      </c>
      <c r="V1324" s="3">
        <f>(Таблица1[Число нарушений кредитных договоров]-$AA$23)/($AA$24-$AA$23)</f>
        <v>0</v>
      </c>
      <c r="W1324" s="3">
        <f>Таблица1[[#This Row],[Годовой доход]]/12</f>
        <v>139417.25</v>
      </c>
      <c r="X1324" s="3">
        <f>Таблица1[[#This Row],[Ежемесячный платеж]]/Таблица1[[#This Row],[Ежем доход]]</f>
        <v>0.18099962522571633</v>
      </c>
      <c r="Y1324" s="3"/>
      <c r="Z1324" s="3"/>
      <c r="AA1324" s="3"/>
      <c r="AB1324" s="3"/>
    </row>
    <row r="1325" spans="1:28" x14ac:dyDescent="0.2">
      <c r="A1325">
        <v>1736</v>
      </c>
      <c r="B1325" t="s">
        <v>1774</v>
      </c>
      <c r="C1325" t="s">
        <v>35</v>
      </c>
      <c r="D1325" t="s">
        <v>19</v>
      </c>
      <c r="E1325" t="s">
        <v>30</v>
      </c>
      <c r="F1325" t="s">
        <v>33</v>
      </c>
      <c r="G1325" t="s">
        <v>25</v>
      </c>
      <c r="H1325" s="1">
        <v>131318</v>
      </c>
      <c r="I1325" s="3">
        <v>732</v>
      </c>
      <c r="J1325" s="3">
        <v>1361027</v>
      </c>
      <c r="K1325" s="3">
        <v>19961.59</v>
      </c>
      <c r="L1325" s="2">
        <v>30.2</v>
      </c>
      <c r="M1325" s="11">
        <v>25</v>
      </c>
      <c r="N1325" s="3">
        <v>9</v>
      </c>
      <c r="O1325" s="3">
        <v>200564</v>
      </c>
      <c r="P1325" s="3">
        <v>323906</v>
      </c>
      <c r="Q1325" s="10">
        <v>0</v>
      </c>
      <c r="R1325" s="3">
        <f>(Таблица1[Размер кредита]-$AA$2)/$AA$3</f>
        <v>-1.0149783319291381</v>
      </c>
      <c r="S1325" s="3">
        <f>(Таблица1[Кредитный рейтинг]-$AA$7)/($AA$8-$AA$7)</f>
        <v>0.97470039946737685</v>
      </c>
      <c r="T1325" s="3">
        <f>(Таблица1[Срок с последнего нарушения кредитного договора (мес,)]-$AA$12)/($AA$13-$AA$12)</f>
        <v>0.28409090909090912</v>
      </c>
      <c r="U1325" s="3">
        <f>(Таблица1[Количество кредитных карт]-$AA$18)/($AA$19-$AA$18)</f>
        <v>0.19047619047619047</v>
      </c>
      <c r="V1325" s="3">
        <f>(Таблица1[Число нарушений кредитных договоров]-$AA$23)/($AA$24-$AA$23)</f>
        <v>0</v>
      </c>
      <c r="W1325" s="3">
        <f>Таблица1[[#This Row],[Годовой доход]]/12</f>
        <v>113418.91666666667</v>
      </c>
      <c r="X1325" s="3">
        <f>Таблица1[[#This Row],[Ежемесячный платеж]]/Таблица1[[#This Row],[Ежем доход]]</f>
        <v>0.17599877151592141</v>
      </c>
      <c r="Y1325" s="3"/>
      <c r="Z1325" s="3"/>
      <c r="AA1325" s="3"/>
      <c r="AB1325" s="3"/>
    </row>
    <row r="1326" spans="1:28" x14ac:dyDescent="0.2">
      <c r="A1326">
        <v>1090</v>
      </c>
      <c r="B1326" t="s">
        <v>1129</v>
      </c>
      <c r="C1326" t="s">
        <v>18</v>
      </c>
      <c r="D1326" t="s">
        <v>19</v>
      </c>
      <c r="E1326" t="s">
        <v>37</v>
      </c>
      <c r="F1326" t="s">
        <v>21</v>
      </c>
      <c r="G1326" t="s">
        <v>25</v>
      </c>
      <c r="H1326" s="1">
        <v>309594.52439999999</v>
      </c>
      <c r="I1326" s="3">
        <v>741</v>
      </c>
      <c r="J1326" s="3">
        <v>716718</v>
      </c>
      <c r="K1326" s="3">
        <v>14573</v>
      </c>
      <c r="L1326" s="2">
        <v>11.6</v>
      </c>
      <c r="M1326" s="11">
        <v>35.265240640000002</v>
      </c>
      <c r="N1326" s="3">
        <v>7</v>
      </c>
      <c r="O1326" s="3">
        <v>115178</v>
      </c>
      <c r="P1326" s="3">
        <v>322916</v>
      </c>
      <c r="Q1326" s="10">
        <v>0</v>
      </c>
      <c r="R1326" s="3">
        <f>(Таблица1[Размер кредита]-$AA$2)/$AA$3</f>
        <v>-1.2411115481956205E-10</v>
      </c>
      <c r="S1326" s="3">
        <f>(Таблица1[Кредитный рейтинг]-$AA$7)/($AA$8-$AA$7)</f>
        <v>0.98668442077230356</v>
      </c>
      <c r="T1326" s="3">
        <f>(Таблица1[Срок с последнего нарушения кредитного договора (мес,)]-$AA$12)/($AA$13-$AA$12)</f>
        <v>0.40074137090909095</v>
      </c>
      <c r="U1326" s="3">
        <f>(Таблица1[Количество кредитных карт]-$AA$18)/($AA$19-$AA$18)</f>
        <v>0.14285714285714285</v>
      </c>
      <c r="V1326" s="3">
        <f>(Таблица1[Число нарушений кредитных договоров]-$AA$23)/($AA$24-$AA$23)</f>
        <v>0</v>
      </c>
      <c r="W1326" s="3">
        <f>Таблица1[[#This Row],[Годовой доход]]/12</f>
        <v>59726.5</v>
      </c>
      <c r="X1326" s="3">
        <f>Таблица1[[#This Row],[Ежемесячный платеж]]/Таблица1[[#This Row],[Ежем доход]]</f>
        <v>0.24399554636551615</v>
      </c>
      <c r="Y1326" s="3"/>
      <c r="Z1326" s="3"/>
      <c r="AA1326" s="3"/>
      <c r="AB1326" s="3"/>
    </row>
    <row r="1327" spans="1:28" x14ac:dyDescent="0.2">
      <c r="A1327">
        <v>376</v>
      </c>
      <c r="B1327" t="s">
        <v>418</v>
      </c>
      <c r="C1327" t="s">
        <v>18</v>
      </c>
      <c r="D1327" t="s">
        <v>19</v>
      </c>
      <c r="E1327" t="s">
        <v>24</v>
      </c>
      <c r="F1327" t="s">
        <v>33</v>
      </c>
      <c r="G1327" t="s">
        <v>98</v>
      </c>
      <c r="H1327" s="1">
        <v>76340</v>
      </c>
      <c r="I1327" s="3">
        <v>0</v>
      </c>
      <c r="J1327" s="3">
        <v>1168044</v>
      </c>
      <c r="K1327" s="3">
        <v>472.15</v>
      </c>
      <c r="L1327" s="2">
        <v>23.6</v>
      </c>
      <c r="M1327" s="11">
        <v>35.265240640000002</v>
      </c>
      <c r="N1327" s="3">
        <v>6</v>
      </c>
      <c r="O1327" s="3">
        <v>15333</v>
      </c>
      <c r="P1327" s="3">
        <v>322806</v>
      </c>
      <c r="Q1327" s="10">
        <v>1</v>
      </c>
      <c r="R1327" s="3">
        <f>(Таблица1[Размер кредита]-$AA$2)/$AA$3</f>
        <v>-1.3279835294097369</v>
      </c>
      <c r="S1327" s="3">
        <f>(Таблица1[Кредитный рейтинг]-$AA$7)/($AA$8-$AA$7)</f>
        <v>0</v>
      </c>
      <c r="T1327" s="3">
        <f>(Таблица1[Срок с последнего нарушения кредитного договора (мес,)]-$AA$12)/($AA$13-$AA$12)</f>
        <v>0.40074137090909095</v>
      </c>
      <c r="U1327" s="3">
        <f>(Таблица1[Количество кредитных карт]-$AA$18)/($AA$19-$AA$18)</f>
        <v>0.11904761904761904</v>
      </c>
      <c r="V1327" s="3">
        <f>(Таблица1[Число нарушений кредитных договоров]-$AA$23)/($AA$24-$AA$23)</f>
        <v>0.14285714285714285</v>
      </c>
      <c r="W1327" s="3">
        <f>Таблица1[[#This Row],[Годовой доход]]/12</f>
        <v>97337</v>
      </c>
      <c r="X1327" s="3">
        <f>Таблица1[[#This Row],[Ежемесячный платеж]]/Таблица1[[#This Row],[Ежем доход]]</f>
        <v>4.8506734335350375E-3</v>
      </c>
      <c r="Y1327" s="3"/>
      <c r="Z1327" s="3"/>
      <c r="AA1327" s="3"/>
      <c r="AB1327" s="3"/>
    </row>
    <row r="1328" spans="1:28" x14ac:dyDescent="0.2">
      <c r="A1328">
        <v>785</v>
      </c>
      <c r="B1328" t="s">
        <v>826</v>
      </c>
      <c r="C1328" t="s">
        <v>18</v>
      </c>
      <c r="D1328" t="s">
        <v>19</v>
      </c>
      <c r="E1328" t="s">
        <v>41</v>
      </c>
      <c r="F1328" t="s">
        <v>33</v>
      </c>
      <c r="G1328" t="s">
        <v>25</v>
      </c>
      <c r="H1328" s="1">
        <v>309594.52439999999</v>
      </c>
      <c r="I1328" s="3">
        <v>745</v>
      </c>
      <c r="J1328" s="3">
        <v>681226</v>
      </c>
      <c r="K1328" s="3">
        <v>8095.33</v>
      </c>
      <c r="L1328" s="2">
        <v>12.7</v>
      </c>
      <c r="M1328" s="11">
        <v>35.265240640000002</v>
      </c>
      <c r="N1328" s="3">
        <v>9</v>
      </c>
      <c r="O1328" s="3">
        <v>173812</v>
      </c>
      <c r="P1328" s="3">
        <v>322520</v>
      </c>
      <c r="Q1328" s="10">
        <v>0</v>
      </c>
      <c r="R1328" s="3">
        <f>(Таблица1[Размер кредита]-$AA$2)/$AA$3</f>
        <v>-1.2411115481956205E-10</v>
      </c>
      <c r="S1328" s="3">
        <f>(Таблица1[Кредитный рейтинг]-$AA$7)/($AA$8-$AA$7)</f>
        <v>0.99201065246338216</v>
      </c>
      <c r="T1328" s="3">
        <f>(Таблица1[Срок с последнего нарушения кредитного договора (мес,)]-$AA$12)/($AA$13-$AA$12)</f>
        <v>0.40074137090909095</v>
      </c>
      <c r="U1328" s="3">
        <f>(Таблица1[Количество кредитных карт]-$AA$18)/($AA$19-$AA$18)</f>
        <v>0.19047619047619047</v>
      </c>
      <c r="V1328" s="3">
        <f>(Таблица1[Число нарушений кредитных договоров]-$AA$23)/($AA$24-$AA$23)</f>
        <v>0</v>
      </c>
      <c r="W1328" s="3">
        <f>Таблица1[[#This Row],[Годовой доход]]/12</f>
        <v>56768.833333333336</v>
      </c>
      <c r="X1328" s="3">
        <f>Таблица1[[#This Row],[Ежемесячный платеж]]/Таблица1[[#This Row],[Ежем доход]]</f>
        <v>0.14260166229709376</v>
      </c>
      <c r="Y1328" s="3"/>
      <c r="Z1328" s="3"/>
      <c r="AA1328" s="3"/>
      <c r="AB1328" s="3"/>
    </row>
    <row r="1329" spans="1:28" x14ac:dyDescent="0.2">
      <c r="A1329">
        <v>1911</v>
      </c>
      <c r="B1329" t="s">
        <v>1947</v>
      </c>
      <c r="C1329" t="s">
        <v>18</v>
      </c>
      <c r="D1329" t="s">
        <v>19</v>
      </c>
      <c r="E1329" t="s">
        <v>63</v>
      </c>
      <c r="F1329" t="s">
        <v>33</v>
      </c>
      <c r="G1329" t="s">
        <v>75</v>
      </c>
      <c r="H1329" s="1">
        <v>159962</v>
      </c>
      <c r="I1329" s="3">
        <v>747</v>
      </c>
      <c r="J1329" s="3">
        <v>690764</v>
      </c>
      <c r="K1329" s="3">
        <v>8001.47</v>
      </c>
      <c r="L1329" s="2">
        <v>17.2</v>
      </c>
      <c r="M1329" s="11">
        <v>35.265240640000002</v>
      </c>
      <c r="N1329" s="3">
        <v>7</v>
      </c>
      <c r="O1329" s="3">
        <v>232940</v>
      </c>
      <c r="P1329" s="3">
        <v>322256</v>
      </c>
      <c r="Q1329" s="10">
        <v>0</v>
      </c>
      <c r="R1329" s="3">
        <f>(Таблица1[Размер кредита]-$AA$2)/$AA$3</f>
        <v>-0.85189999374596914</v>
      </c>
      <c r="S1329" s="3">
        <f>(Таблица1[Кредитный рейтинг]-$AA$7)/($AA$8-$AA$7)</f>
        <v>0.9946737683089214</v>
      </c>
      <c r="T1329" s="3">
        <f>(Таблица1[Срок с последнего нарушения кредитного договора (мес,)]-$AA$12)/($AA$13-$AA$12)</f>
        <v>0.40074137090909095</v>
      </c>
      <c r="U1329" s="3">
        <f>(Таблица1[Количество кредитных карт]-$AA$18)/($AA$19-$AA$18)</f>
        <v>0.14285714285714285</v>
      </c>
      <c r="V1329" s="3">
        <f>(Таблица1[Число нарушений кредитных договоров]-$AA$23)/($AA$24-$AA$23)</f>
        <v>0</v>
      </c>
      <c r="W1329" s="3">
        <f>Таблица1[[#This Row],[Годовой доход]]/12</f>
        <v>57563.666666666664</v>
      </c>
      <c r="X1329" s="3">
        <f>Таблица1[[#This Row],[Ежемесячный платеж]]/Таблица1[[#This Row],[Ежем доход]]</f>
        <v>0.1390020904389922</v>
      </c>
      <c r="Y1329" s="3"/>
      <c r="Z1329" s="3"/>
      <c r="AA1329" s="3"/>
      <c r="AB1329" s="3"/>
    </row>
    <row r="1330" spans="1:28" x14ac:dyDescent="0.2">
      <c r="A1330">
        <v>836</v>
      </c>
      <c r="B1330" t="s">
        <v>877</v>
      </c>
      <c r="C1330" t="s">
        <v>18</v>
      </c>
      <c r="D1330" t="s">
        <v>19</v>
      </c>
      <c r="E1330" t="s">
        <v>24</v>
      </c>
      <c r="F1330" t="s">
        <v>21</v>
      </c>
      <c r="G1330" t="s">
        <v>25</v>
      </c>
      <c r="H1330" s="1">
        <v>402578</v>
      </c>
      <c r="I1330" s="3">
        <v>0</v>
      </c>
      <c r="J1330" s="3">
        <v>1168044</v>
      </c>
      <c r="K1330" s="3">
        <v>5097.32</v>
      </c>
      <c r="L1330" s="2">
        <v>16.3</v>
      </c>
      <c r="M1330" s="11">
        <v>18</v>
      </c>
      <c r="N1330" s="3">
        <v>8</v>
      </c>
      <c r="O1330" s="3">
        <v>211964</v>
      </c>
      <c r="P1330" s="3">
        <v>322102</v>
      </c>
      <c r="Q1330" s="10">
        <v>0</v>
      </c>
      <c r="R1330" s="3">
        <f>(Таблица1[Размер кредита]-$AA$2)/$AA$3</f>
        <v>0.52938104579626488</v>
      </c>
      <c r="S1330" s="3">
        <f>(Таблица1[Кредитный рейтинг]-$AA$7)/($AA$8-$AA$7)</f>
        <v>0</v>
      </c>
      <c r="T1330" s="3">
        <f>(Таблица1[Срок с последнего нарушения кредитного договора (мес,)]-$AA$12)/($AA$13-$AA$12)</f>
        <v>0.20454545454545456</v>
      </c>
      <c r="U1330" s="3">
        <f>(Таблица1[Количество кредитных карт]-$AA$18)/($AA$19-$AA$18)</f>
        <v>0.16666666666666666</v>
      </c>
      <c r="V1330" s="3">
        <f>(Таблица1[Число нарушений кредитных договоров]-$AA$23)/($AA$24-$AA$23)</f>
        <v>0</v>
      </c>
      <c r="W1330" s="3">
        <f>Таблица1[[#This Row],[Годовой доход]]/12</f>
        <v>97337</v>
      </c>
      <c r="X1330" s="3">
        <f>Таблица1[[#This Row],[Ежемесячный платеж]]/Таблица1[[#This Row],[Ежем доход]]</f>
        <v>5.2367753269568607E-2</v>
      </c>
      <c r="Y1330" s="3"/>
      <c r="Z1330" s="3"/>
      <c r="AA1330" s="3"/>
      <c r="AB1330" s="3"/>
    </row>
    <row r="1331" spans="1:28" x14ac:dyDescent="0.2">
      <c r="A1331">
        <v>1955</v>
      </c>
      <c r="B1331" t="s">
        <v>1991</v>
      </c>
      <c r="C1331" t="s">
        <v>18</v>
      </c>
      <c r="D1331" t="s">
        <v>19</v>
      </c>
      <c r="E1331" t="s">
        <v>20</v>
      </c>
      <c r="F1331" t="s">
        <v>33</v>
      </c>
      <c r="G1331" t="s">
        <v>25</v>
      </c>
      <c r="H1331" s="1">
        <v>467940</v>
      </c>
      <c r="I1331" s="3">
        <v>725</v>
      </c>
      <c r="J1331" s="3">
        <v>1010325</v>
      </c>
      <c r="K1331" s="3">
        <v>6524.98</v>
      </c>
      <c r="L1331" s="2">
        <v>18</v>
      </c>
      <c r="M1331" s="11">
        <v>36</v>
      </c>
      <c r="N1331" s="3">
        <v>5</v>
      </c>
      <c r="O1331" s="3">
        <v>214871</v>
      </c>
      <c r="P1331" s="3">
        <v>321860</v>
      </c>
      <c r="Q1331" s="10">
        <v>0</v>
      </c>
      <c r="R1331" s="3">
        <f>(Таблица1[Размер кредита]-$AA$2)/$AA$3</f>
        <v>0.901505272172759</v>
      </c>
      <c r="S1331" s="3">
        <f>(Таблица1[Кредитный рейтинг]-$AA$7)/($AA$8-$AA$7)</f>
        <v>0.96537949400798939</v>
      </c>
      <c r="T1331" s="3">
        <f>(Таблица1[Срок с последнего нарушения кредитного договора (мес,)]-$AA$12)/($AA$13-$AA$12)</f>
        <v>0.40909090909090912</v>
      </c>
      <c r="U1331" s="3">
        <f>(Таблица1[Количество кредитных карт]-$AA$18)/($AA$19-$AA$18)</f>
        <v>9.5238095238095233E-2</v>
      </c>
      <c r="V1331" s="3">
        <f>(Таблица1[Число нарушений кредитных договоров]-$AA$23)/($AA$24-$AA$23)</f>
        <v>0</v>
      </c>
      <c r="W1331" s="3">
        <f>Таблица1[[#This Row],[Годовой доход]]/12</f>
        <v>84193.75</v>
      </c>
      <c r="X1331" s="3">
        <f>Таблица1[[#This Row],[Ежемесячный платеж]]/Таблица1[[#This Row],[Ежем доход]]</f>
        <v>7.7499576868829329E-2</v>
      </c>
      <c r="Y1331" s="3"/>
      <c r="Z1331" s="3"/>
      <c r="AA1331" s="3"/>
      <c r="AB1331" s="3"/>
    </row>
    <row r="1332" spans="1:28" x14ac:dyDescent="0.2">
      <c r="A1332">
        <v>867</v>
      </c>
      <c r="B1332" t="s">
        <v>908</v>
      </c>
      <c r="C1332" t="s">
        <v>18</v>
      </c>
      <c r="D1332" t="s">
        <v>19</v>
      </c>
      <c r="E1332" t="s">
        <v>52</v>
      </c>
      <c r="F1332" t="s">
        <v>21</v>
      </c>
      <c r="G1332" t="s">
        <v>25</v>
      </c>
      <c r="H1332" s="1">
        <v>221826</v>
      </c>
      <c r="I1332" s="3">
        <v>0</v>
      </c>
      <c r="J1332" s="3">
        <v>1168044</v>
      </c>
      <c r="K1332" s="3">
        <v>15042.11</v>
      </c>
      <c r="L1332" s="2">
        <v>21.2</v>
      </c>
      <c r="M1332" s="11">
        <v>55</v>
      </c>
      <c r="N1332" s="3">
        <v>13</v>
      </c>
      <c r="O1332" s="3">
        <v>224808</v>
      </c>
      <c r="P1332" s="3">
        <v>321772</v>
      </c>
      <c r="Q1332" s="10">
        <v>0</v>
      </c>
      <c r="R1332" s="3">
        <f>(Таблица1[Размер кредита]-$AA$2)/$AA$3</f>
        <v>-0.49969086396788043</v>
      </c>
      <c r="S1332" s="3">
        <f>(Таблица1[Кредитный рейтинг]-$AA$7)/($AA$8-$AA$7)</f>
        <v>0</v>
      </c>
      <c r="T1332" s="3">
        <f>(Таблица1[Срок с последнего нарушения кредитного договора (мес,)]-$AA$12)/($AA$13-$AA$12)</f>
        <v>0.625</v>
      </c>
      <c r="U1332" s="3">
        <f>(Таблица1[Количество кредитных карт]-$AA$18)/($AA$19-$AA$18)</f>
        <v>0.2857142857142857</v>
      </c>
      <c r="V1332" s="3">
        <f>(Таблица1[Число нарушений кредитных договоров]-$AA$23)/($AA$24-$AA$23)</f>
        <v>0</v>
      </c>
      <c r="W1332" s="3">
        <f>Таблица1[[#This Row],[Годовой доход]]/12</f>
        <v>97337</v>
      </c>
      <c r="X1332" s="3">
        <f>Таблица1[[#This Row],[Ежемесячный платеж]]/Таблица1[[#This Row],[Ежем доход]]</f>
        <v>0.15453640445051728</v>
      </c>
      <c r="Y1332" s="3"/>
      <c r="Z1332" s="3"/>
      <c r="AA1332" s="3"/>
      <c r="AB1332" s="3"/>
    </row>
    <row r="1333" spans="1:28" x14ac:dyDescent="0.2">
      <c r="A1333">
        <v>1593</v>
      </c>
      <c r="B1333" t="s">
        <v>1632</v>
      </c>
      <c r="C1333" t="s">
        <v>18</v>
      </c>
      <c r="D1333" t="s">
        <v>19</v>
      </c>
      <c r="E1333" t="s">
        <v>24</v>
      </c>
      <c r="F1333" t="s">
        <v>27</v>
      </c>
      <c r="G1333" t="s">
        <v>25</v>
      </c>
      <c r="H1333" s="1">
        <v>189244</v>
      </c>
      <c r="I1333" s="3">
        <v>645</v>
      </c>
      <c r="J1333" s="3">
        <v>482125</v>
      </c>
      <c r="K1333" s="3">
        <v>6106.98</v>
      </c>
      <c r="L1333" s="2">
        <v>15.2</v>
      </c>
      <c r="M1333" s="11">
        <v>35.265240640000002</v>
      </c>
      <c r="N1333" s="3">
        <v>11</v>
      </c>
      <c r="O1333" s="3">
        <v>92416</v>
      </c>
      <c r="P1333" s="3">
        <v>321332</v>
      </c>
      <c r="Q1333" s="10">
        <v>1</v>
      </c>
      <c r="R1333" s="3">
        <f>(Таблица1[Размер кредита]-$AA$2)/$AA$3</f>
        <v>-0.68518934234673867</v>
      </c>
      <c r="S1333" s="3">
        <f>(Таблица1[Кредитный рейтинг]-$AA$7)/($AA$8-$AA$7)</f>
        <v>0.8588548601864181</v>
      </c>
      <c r="T1333" s="3">
        <f>(Таблица1[Срок с последнего нарушения кредитного договора (мес,)]-$AA$12)/($AA$13-$AA$12)</f>
        <v>0.40074137090909095</v>
      </c>
      <c r="U1333" s="3">
        <f>(Таблица1[Количество кредитных карт]-$AA$18)/($AA$19-$AA$18)</f>
        <v>0.23809523809523808</v>
      </c>
      <c r="V1333" s="3">
        <f>(Таблица1[Число нарушений кредитных договоров]-$AA$23)/($AA$24-$AA$23)</f>
        <v>0.14285714285714285</v>
      </c>
      <c r="W1333" s="3">
        <f>Таблица1[[#This Row],[Годовой доход]]/12</f>
        <v>40177.083333333336</v>
      </c>
      <c r="X1333" s="3">
        <f>Таблица1[[#This Row],[Ежемесячный платеж]]/Таблица1[[#This Row],[Ежем доход]]</f>
        <v>0.15200157635467978</v>
      </c>
      <c r="Y1333" s="3"/>
      <c r="Z1333" s="3"/>
      <c r="AA1333" s="3"/>
      <c r="AB1333" s="3"/>
    </row>
    <row r="1334" spans="1:28" x14ac:dyDescent="0.2">
      <c r="A1334">
        <v>492</v>
      </c>
      <c r="B1334" t="s">
        <v>533</v>
      </c>
      <c r="C1334" t="s">
        <v>18</v>
      </c>
      <c r="D1334" t="s">
        <v>19</v>
      </c>
      <c r="E1334" t="s">
        <v>20</v>
      </c>
      <c r="F1334" t="s">
        <v>27</v>
      </c>
      <c r="G1334" t="s">
        <v>25</v>
      </c>
      <c r="H1334" s="1">
        <v>448932</v>
      </c>
      <c r="I1334" s="3">
        <v>738</v>
      </c>
      <c r="J1334" s="3">
        <v>1473317</v>
      </c>
      <c r="K1334" s="3">
        <v>17557.14</v>
      </c>
      <c r="L1334" s="2">
        <v>14.7</v>
      </c>
      <c r="M1334" s="11">
        <v>25</v>
      </c>
      <c r="N1334" s="3">
        <v>10</v>
      </c>
      <c r="O1334" s="3">
        <v>160569</v>
      </c>
      <c r="P1334" s="3">
        <v>321112</v>
      </c>
      <c r="Q1334" s="10">
        <v>0</v>
      </c>
      <c r="R1334" s="3">
        <f>(Таблица1[Размер кредита]-$AA$2)/$AA$3</f>
        <v>0.79328738877010307</v>
      </c>
      <c r="S1334" s="3">
        <f>(Таблица1[Кредитный рейтинг]-$AA$7)/($AA$8-$AA$7)</f>
        <v>0.9826897470039947</v>
      </c>
      <c r="T1334" s="3">
        <f>(Таблица1[Срок с последнего нарушения кредитного договора (мес,)]-$AA$12)/($AA$13-$AA$12)</f>
        <v>0.28409090909090912</v>
      </c>
      <c r="U1334" s="3">
        <f>(Таблица1[Количество кредитных карт]-$AA$18)/($AA$19-$AA$18)</f>
        <v>0.21428571428571427</v>
      </c>
      <c r="V1334" s="3">
        <f>(Таблица1[Число нарушений кредитных договоров]-$AA$23)/($AA$24-$AA$23)</f>
        <v>0</v>
      </c>
      <c r="W1334" s="3">
        <f>Таблица1[[#This Row],[Годовой доход]]/12</f>
        <v>122776.41666666667</v>
      </c>
      <c r="X1334" s="3">
        <f>Таблица1[[#This Row],[Ежемесячный платеж]]/Таблица1[[#This Row],[Ежем доход]]</f>
        <v>0.14300091562101028</v>
      </c>
      <c r="Y1334" s="3"/>
      <c r="Z1334" s="3"/>
      <c r="AA1334" s="3"/>
      <c r="AB1334" s="3"/>
    </row>
    <row r="1335" spans="1:28" x14ac:dyDescent="0.2">
      <c r="A1335">
        <v>1020</v>
      </c>
      <c r="B1335" t="s">
        <v>1059</v>
      </c>
      <c r="C1335" t="s">
        <v>18</v>
      </c>
      <c r="D1335" t="s">
        <v>19</v>
      </c>
      <c r="E1335" t="s">
        <v>32</v>
      </c>
      <c r="F1335" t="s">
        <v>33</v>
      </c>
      <c r="G1335" t="s">
        <v>25</v>
      </c>
      <c r="H1335" s="1">
        <v>132550</v>
      </c>
      <c r="I1335" s="3">
        <v>654</v>
      </c>
      <c r="J1335" s="3">
        <v>622478</v>
      </c>
      <c r="K1335" s="3">
        <v>14213.14</v>
      </c>
      <c r="L1335" s="2">
        <v>15.6</v>
      </c>
      <c r="M1335" s="11">
        <v>19</v>
      </c>
      <c r="N1335" s="3">
        <v>14</v>
      </c>
      <c r="O1335" s="3">
        <v>178391</v>
      </c>
      <c r="P1335" s="3">
        <v>320760</v>
      </c>
      <c r="Q1335" s="10">
        <v>1</v>
      </c>
      <c r="R1335" s="3">
        <f>(Таблица1[Размер кредита]-$AA$2)/$AA$3</f>
        <v>-1.0079642098567438</v>
      </c>
      <c r="S1335" s="3">
        <f>(Таблица1[Кредитный рейтинг]-$AA$7)/($AA$8-$AA$7)</f>
        <v>0.87083888149134492</v>
      </c>
      <c r="T1335" s="3">
        <f>(Таблица1[Срок с последнего нарушения кредитного договора (мес,)]-$AA$12)/($AA$13-$AA$12)</f>
        <v>0.21590909090909091</v>
      </c>
      <c r="U1335" s="3">
        <f>(Таблица1[Количество кредитных карт]-$AA$18)/($AA$19-$AA$18)</f>
        <v>0.30952380952380953</v>
      </c>
      <c r="V1335" s="3">
        <f>(Таблица1[Число нарушений кредитных договоров]-$AA$23)/($AA$24-$AA$23)</f>
        <v>0.14285714285714285</v>
      </c>
      <c r="W1335" s="3">
        <f>Таблица1[[#This Row],[Годовой доход]]/12</f>
        <v>51873.166666666664</v>
      </c>
      <c r="X1335" s="3">
        <f>Таблица1[[#This Row],[Ежемесячный платеж]]/Таблица1[[#This Row],[Ежем доход]]</f>
        <v>0.27399792442463833</v>
      </c>
      <c r="Y1335" s="3"/>
      <c r="Z1335" s="3"/>
      <c r="AA1335" s="3"/>
      <c r="AB1335" s="3"/>
    </row>
    <row r="1336" spans="1:28" x14ac:dyDescent="0.2">
      <c r="A1336">
        <v>119</v>
      </c>
      <c r="B1336" t="s">
        <v>161</v>
      </c>
      <c r="C1336" t="s">
        <v>35</v>
      </c>
      <c r="D1336" t="s">
        <v>29</v>
      </c>
      <c r="E1336" t="s">
        <v>41</v>
      </c>
      <c r="F1336" t="s">
        <v>33</v>
      </c>
      <c r="G1336" t="s">
        <v>25</v>
      </c>
      <c r="H1336" s="1">
        <v>509586</v>
      </c>
      <c r="I1336" s="3">
        <v>678</v>
      </c>
      <c r="J1336" s="3">
        <v>1816001</v>
      </c>
      <c r="K1336" s="3">
        <v>26180.67</v>
      </c>
      <c r="L1336" s="2">
        <v>13.9</v>
      </c>
      <c r="M1336" s="11">
        <v>74</v>
      </c>
      <c r="N1336" s="3">
        <v>32</v>
      </c>
      <c r="O1336" s="3">
        <v>115672</v>
      </c>
      <c r="P1336" s="3">
        <v>319638</v>
      </c>
      <c r="Q1336" s="10">
        <v>1</v>
      </c>
      <c r="R1336" s="3">
        <f>(Таблица1[Размер кредита]-$AA$2)/$AA$3</f>
        <v>1.1386076486556616</v>
      </c>
      <c r="S1336" s="3">
        <f>(Таблица1[Кредитный рейтинг]-$AA$7)/($AA$8-$AA$7)</f>
        <v>0.90279627163781628</v>
      </c>
      <c r="T1336" s="3">
        <f>(Таблица1[Срок с последнего нарушения кредитного договора (мес,)]-$AA$12)/($AA$13-$AA$12)</f>
        <v>0.84090909090909094</v>
      </c>
      <c r="U1336" s="3">
        <f>(Таблица1[Количество кредитных карт]-$AA$18)/($AA$19-$AA$18)</f>
        <v>0.73809523809523814</v>
      </c>
      <c r="V1336" s="3">
        <f>(Таблица1[Число нарушений кредитных договоров]-$AA$23)/($AA$24-$AA$23)</f>
        <v>0.14285714285714285</v>
      </c>
      <c r="W1336" s="3">
        <f>Таблица1[[#This Row],[Годовой доход]]/12</f>
        <v>151333.41666666666</v>
      </c>
      <c r="X1336" s="3">
        <f>Таблица1[[#This Row],[Ежемесячный платеж]]/Таблица1[[#This Row],[Ежем доход]]</f>
        <v>0.17299992676215487</v>
      </c>
      <c r="Y1336" s="3"/>
      <c r="Z1336" s="3"/>
      <c r="AA1336" s="3"/>
      <c r="AB1336" s="3"/>
    </row>
    <row r="1337" spans="1:28" x14ac:dyDescent="0.2">
      <c r="A1337">
        <v>1940</v>
      </c>
      <c r="B1337" t="s">
        <v>1976</v>
      </c>
      <c r="C1337" t="s">
        <v>18</v>
      </c>
      <c r="D1337" t="s">
        <v>19</v>
      </c>
      <c r="E1337" t="s">
        <v>24</v>
      </c>
      <c r="F1337" t="s">
        <v>33</v>
      </c>
      <c r="G1337" t="s">
        <v>25</v>
      </c>
      <c r="H1337" s="1">
        <v>172744</v>
      </c>
      <c r="I1337" s="3">
        <v>725</v>
      </c>
      <c r="J1337" s="3">
        <v>1398647</v>
      </c>
      <c r="K1337" s="3">
        <v>6119.14</v>
      </c>
      <c r="L1337" s="2">
        <v>16.3</v>
      </c>
      <c r="M1337" s="11">
        <v>5</v>
      </c>
      <c r="N1337" s="3">
        <v>4</v>
      </c>
      <c r="O1337" s="3">
        <v>149625</v>
      </c>
      <c r="P1337" s="3">
        <v>319638</v>
      </c>
      <c r="Q1337" s="10">
        <v>0</v>
      </c>
      <c r="R1337" s="3">
        <f>(Таблица1[Размер кредита]-$AA$2)/$AA$3</f>
        <v>-0.77912847724487755</v>
      </c>
      <c r="S1337" s="3">
        <f>(Таблица1[Кредитный рейтинг]-$AA$7)/($AA$8-$AA$7)</f>
        <v>0.96537949400798939</v>
      </c>
      <c r="T1337" s="3">
        <f>(Таблица1[Срок с последнего нарушения кредитного договора (мес,)]-$AA$12)/($AA$13-$AA$12)</f>
        <v>5.6818181818181816E-2</v>
      </c>
      <c r="U1337" s="3">
        <f>(Таблица1[Количество кредитных карт]-$AA$18)/($AA$19-$AA$18)</f>
        <v>7.1428571428571425E-2</v>
      </c>
      <c r="V1337" s="3">
        <f>(Таблица1[Число нарушений кредитных договоров]-$AA$23)/($AA$24-$AA$23)</f>
        <v>0</v>
      </c>
      <c r="W1337" s="3">
        <f>Таблица1[[#This Row],[Годовой доход]]/12</f>
        <v>116553.91666666667</v>
      </c>
      <c r="X1337" s="3">
        <f>Таблица1[[#This Row],[Ежемесячный платеж]]/Таблица1[[#This Row],[Ежем доход]]</f>
        <v>5.250050942089033E-2</v>
      </c>
      <c r="Y1337" s="3"/>
      <c r="Z1337" s="3"/>
      <c r="AA1337" s="3"/>
      <c r="AB1337" s="3"/>
    </row>
    <row r="1338" spans="1:28" x14ac:dyDescent="0.2">
      <c r="A1338">
        <v>1432</v>
      </c>
      <c r="B1338" t="s">
        <v>1471</v>
      </c>
      <c r="C1338" t="s">
        <v>18</v>
      </c>
      <c r="D1338" t="s">
        <v>19</v>
      </c>
      <c r="E1338" t="s">
        <v>24</v>
      </c>
      <c r="F1338" t="s">
        <v>33</v>
      </c>
      <c r="G1338" t="s">
        <v>25</v>
      </c>
      <c r="H1338" s="1">
        <v>267806</v>
      </c>
      <c r="I1338" s="3">
        <v>692</v>
      </c>
      <c r="J1338" s="3">
        <v>1060048</v>
      </c>
      <c r="K1338" s="3">
        <v>10688.83</v>
      </c>
      <c r="L1338" s="2">
        <v>18.5</v>
      </c>
      <c r="M1338" s="11">
        <v>24</v>
      </c>
      <c r="N1338" s="3">
        <v>9</v>
      </c>
      <c r="O1338" s="3">
        <v>243428</v>
      </c>
      <c r="P1338" s="3">
        <v>319220</v>
      </c>
      <c r="Q1338" s="10">
        <v>1</v>
      </c>
      <c r="R1338" s="3">
        <f>(Таблица1[Размер кредита]-$AA$2)/$AA$3</f>
        <v>-0.23791380805173343</v>
      </c>
      <c r="S1338" s="3">
        <f>(Таблица1[Кредитный рейтинг]-$AA$7)/($AA$8-$AA$7)</f>
        <v>0.92143808255659121</v>
      </c>
      <c r="T1338" s="3">
        <f>(Таблица1[Срок с последнего нарушения кредитного договора (мес,)]-$AA$12)/($AA$13-$AA$12)</f>
        <v>0.27272727272727271</v>
      </c>
      <c r="U1338" s="3">
        <f>(Таблица1[Количество кредитных карт]-$AA$18)/($AA$19-$AA$18)</f>
        <v>0.19047619047619047</v>
      </c>
      <c r="V1338" s="3">
        <f>(Таблица1[Число нарушений кредитных договоров]-$AA$23)/($AA$24-$AA$23)</f>
        <v>0.14285714285714285</v>
      </c>
      <c r="W1338" s="3">
        <f>Таблица1[[#This Row],[Годовой доход]]/12</f>
        <v>88337.333333333328</v>
      </c>
      <c r="X1338" s="3">
        <f>Таблица1[[#This Row],[Ежемесячный платеж]]/Таблица1[[#This Row],[Ежем доход]]</f>
        <v>0.12100014338973331</v>
      </c>
      <c r="Y1338" s="3"/>
      <c r="Z1338" s="3"/>
      <c r="AA1338" s="3"/>
      <c r="AB1338" s="3"/>
    </row>
    <row r="1339" spans="1:28" x14ac:dyDescent="0.2">
      <c r="A1339">
        <v>1030</v>
      </c>
      <c r="B1339" t="s">
        <v>1069</v>
      </c>
      <c r="C1339" t="s">
        <v>18</v>
      </c>
      <c r="D1339" t="s">
        <v>19</v>
      </c>
      <c r="E1339" t="s">
        <v>30</v>
      </c>
      <c r="F1339" t="s">
        <v>33</v>
      </c>
      <c r="G1339" t="s">
        <v>25</v>
      </c>
      <c r="H1339" s="1">
        <v>150744</v>
      </c>
      <c r="I1339" s="3">
        <v>0</v>
      </c>
      <c r="J1339" s="3">
        <v>1168044</v>
      </c>
      <c r="K1339" s="3">
        <v>17297.22</v>
      </c>
      <c r="L1339" s="2">
        <v>14.5</v>
      </c>
      <c r="M1339" s="11">
        <v>76</v>
      </c>
      <c r="N1339" s="3">
        <v>9</v>
      </c>
      <c r="O1339" s="3">
        <v>171893</v>
      </c>
      <c r="P1339" s="3">
        <v>318956</v>
      </c>
      <c r="Q1339" s="10">
        <v>0</v>
      </c>
      <c r="R1339" s="3">
        <f>(Таблица1[Размер кредита]-$AA$2)/$AA$3</f>
        <v>-0.90438065710906268</v>
      </c>
      <c r="S1339" s="3">
        <f>(Таблица1[Кредитный рейтинг]-$AA$7)/($AA$8-$AA$7)</f>
        <v>0</v>
      </c>
      <c r="T1339" s="3">
        <f>(Таблица1[Срок с последнего нарушения кредитного договора (мес,)]-$AA$12)/($AA$13-$AA$12)</f>
        <v>0.86363636363636365</v>
      </c>
      <c r="U1339" s="3">
        <f>(Таблица1[Количество кредитных карт]-$AA$18)/($AA$19-$AA$18)</f>
        <v>0.19047619047619047</v>
      </c>
      <c r="V1339" s="3">
        <f>(Таблица1[Число нарушений кредитных договоров]-$AA$23)/($AA$24-$AA$23)</f>
        <v>0</v>
      </c>
      <c r="W1339" s="3">
        <f>Таблица1[[#This Row],[Годовой доход]]/12</f>
        <v>97337</v>
      </c>
      <c r="X1339" s="3">
        <f>Таблица1[[#This Row],[Ежемесячный платеж]]/Таблица1[[#This Row],[Ежем доход]]</f>
        <v>0.17770447003708767</v>
      </c>
      <c r="Y1339" s="3"/>
      <c r="Z1339" s="3"/>
      <c r="AA1339" s="3"/>
      <c r="AB1339" s="3"/>
    </row>
    <row r="1340" spans="1:28" x14ac:dyDescent="0.2">
      <c r="A1340">
        <v>1040</v>
      </c>
      <c r="B1340" t="s">
        <v>1079</v>
      </c>
      <c r="C1340" t="s">
        <v>18</v>
      </c>
      <c r="D1340" t="s">
        <v>19</v>
      </c>
      <c r="E1340" t="s">
        <v>30</v>
      </c>
      <c r="F1340" t="s">
        <v>33</v>
      </c>
      <c r="G1340" t="s">
        <v>25</v>
      </c>
      <c r="H1340" s="1">
        <v>215468</v>
      </c>
      <c r="I1340" s="3">
        <v>0</v>
      </c>
      <c r="J1340" s="3">
        <v>1168044</v>
      </c>
      <c r="K1340" s="3">
        <v>19353.02</v>
      </c>
      <c r="L1340" s="2">
        <v>14.5</v>
      </c>
      <c r="M1340" s="11">
        <v>35.265240640000002</v>
      </c>
      <c r="N1340" s="3">
        <v>10</v>
      </c>
      <c r="O1340" s="3">
        <v>235334</v>
      </c>
      <c r="P1340" s="3">
        <v>318714</v>
      </c>
      <c r="Q1340" s="10">
        <v>0</v>
      </c>
      <c r="R1340" s="3">
        <f>(Таблица1[Размер кредита]-$AA$2)/$AA$3</f>
        <v>-0.53588874394862995</v>
      </c>
      <c r="S1340" s="3">
        <f>(Таблица1[Кредитный рейтинг]-$AA$7)/($AA$8-$AA$7)</f>
        <v>0</v>
      </c>
      <c r="T1340" s="3">
        <f>(Таблица1[Срок с последнего нарушения кредитного договора (мес,)]-$AA$12)/($AA$13-$AA$12)</f>
        <v>0.40074137090909095</v>
      </c>
      <c r="U1340" s="3">
        <f>(Таблица1[Количество кредитных карт]-$AA$18)/($AA$19-$AA$18)</f>
        <v>0.21428571428571427</v>
      </c>
      <c r="V1340" s="3">
        <f>(Таблица1[Число нарушений кредитных договоров]-$AA$23)/($AA$24-$AA$23)</f>
        <v>0</v>
      </c>
      <c r="W1340" s="3">
        <f>Таблица1[[#This Row],[Годовой доход]]/12</f>
        <v>97337</v>
      </c>
      <c r="X1340" s="3">
        <f>Таблица1[[#This Row],[Ежемесячный платеж]]/Таблица1[[#This Row],[Ежем доход]]</f>
        <v>0.19882490728089011</v>
      </c>
      <c r="Y1340" s="3"/>
      <c r="Z1340" s="3"/>
      <c r="AA1340" s="3"/>
      <c r="AB1340" s="3"/>
    </row>
    <row r="1341" spans="1:28" x14ac:dyDescent="0.2">
      <c r="A1341">
        <v>1980</v>
      </c>
      <c r="B1341" t="s">
        <v>2016</v>
      </c>
      <c r="C1341" t="s">
        <v>18</v>
      </c>
      <c r="D1341" t="s">
        <v>19</v>
      </c>
      <c r="E1341" t="s">
        <v>30</v>
      </c>
      <c r="F1341" t="s">
        <v>33</v>
      </c>
      <c r="G1341" t="s">
        <v>67</v>
      </c>
      <c r="H1341" s="1">
        <v>130064</v>
      </c>
      <c r="I1341" s="3">
        <v>736</v>
      </c>
      <c r="J1341" s="3">
        <v>936035</v>
      </c>
      <c r="K1341" s="3">
        <v>8658.2999999999993</v>
      </c>
      <c r="L1341" s="2">
        <v>16</v>
      </c>
      <c r="M1341" s="11">
        <v>35.265240640000002</v>
      </c>
      <c r="N1341" s="3">
        <v>9</v>
      </c>
      <c r="O1341" s="3">
        <v>140106</v>
      </c>
      <c r="P1341" s="3">
        <v>318714</v>
      </c>
      <c r="Q1341" s="10">
        <v>0</v>
      </c>
      <c r="R1341" s="3">
        <f>(Таблица1[Размер кредита]-$AA$2)/$AA$3</f>
        <v>-1.0221177061813966</v>
      </c>
      <c r="S1341" s="3">
        <f>(Таблица1[Кредитный рейтинг]-$AA$7)/($AA$8-$AA$7)</f>
        <v>0.98002663115845534</v>
      </c>
      <c r="T1341" s="3">
        <f>(Таблица1[Срок с последнего нарушения кредитного договора (мес,)]-$AA$12)/($AA$13-$AA$12)</f>
        <v>0.40074137090909095</v>
      </c>
      <c r="U1341" s="3">
        <f>(Таблица1[Количество кредитных карт]-$AA$18)/($AA$19-$AA$18)</f>
        <v>0.19047619047619047</v>
      </c>
      <c r="V1341" s="3">
        <f>(Таблица1[Число нарушений кредитных договоров]-$AA$23)/($AA$24-$AA$23)</f>
        <v>0</v>
      </c>
      <c r="W1341" s="3">
        <f>Таблица1[[#This Row],[Годовой доход]]/12</f>
        <v>78002.916666666672</v>
      </c>
      <c r="X1341" s="3">
        <f>Таблица1[[#This Row],[Ежемесячный платеж]]/Таблица1[[#This Row],[Ежем доход]]</f>
        <v>0.11099969552420581</v>
      </c>
      <c r="Y1341" s="3"/>
      <c r="Z1341" s="3"/>
      <c r="AA1341" s="3"/>
      <c r="AB1341" s="3"/>
    </row>
    <row r="1342" spans="1:28" x14ac:dyDescent="0.2">
      <c r="A1342">
        <v>1273</v>
      </c>
      <c r="B1342" t="s">
        <v>1312</v>
      </c>
      <c r="C1342" t="s">
        <v>18</v>
      </c>
      <c r="D1342" t="s">
        <v>19</v>
      </c>
      <c r="E1342" t="s">
        <v>52</v>
      </c>
      <c r="F1342" t="s">
        <v>21</v>
      </c>
      <c r="G1342" t="s">
        <v>67</v>
      </c>
      <c r="H1342" s="1">
        <v>43626</v>
      </c>
      <c r="I1342" s="3">
        <v>696</v>
      </c>
      <c r="J1342" s="3">
        <v>1676465</v>
      </c>
      <c r="K1342" s="3">
        <v>19418.95</v>
      </c>
      <c r="L1342" s="2">
        <v>11.3</v>
      </c>
      <c r="M1342" s="11">
        <v>35.265240640000002</v>
      </c>
      <c r="N1342" s="3">
        <v>12</v>
      </c>
      <c r="O1342" s="3">
        <v>212553</v>
      </c>
      <c r="P1342" s="3">
        <v>318384</v>
      </c>
      <c r="Q1342" s="10">
        <v>0</v>
      </c>
      <c r="R1342" s="3">
        <f>(Таблица1[Размер кредита]-$AA$2)/$AA$3</f>
        <v>-1.5142335208677802</v>
      </c>
      <c r="S1342" s="3">
        <f>(Таблица1[Кредитный рейтинг]-$AA$7)/($AA$8-$AA$7)</f>
        <v>0.92676431424766981</v>
      </c>
      <c r="T1342" s="3">
        <f>(Таблица1[Срок с последнего нарушения кредитного договора (мес,)]-$AA$12)/($AA$13-$AA$12)</f>
        <v>0.40074137090909095</v>
      </c>
      <c r="U1342" s="3">
        <f>(Таблица1[Количество кредитных карт]-$AA$18)/($AA$19-$AA$18)</f>
        <v>0.26190476190476192</v>
      </c>
      <c r="V1342" s="3">
        <f>(Таблица1[Число нарушений кредитных договоров]-$AA$23)/($AA$24-$AA$23)</f>
        <v>0</v>
      </c>
      <c r="W1342" s="3">
        <f>Таблица1[[#This Row],[Годовой доход]]/12</f>
        <v>139705.41666666666</v>
      </c>
      <c r="X1342" s="3">
        <f>Таблица1[[#This Row],[Ежемесячный платеж]]/Таблица1[[#This Row],[Ежем доход]]</f>
        <v>0.13899926333087778</v>
      </c>
      <c r="Y1342" s="3"/>
      <c r="Z1342" s="3"/>
      <c r="AA1342" s="3"/>
      <c r="AB1342" s="3"/>
    </row>
    <row r="1343" spans="1:28" x14ac:dyDescent="0.2">
      <c r="A1343">
        <v>1543</v>
      </c>
      <c r="B1343" t="s">
        <v>1582</v>
      </c>
      <c r="C1343" t="s">
        <v>35</v>
      </c>
      <c r="D1343" t="s">
        <v>29</v>
      </c>
      <c r="E1343" t="s">
        <v>47</v>
      </c>
      <c r="F1343" t="s">
        <v>33</v>
      </c>
      <c r="G1343" t="s">
        <v>25</v>
      </c>
      <c r="H1343" s="1">
        <v>365178</v>
      </c>
      <c r="I1343" s="3">
        <v>714</v>
      </c>
      <c r="J1343" s="3">
        <v>788614</v>
      </c>
      <c r="K1343" s="3">
        <v>10514.79</v>
      </c>
      <c r="L1343" s="2">
        <v>19.3</v>
      </c>
      <c r="M1343" s="11">
        <v>35.265240640000002</v>
      </c>
      <c r="N1343" s="3">
        <v>8</v>
      </c>
      <c r="O1343" s="3">
        <v>242991</v>
      </c>
      <c r="P1343" s="3">
        <v>318296</v>
      </c>
      <c r="Q1343" s="10">
        <v>0</v>
      </c>
      <c r="R1343" s="3">
        <f>(Таблица1[Размер кредита]-$AA$2)/$AA$3</f>
        <v>0.31645234002715011</v>
      </c>
      <c r="S1343" s="3">
        <f>(Таблица1[Кредитный рейтинг]-$AA$7)/($AA$8-$AA$7)</f>
        <v>0.95073235685752333</v>
      </c>
      <c r="T1343" s="3">
        <f>(Таблица1[Срок с последнего нарушения кредитного договора (мес,)]-$AA$12)/($AA$13-$AA$12)</f>
        <v>0.40074137090909095</v>
      </c>
      <c r="U1343" s="3">
        <f>(Таблица1[Количество кредитных карт]-$AA$18)/($AA$19-$AA$18)</f>
        <v>0.16666666666666666</v>
      </c>
      <c r="V1343" s="3">
        <f>(Таблица1[Число нарушений кредитных договоров]-$AA$23)/($AA$24-$AA$23)</f>
        <v>0</v>
      </c>
      <c r="W1343" s="3">
        <f>Таблица1[[#This Row],[Годовой доход]]/12</f>
        <v>65717.833333333328</v>
      </c>
      <c r="X1343" s="3">
        <f>Таблица1[[#This Row],[Ежемесячный платеж]]/Таблица1[[#This Row],[Ежем доход]]</f>
        <v>0.15999903628391079</v>
      </c>
      <c r="Y1343" s="3"/>
      <c r="Z1343" s="3"/>
      <c r="AA1343" s="3"/>
      <c r="AB1343" s="3"/>
    </row>
    <row r="1344" spans="1:28" x14ac:dyDescent="0.2">
      <c r="A1344">
        <v>1598</v>
      </c>
      <c r="B1344" t="s">
        <v>1637</v>
      </c>
      <c r="C1344" t="s">
        <v>18</v>
      </c>
      <c r="D1344" t="s">
        <v>19</v>
      </c>
      <c r="E1344" t="s">
        <v>24</v>
      </c>
      <c r="F1344" t="s">
        <v>21</v>
      </c>
      <c r="G1344" t="s">
        <v>25</v>
      </c>
      <c r="H1344" s="1">
        <v>187726</v>
      </c>
      <c r="I1344" s="3">
        <v>725</v>
      </c>
      <c r="J1344" s="3">
        <v>694811</v>
      </c>
      <c r="K1344" s="3">
        <v>16964.91</v>
      </c>
      <c r="L1344" s="2">
        <v>22.5</v>
      </c>
      <c r="M1344" s="11">
        <v>35.265240640000002</v>
      </c>
      <c r="N1344" s="3">
        <v>12</v>
      </c>
      <c r="O1344" s="3">
        <v>184186</v>
      </c>
      <c r="P1344" s="3">
        <v>318296</v>
      </c>
      <c r="Q1344" s="10">
        <v>1</v>
      </c>
      <c r="R1344" s="3">
        <f>(Таблица1[Размер кредита]-$AA$2)/$AA$3</f>
        <v>-0.69383174275736736</v>
      </c>
      <c r="S1344" s="3">
        <f>(Таблица1[Кредитный рейтинг]-$AA$7)/($AA$8-$AA$7)</f>
        <v>0.96537949400798939</v>
      </c>
      <c r="T1344" s="3">
        <f>(Таблица1[Срок с последнего нарушения кредитного договора (мес,)]-$AA$12)/($AA$13-$AA$12)</f>
        <v>0.40074137090909095</v>
      </c>
      <c r="U1344" s="3">
        <f>(Таблица1[Количество кредитных карт]-$AA$18)/($AA$19-$AA$18)</f>
        <v>0.26190476190476192</v>
      </c>
      <c r="V1344" s="3">
        <f>(Таблица1[Число нарушений кредитных договоров]-$AA$23)/($AA$24-$AA$23)</f>
        <v>0.14285714285714285</v>
      </c>
      <c r="W1344" s="3">
        <f>Таблица1[[#This Row],[Годовой доход]]/12</f>
        <v>57900.916666666664</v>
      </c>
      <c r="X1344" s="3">
        <f>Таблица1[[#This Row],[Ежемесячный платеж]]/Таблица1[[#This Row],[Ежем доход]]</f>
        <v>0.29299898821406112</v>
      </c>
      <c r="Y1344" s="3"/>
      <c r="Z1344" s="3"/>
      <c r="AA1344" s="3"/>
      <c r="AB1344" s="3"/>
    </row>
    <row r="1345" spans="1:28" x14ac:dyDescent="0.2">
      <c r="A1345">
        <v>352</v>
      </c>
      <c r="B1345" t="s">
        <v>394</v>
      </c>
      <c r="C1345" t="s">
        <v>18</v>
      </c>
      <c r="D1345" t="s">
        <v>19</v>
      </c>
      <c r="E1345" t="s">
        <v>24</v>
      </c>
      <c r="F1345" t="s">
        <v>33</v>
      </c>
      <c r="G1345" t="s">
        <v>75</v>
      </c>
      <c r="H1345" s="1">
        <v>163482</v>
      </c>
      <c r="I1345" s="3">
        <v>711</v>
      </c>
      <c r="J1345" s="3">
        <v>564756</v>
      </c>
      <c r="K1345" s="3">
        <v>6447.65</v>
      </c>
      <c r="L1345" s="2">
        <v>12.4</v>
      </c>
      <c r="M1345" s="11">
        <v>35.265240640000002</v>
      </c>
      <c r="N1345" s="3">
        <v>9</v>
      </c>
      <c r="O1345" s="3">
        <v>216809</v>
      </c>
      <c r="P1345" s="3">
        <v>318186</v>
      </c>
      <c r="Q1345" s="10">
        <v>0</v>
      </c>
      <c r="R1345" s="3">
        <f>(Таблица1[Размер кредита]-$AA$2)/$AA$3</f>
        <v>-0.83185964496769949</v>
      </c>
      <c r="S1345" s="3">
        <f>(Таблица1[Кредитный рейтинг]-$AA$7)/($AA$8-$AA$7)</f>
        <v>0.94673768308921435</v>
      </c>
      <c r="T1345" s="3">
        <f>(Таблица1[Срок с последнего нарушения кредитного договора (мес,)]-$AA$12)/($AA$13-$AA$12)</f>
        <v>0.40074137090909095</v>
      </c>
      <c r="U1345" s="3">
        <f>(Таблица1[Количество кредитных карт]-$AA$18)/($AA$19-$AA$18)</f>
        <v>0.19047619047619047</v>
      </c>
      <c r="V1345" s="3">
        <f>(Таблица1[Число нарушений кредитных договоров]-$AA$23)/($AA$24-$AA$23)</f>
        <v>0</v>
      </c>
      <c r="W1345" s="3">
        <f>Таблица1[[#This Row],[Годовой доход]]/12</f>
        <v>47063</v>
      </c>
      <c r="X1345" s="3">
        <f>Таблица1[[#This Row],[Ежемесячный платеж]]/Таблица1[[#This Row],[Ежем доход]]</f>
        <v>0.13700040371417035</v>
      </c>
      <c r="Y1345" s="3"/>
      <c r="Z1345" s="3"/>
      <c r="AA1345" s="3"/>
      <c r="AB1345" s="3"/>
    </row>
    <row r="1346" spans="1:28" x14ac:dyDescent="0.2">
      <c r="A1346">
        <v>594</v>
      </c>
      <c r="B1346" t="s">
        <v>635</v>
      </c>
      <c r="C1346" t="s">
        <v>18</v>
      </c>
      <c r="D1346" t="s">
        <v>29</v>
      </c>
      <c r="E1346" t="s">
        <v>24</v>
      </c>
      <c r="F1346" t="s">
        <v>21</v>
      </c>
      <c r="G1346" t="s">
        <v>22</v>
      </c>
      <c r="H1346" s="1">
        <v>429440</v>
      </c>
      <c r="I1346" s="3">
        <v>674</v>
      </c>
      <c r="J1346" s="3">
        <v>1383599</v>
      </c>
      <c r="K1346" s="3">
        <v>11760.62</v>
      </c>
      <c r="L1346" s="2">
        <v>33.5</v>
      </c>
      <c r="M1346" s="11">
        <v>49</v>
      </c>
      <c r="N1346" s="3">
        <v>9</v>
      </c>
      <c r="O1346" s="3">
        <v>206853</v>
      </c>
      <c r="P1346" s="3">
        <v>318076</v>
      </c>
      <c r="Q1346" s="10">
        <v>0</v>
      </c>
      <c r="R1346" s="3">
        <f>(Таблица1[Размер кредита]-$AA$2)/$AA$3</f>
        <v>0.68231395741043499</v>
      </c>
      <c r="S1346" s="3">
        <f>(Таблица1[Кредитный рейтинг]-$AA$7)/($AA$8-$AA$7)</f>
        <v>0.89747003994673769</v>
      </c>
      <c r="T1346" s="3">
        <f>(Таблица1[Срок с последнего нарушения кредитного договора (мес,)]-$AA$12)/($AA$13-$AA$12)</f>
        <v>0.55681818181818177</v>
      </c>
      <c r="U1346" s="3">
        <f>(Таблица1[Количество кредитных карт]-$AA$18)/($AA$19-$AA$18)</f>
        <v>0.19047619047619047</v>
      </c>
      <c r="V1346" s="3">
        <f>(Таблица1[Число нарушений кредитных договоров]-$AA$23)/($AA$24-$AA$23)</f>
        <v>0</v>
      </c>
      <c r="W1346" s="3">
        <f>Таблица1[[#This Row],[Годовой доход]]/12</f>
        <v>115299.91666666667</v>
      </c>
      <c r="X1346" s="3">
        <f>Таблица1[[#This Row],[Ежемесячный платеж]]/Таблица1[[#This Row],[Ежем доход]]</f>
        <v>0.10200024718144492</v>
      </c>
      <c r="Y1346" s="3"/>
      <c r="Z1346" s="3"/>
      <c r="AA1346" s="3"/>
      <c r="AB1346" s="3"/>
    </row>
    <row r="1347" spans="1:28" x14ac:dyDescent="0.2">
      <c r="A1347">
        <v>208</v>
      </c>
      <c r="B1347" t="s">
        <v>250</v>
      </c>
      <c r="C1347" t="s">
        <v>18</v>
      </c>
      <c r="D1347" t="s">
        <v>19</v>
      </c>
      <c r="E1347" t="s">
        <v>41</v>
      </c>
      <c r="F1347" t="s">
        <v>33</v>
      </c>
      <c r="G1347" t="s">
        <v>25</v>
      </c>
      <c r="H1347" s="1">
        <v>79398</v>
      </c>
      <c r="I1347" s="3">
        <v>718</v>
      </c>
      <c r="J1347" s="3">
        <v>761824</v>
      </c>
      <c r="K1347" s="3">
        <v>13459.03</v>
      </c>
      <c r="L1347" s="2">
        <v>15.5</v>
      </c>
      <c r="M1347" s="11">
        <v>35.265240640000002</v>
      </c>
      <c r="N1347" s="3">
        <v>13</v>
      </c>
      <c r="O1347" s="3">
        <v>159315</v>
      </c>
      <c r="P1347" s="3">
        <v>317526</v>
      </c>
      <c r="Q1347" s="10">
        <v>0</v>
      </c>
      <c r="R1347" s="3">
        <f>(Таблица1[Размер кредита]-$AA$2)/$AA$3</f>
        <v>-1.3105734764086152</v>
      </c>
      <c r="S1347" s="3">
        <f>(Таблица1[Кредитный рейтинг]-$AA$7)/($AA$8-$AA$7)</f>
        <v>0.95605858854860182</v>
      </c>
      <c r="T1347" s="3">
        <f>(Таблица1[Срок с последнего нарушения кредитного договора (мес,)]-$AA$12)/($AA$13-$AA$12)</f>
        <v>0.40074137090909095</v>
      </c>
      <c r="U1347" s="3">
        <f>(Таблица1[Количество кредитных карт]-$AA$18)/($AA$19-$AA$18)</f>
        <v>0.2857142857142857</v>
      </c>
      <c r="V1347" s="3">
        <f>(Таблица1[Число нарушений кредитных договоров]-$AA$23)/($AA$24-$AA$23)</f>
        <v>0</v>
      </c>
      <c r="W1347" s="3">
        <f>Таблица1[[#This Row],[Годовой доход]]/12</f>
        <v>63485.333333333336</v>
      </c>
      <c r="X1347" s="3">
        <f>Таблица1[[#This Row],[Ежемесячный платеж]]/Таблица1[[#This Row],[Ежем доход]]</f>
        <v>0.21200219473264167</v>
      </c>
      <c r="Y1347" s="3"/>
      <c r="Z1347" s="3"/>
      <c r="AA1347" s="3"/>
      <c r="AB1347" s="3"/>
    </row>
    <row r="1348" spans="1:28" x14ac:dyDescent="0.2">
      <c r="A1348">
        <v>1323</v>
      </c>
      <c r="B1348" t="s">
        <v>1362</v>
      </c>
      <c r="C1348" t="s">
        <v>18</v>
      </c>
      <c r="D1348" t="s">
        <v>19</v>
      </c>
      <c r="E1348" t="s">
        <v>24</v>
      </c>
      <c r="F1348" t="s">
        <v>33</v>
      </c>
      <c r="G1348" t="s">
        <v>25</v>
      </c>
      <c r="H1348" s="1">
        <v>303050</v>
      </c>
      <c r="I1348" s="3">
        <v>0</v>
      </c>
      <c r="J1348" s="3">
        <v>1168044</v>
      </c>
      <c r="K1348" s="3">
        <v>18487</v>
      </c>
      <c r="L1348" s="2">
        <v>18.7</v>
      </c>
      <c r="M1348" s="11">
        <v>35.265240640000002</v>
      </c>
      <c r="N1348" s="3">
        <v>7</v>
      </c>
      <c r="O1348" s="3">
        <v>192375</v>
      </c>
      <c r="P1348" s="3">
        <v>317306</v>
      </c>
      <c r="Q1348" s="10">
        <v>0</v>
      </c>
      <c r="R1348" s="3">
        <f>(Таблица1[Размер кредита]-$AA$2)/$AA$3</f>
        <v>-3.7259815909308783E-2</v>
      </c>
      <c r="S1348" s="3">
        <f>(Таблица1[Кредитный рейтинг]-$AA$7)/($AA$8-$AA$7)</f>
        <v>0</v>
      </c>
      <c r="T1348" s="3">
        <f>(Таблица1[Срок с последнего нарушения кредитного договора (мес,)]-$AA$12)/($AA$13-$AA$12)</f>
        <v>0.40074137090909095</v>
      </c>
      <c r="U1348" s="3">
        <f>(Таблица1[Количество кредитных карт]-$AA$18)/($AA$19-$AA$18)</f>
        <v>0.14285714285714285</v>
      </c>
      <c r="V1348" s="3">
        <f>(Таблица1[Число нарушений кредитных договоров]-$AA$23)/($AA$24-$AA$23)</f>
        <v>0</v>
      </c>
      <c r="W1348" s="3">
        <f>Таблица1[[#This Row],[Годовой доход]]/12</f>
        <v>97337</v>
      </c>
      <c r="X1348" s="3">
        <f>Таблица1[[#This Row],[Ежемесячный платеж]]/Таблица1[[#This Row],[Ежем доход]]</f>
        <v>0.18992777669334374</v>
      </c>
      <c r="Y1348" s="3"/>
      <c r="Z1348" s="3"/>
      <c r="AA1348" s="3"/>
      <c r="AB1348" s="3"/>
    </row>
    <row r="1349" spans="1:28" x14ac:dyDescent="0.2">
      <c r="A1349">
        <v>203</v>
      </c>
      <c r="B1349" t="s">
        <v>245</v>
      </c>
      <c r="C1349" t="s">
        <v>18</v>
      </c>
      <c r="D1349" t="s">
        <v>19</v>
      </c>
      <c r="E1349" t="s">
        <v>32</v>
      </c>
      <c r="F1349" t="s">
        <v>21</v>
      </c>
      <c r="G1349" t="s">
        <v>25</v>
      </c>
      <c r="H1349" s="1">
        <v>150458</v>
      </c>
      <c r="I1349" s="3">
        <v>737</v>
      </c>
      <c r="J1349" s="3">
        <v>1330513</v>
      </c>
      <c r="K1349" s="3">
        <v>4446.1899999999996</v>
      </c>
      <c r="L1349" s="2">
        <v>13.9</v>
      </c>
      <c r="M1349" s="11">
        <v>35.265240640000002</v>
      </c>
      <c r="N1349" s="3">
        <v>13</v>
      </c>
      <c r="O1349" s="3">
        <v>129827</v>
      </c>
      <c r="P1349" s="3">
        <v>316492</v>
      </c>
      <c r="Q1349" s="10">
        <v>0</v>
      </c>
      <c r="R1349" s="3">
        <f>(Таблица1[Размер кредита]-$AA$2)/$AA$3</f>
        <v>-0.9060089354472971</v>
      </c>
      <c r="S1349" s="3">
        <f>(Таблица1[Кредитный рейтинг]-$AA$7)/($AA$8-$AA$7)</f>
        <v>0.98135818908122507</v>
      </c>
      <c r="T1349" s="3">
        <f>(Таблица1[Срок с последнего нарушения кредитного договора (мес,)]-$AA$12)/($AA$13-$AA$12)</f>
        <v>0.40074137090909095</v>
      </c>
      <c r="U1349" s="3">
        <f>(Таблица1[Количество кредитных карт]-$AA$18)/($AA$19-$AA$18)</f>
        <v>0.2857142857142857</v>
      </c>
      <c r="V1349" s="3">
        <f>(Таблица1[Число нарушений кредитных договоров]-$AA$23)/($AA$24-$AA$23)</f>
        <v>0</v>
      </c>
      <c r="W1349" s="3">
        <f>Таблица1[[#This Row],[Годовой доход]]/12</f>
        <v>110876.08333333333</v>
      </c>
      <c r="X1349" s="3">
        <f>Таблица1[[#This Row],[Ежемесячный платеж]]/Таблица1[[#This Row],[Ежем доход]]</f>
        <v>4.0100532651691487E-2</v>
      </c>
      <c r="Y1349" s="3"/>
      <c r="Z1349" s="3"/>
      <c r="AA1349" s="3"/>
      <c r="AB1349" s="3"/>
    </row>
    <row r="1350" spans="1:28" x14ac:dyDescent="0.2">
      <c r="A1350">
        <v>1630</v>
      </c>
      <c r="B1350" t="s">
        <v>1668</v>
      </c>
      <c r="C1350" t="s">
        <v>18</v>
      </c>
      <c r="D1350" t="s">
        <v>29</v>
      </c>
      <c r="E1350" t="s">
        <v>32</v>
      </c>
      <c r="F1350" t="s">
        <v>27</v>
      </c>
      <c r="G1350" t="s">
        <v>25</v>
      </c>
      <c r="H1350" s="1">
        <v>334158</v>
      </c>
      <c r="I1350" s="3">
        <v>674</v>
      </c>
      <c r="J1350" s="3">
        <v>1074013</v>
      </c>
      <c r="K1350" s="3">
        <v>9003.91</v>
      </c>
      <c r="L1350" s="2">
        <v>10.7</v>
      </c>
      <c r="M1350" s="11">
        <v>35.265240640000002</v>
      </c>
      <c r="N1350" s="3">
        <v>11</v>
      </c>
      <c r="O1350" s="3">
        <v>261155</v>
      </c>
      <c r="P1350" s="3">
        <v>316316</v>
      </c>
      <c r="Q1350" s="10">
        <v>0</v>
      </c>
      <c r="R1350" s="3">
        <f>(Таблица1[Размер кредита]-$AA$2)/$AA$3</f>
        <v>0.13984676641864904</v>
      </c>
      <c r="S1350" s="3">
        <f>(Таблица1[Кредитный рейтинг]-$AA$7)/($AA$8-$AA$7)</f>
        <v>0.89747003994673769</v>
      </c>
      <c r="T1350" s="3">
        <f>(Таблица1[Срок с последнего нарушения кредитного договора (мес,)]-$AA$12)/($AA$13-$AA$12)</f>
        <v>0.40074137090909095</v>
      </c>
      <c r="U1350" s="3">
        <f>(Таблица1[Количество кредитных карт]-$AA$18)/($AA$19-$AA$18)</f>
        <v>0.23809523809523808</v>
      </c>
      <c r="V1350" s="3">
        <f>(Таблица1[Число нарушений кредитных договоров]-$AA$23)/($AA$24-$AA$23)</f>
        <v>0</v>
      </c>
      <c r="W1350" s="3">
        <f>Таблица1[[#This Row],[Годовой доход]]/12</f>
        <v>89501.083333333328</v>
      </c>
      <c r="X1350" s="3">
        <f>Таблица1[[#This Row],[Ежемесячный платеж]]/Таблица1[[#This Row],[Ежем доход]]</f>
        <v>0.10060112866417818</v>
      </c>
      <c r="Y1350" s="3"/>
      <c r="Z1350" s="3"/>
      <c r="AA1350" s="3"/>
      <c r="AB1350" s="3"/>
    </row>
    <row r="1351" spans="1:28" x14ac:dyDescent="0.2">
      <c r="A1351">
        <v>633</v>
      </c>
      <c r="B1351" t="s">
        <v>674</v>
      </c>
      <c r="C1351" t="s">
        <v>18</v>
      </c>
      <c r="D1351" t="s">
        <v>19</v>
      </c>
      <c r="E1351" t="s">
        <v>50</v>
      </c>
      <c r="F1351" t="s">
        <v>21</v>
      </c>
      <c r="G1351" t="s">
        <v>25</v>
      </c>
      <c r="H1351" s="1">
        <v>309594.52439999999</v>
      </c>
      <c r="I1351" s="3">
        <v>748</v>
      </c>
      <c r="J1351" s="3">
        <v>1022333</v>
      </c>
      <c r="K1351" s="3">
        <v>18146.330000000002</v>
      </c>
      <c r="L1351" s="2">
        <v>9</v>
      </c>
      <c r="M1351" s="11">
        <v>35.265240640000002</v>
      </c>
      <c r="N1351" s="3">
        <v>9</v>
      </c>
      <c r="O1351" s="3">
        <v>168777</v>
      </c>
      <c r="P1351" s="3">
        <v>316228</v>
      </c>
      <c r="Q1351" s="10">
        <v>0</v>
      </c>
      <c r="R1351" s="3">
        <f>(Таблица1[Размер кредита]-$AA$2)/$AA$3</f>
        <v>-1.2411115481956205E-10</v>
      </c>
      <c r="S1351" s="3">
        <f>(Таблица1[Кредитный рейтинг]-$AA$7)/($AA$8-$AA$7)</f>
        <v>0.99600532623169102</v>
      </c>
      <c r="T1351" s="3">
        <f>(Таблица1[Срок с последнего нарушения кредитного договора (мес,)]-$AA$12)/($AA$13-$AA$12)</f>
        <v>0.40074137090909095</v>
      </c>
      <c r="U1351" s="3">
        <f>(Таблица1[Количество кредитных карт]-$AA$18)/($AA$19-$AA$18)</f>
        <v>0.19047619047619047</v>
      </c>
      <c r="V1351" s="3">
        <f>(Таблица1[Число нарушений кредитных договоров]-$AA$23)/($AA$24-$AA$23)</f>
        <v>0</v>
      </c>
      <c r="W1351" s="3">
        <f>Таблица1[[#This Row],[Годовой доход]]/12</f>
        <v>85194.416666666672</v>
      </c>
      <c r="X1351" s="3">
        <f>Таблица1[[#This Row],[Ежемесячный платеж]]/Таблица1[[#This Row],[Ежем доход]]</f>
        <v>0.21299905216793355</v>
      </c>
      <c r="Y1351" s="3"/>
      <c r="Z1351" s="3"/>
      <c r="AA1351" s="3"/>
      <c r="AB1351" s="3"/>
    </row>
    <row r="1352" spans="1:28" x14ac:dyDescent="0.2">
      <c r="A1352">
        <v>1188</v>
      </c>
      <c r="B1352" t="s">
        <v>1227</v>
      </c>
      <c r="C1352" t="s">
        <v>35</v>
      </c>
      <c r="D1352" t="s">
        <v>19</v>
      </c>
      <c r="E1352" t="s">
        <v>30</v>
      </c>
      <c r="F1352" t="s">
        <v>33</v>
      </c>
      <c r="G1352" t="s">
        <v>25</v>
      </c>
      <c r="H1352" s="1">
        <v>279488</v>
      </c>
      <c r="I1352" s="3">
        <v>700</v>
      </c>
      <c r="J1352" s="3">
        <v>626373</v>
      </c>
      <c r="K1352" s="3">
        <v>6837.91</v>
      </c>
      <c r="L1352" s="2">
        <v>12.1</v>
      </c>
      <c r="M1352" s="11">
        <v>60</v>
      </c>
      <c r="N1352" s="3">
        <v>9</v>
      </c>
      <c r="O1352" s="3">
        <v>235239</v>
      </c>
      <c r="P1352" s="3">
        <v>315986</v>
      </c>
      <c r="Q1352" s="10">
        <v>0</v>
      </c>
      <c r="R1352" s="3">
        <f>(Таблица1[Размер кредита]-$AA$2)/$AA$3</f>
        <v>-0.1714049005438511</v>
      </c>
      <c r="S1352" s="3">
        <f>(Таблица1[Кредитный рейтинг]-$AA$7)/($AA$8-$AA$7)</f>
        <v>0.93209054593874829</v>
      </c>
      <c r="T1352" s="3">
        <f>(Таблица1[Срок с последнего нарушения кредитного договора (мес,)]-$AA$12)/($AA$13-$AA$12)</f>
        <v>0.68181818181818177</v>
      </c>
      <c r="U1352" s="3">
        <f>(Таблица1[Количество кредитных карт]-$AA$18)/($AA$19-$AA$18)</f>
        <v>0.19047619047619047</v>
      </c>
      <c r="V1352" s="3">
        <f>(Таблица1[Число нарушений кредитных договоров]-$AA$23)/($AA$24-$AA$23)</f>
        <v>0</v>
      </c>
      <c r="W1352" s="3">
        <f>Таблица1[[#This Row],[Годовой доход]]/12</f>
        <v>52197.75</v>
      </c>
      <c r="X1352" s="3">
        <f>Таблица1[[#This Row],[Ежемесячный платеж]]/Таблица1[[#This Row],[Ежем доход]]</f>
        <v>0.131000091000091</v>
      </c>
      <c r="Y1352" s="3"/>
      <c r="Z1352" s="3"/>
      <c r="AA1352" s="3"/>
      <c r="AB1352" s="3"/>
    </row>
    <row r="1353" spans="1:28" x14ac:dyDescent="0.2">
      <c r="A1353">
        <v>1028</v>
      </c>
      <c r="B1353" t="s">
        <v>1067</v>
      </c>
      <c r="C1353" t="s">
        <v>35</v>
      </c>
      <c r="D1353" t="s">
        <v>19</v>
      </c>
      <c r="E1353" t="s">
        <v>37</v>
      </c>
      <c r="F1353" t="s">
        <v>33</v>
      </c>
      <c r="G1353" t="s">
        <v>25</v>
      </c>
      <c r="H1353" s="1">
        <v>108834</v>
      </c>
      <c r="I1353" s="3">
        <v>0</v>
      </c>
      <c r="J1353" s="3">
        <v>1168044</v>
      </c>
      <c r="K1353" s="3">
        <v>13392.72</v>
      </c>
      <c r="L1353" s="2">
        <v>16</v>
      </c>
      <c r="M1353" s="11">
        <v>35.265240640000002</v>
      </c>
      <c r="N1353" s="3">
        <v>10</v>
      </c>
      <c r="O1353" s="3">
        <v>224428</v>
      </c>
      <c r="P1353" s="3">
        <v>315766</v>
      </c>
      <c r="Q1353" s="10">
        <v>0</v>
      </c>
      <c r="R1353" s="3">
        <f>(Таблица1[Размер кредита]-$AA$2)/$AA$3</f>
        <v>-1.1429860597503354</v>
      </c>
      <c r="S1353" s="3">
        <f>(Таблица1[Кредитный рейтинг]-$AA$7)/($AA$8-$AA$7)</f>
        <v>0</v>
      </c>
      <c r="T1353" s="3">
        <f>(Таблица1[Срок с последнего нарушения кредитного договора (мес,)]-$AA$12)/($AA$13-$AA$12)</f>
        <v>0.40074137090909095</v>
      </c>
      <c r="U1353" s="3">
        <f>(Таблица1[Количество кредитных карт]-$AA$18)/($AA$19-$AA$18)</f>
        <v>0.21428571428571427</v>
      </c>
      <c r="V1353" s="3">
        <f>(Таблица1[Число нарушений кредитных договоров]-$AA$23)/($AA$24-$AA$23)</f>
        <v>0</v>
      </c>
      <c r="W1353" s="3">
        <f>Таблица1[[#This Row],[Годовой доход]]/12</f>
        <v>97337</v>
      </c>
      <c r="X1353" s="3">
        <f>Таблица1[[#This Row],[Ежемесячный платеж]]/Таблица1[[#This Row],[Ежем доход]]</f>
        <v>0.13759125512395079</v>
      </c>
      <c r="Y1353" s="3"/>
      <c r="Z1353" s="3"/>
      <c r="AA1353" s="3"/>
      <c r="AB1353" s="3"/>
    </row>
    <row r="1354" spans="1:28" x14ac:dyDescent="0.2">
      <c r="A1354">
        <v>1117</v>
      </c>
      <c r="B1354" t="s">
        <v>1156</v>
      </c>
      <c r="C1354" t="s">
        <v>35</v>
      </c>
      <c r="D1354" t="s">
        <v>19</v>
      </c>
      <c r="E1354" t="s">
        <v>52</v>
      </c>
      <c r="F1354" t="s">
        <v>33</v>
      </c>
      <c r="G1354" t="s">
        <v>25</v>
      </c>
      <c r="H1354" s="1">
        <v>52074</v>
      </c>
      <c r="I1354" s="3">
        <v>737</v>
      </c>
      <c r="J1354" s="3">
        <v>877021</v>
      </c>
      <c r="K1354" s="3">
        <v>4743.16</v>
      </c>
      <c r="L1354" s="2">
        <v>16.7</v>
      </c>
      <c r="M1354" s="11">
        <v>35.265240640000002</v>
      </c>
      <c r="N1354" s="3">
        <v>7</v>
      </c>
      <c r="O1354" s="3">
        <v>127889</v>
      </c>
      <c r="P1354" s="3">
        <v>315766</v>
      </c>
      <c r="Q1354" s="10">
        <v>0</v>
      </c>
      <c r="R1354" s="3">
        <f>(Таблица1[Размер кредита]-$AA$2)/$AA$3</f>
        <v>-1.4661366837999332</v>
      </c>
      <c r="S1354" s="3">
        <f>(Таблица1[Кредитный рейтинг]-$AA$7)/($AA$8-$AA$7)</f>
        <v>0.98135818908122507</v>
      </c>
      <c r="T1354" s="3">
        <f>(Таблица1[Срок с последнего нарушения кредитного договора (мес,)]-$AA$12)/($AA$13-$AA$12)</f>
        <v>0.40074137090909095</v>
      </c>
      <c r="U1354" s="3">
        <f>(Таблица1[Количество кредитных карт]-$AA$18)/($AA$19-$AA$18)</f>
        <v>0.14285714285714285</v>
      </c>
      <c r="V1354" s="3">
        <f>(Таблица1[Число нарушений кредитных договоров]-$AA$23)/($AA$24-$AA$23)</f>
        <v>0</v>
      </c>
      <c r="W1354" s="3">
        <f>Таблица1[[#This Row],[Годовой доход]]/12</f>
        <v>73085.083333333328</v>
      </c>
      <c r="X1354" s="3">
        <f>Таблица1[[#This Row],[Ежемесячный платеж]]/Таблица1[[#This Row],[Ежем доход]]</f>
        <v>6.4899152927923046E-2</v>
      </c>
      <c r="Y1354" s="3"/>
      <c r="Z1354" s="3"/>
      <c r="AA1354" s="3"/>
      <c r="AB1354" s="3"/>
    </row>
    <row r="1355" spans="1:28" x14ac:dyDescent="0.2">
      <c r="A1355">
        <v>1057</v>
      </c>
      <c r="B1355" t="s">
        <v>1096</v>
      </c>
      <c r="C1355" t="s">
        <v>18</v>
      </c>
      <c r="D1355" t="s">
        <v>19</v>
      </c>
      <c r="E1355" t="s">
        <v>32</v>
      </c>
      <c r="F1355" t="s">
        <v>21</v>
      </c>
      <c r="G1355" t="s">
        <v>25</v>
      </c>
      <c r="H1355" s="1">
        <v>309594.52439999999</v>
      </c>
      <c r="I1355" s="3">
        <v>721</v>
      </c>
      <c r="J1355" s="3">
        <v>976942</v>
      </c>
      <c r="K1355" s="3">
        <v>9280.93</v>
      </c>
      <c r="L1355" s="2">
        <v>15.2</v>
      </c>
      <c r="M1355" s="11">
        <v>7</v>
      </c>
      <c r="N1355" s="3">
        <v>11</v>
      </c>
      <c r="O1355" s="3">
        <v>130891</v>
      </c>
      <c r="P1355" s="3">
        <v>315744</v>
      </c>
      <c r="Q1355" s="10">
        <v>0</v>
      </c>
      <c r="R1355" s="3">
        <f>(Таблица1[Размер кредита]-$AA$2)/$AA$3</f>
        <v>-1.2411115481956205E-10</v>
      </c>
      <c r="S1355" s="3">
        <f>(Таблица1[Кредитный рейтинг]-$AA$7)/($AA$8-$AA$7)</f>
        <v>0.96005326231691079</v>
      </c>
      <c r="T1355" s="3">
        <f>(Таблица1[Срок с последнего нарушения кредитного договора (мес,)]-$AA$12)/($AA$13-$AA$12)</f>
        <v>7.9545454545454544E-2</v>
      </c>
      <c r="U1355" s="3">
        <f>(Таблица1[Количество кредитных карт]-$AA$18)/($AA$19-$AA$18)</f>
        <v>0.23809523809523808</v>
      </c>
      <c r="V1355" s="3">
        <f>(Таблица1[Число нарушений кредитных договоров]-$AA$23)/($AA$24-$AA$23)</f>
        <v>0</v>
      </c>
      <c r="W1355" s="3">
        <f>Таблица1[[#This Row],[Годовой доход]]/12</f>
        <v>81411.833333333328</v>
      </c>
      <c r="X1355" s="3">
        <f>Таблица1[[#This Row],[Ежемесячный платеж]]/Таблица1[[#This Row],[Ежем доход]]</f>
        <v>0.11399976661869385</v>
      </c>
      <c r="Y1355" s="3"/>
      <c r="Z1355" s="3"/>
      <c r="AA1355" s="3"/>
      <c r="AB1355" s="3"/>
    </row>
    <row r="1356" spans="1:28" x14ac:dyDescent="0.2">
      <c r="A1356">
        <v>740</v>
      </c>
      <c r="B1356" t="s">
        <v>781</v>
      </c>
      <c r="C1356" t="s">
        <v>35</v>
      </c>
      <c r="D1356" t="s">
        <v>29</v>
      </c>
      <c r="E1356" t="s">
        <v>47</v>
      </c>
      <c r="F1356" t="s">
        <v>33</v>
      </c>
      <c r="G1356" t="s">
        <v>25</v>
      </c>
      <c r="H1356" s="1">
        <v>450912</v>
      </c>
      <c r="I1356" s="3">
        <v>717</v>
      </c>
      <c r="J1356" s="3">
        <v>1168272</v>
      </c>
      <c r="K1356" s="3">
        <v>19568.48</v>
      </c>
      <c r="L1356" s="2">
        <v>7.6</v>
      </c>
      <c r="M1356" s="11">
        <v>35.265240640000002</v>
      </c>
      <c r="N1356" s="3">
        <v>8</v>
      </c>
      <c r="O1356" s="3">
        <v>144780</v>
      </c>
      <c r="P1356" s="3">
        <v>315722</v>
      </c>
      <c r="Q1356" s="10">
        <v>0</v>
      </c>
      <c r="R1356" s="3">
        <f>(Таблица1[Размер кредита]-$AA$2)/$AA$3</f>
        <v>0.80456008495787967</v>
      </c>
      <c r="S1356" s="3">
        <f>(Таблица1[Кредитный рейтинг]-$AA$7)/($AA$8-$AA$7)</f>
        <v>0.9547270306258322</v>
      </c>
      <c r="T1356" s="3">
        <f>(Таблица1[Срок с последнего нарушения кредитного договора (мес,)]-$AA$12)/($AA$13-$AA$12)</f>
        <v>0.40074137090909095</v>
      </c>
      <c r="U1356" s="3">
        <f>(Таблица1[Количество кредитных карт]-$AA$18)/($AA$19-$AA$18)</f>
        <v>0.16666666666666666</v>
      </c>
      <c r="V1356" s="3">
        <f>(Таблица1[Число нарушений кредитных договоров]-$AA$23)/($AA$24-$AA$23)</f>
        <v>0</v>
      </c>
      <c r="W1356" s="3">
        <f>Таблица1[[#This Row],[Годовой доход]]/12</f>
        <v>97356</v>
      </c>
      <c r="X1356" s="3">
        <f>Таблица1[[#This Row],[Ежемесячный платеж]]/Таблица1[[#This Row],[Ежем доход]]</f>
        <v>0.20099921935987508</v>
      </c>
      <c r="Y1356" s="3"/>
      <c r="Z1356" s="3"/>
      <c r="AA1356" s="3"/>
      <c r="AB1356" s="3"/>
    </row>
    <row r="1357" spans="1:28" x14ac:dyDescent="0.2">
      <c r="A1357">
        <v>1126</v>
      </c>
      <c r="B1357" t="s">
        <v>1165</v>
      </c>
      <c r="C1357" t="s">
        <v>18</v>
      </c>
      <c r="D1357" t="s">
        <v>19</v>
      </c>
      <c r="E1357" t="s">
        <v>24</v>
      </c>
      <c r="F1357" t="s">
        <v>27</v>
      </c>
      <c r="G1357" t="s">
        <v>25</v>
      </c>
      <c r="H1357" s="1">
        <v>214698</v>
      </c>
      <c r="I1357" s="3">
        <v>743</v>
      </c>
      <c r="J1357" s="3">
        <v>1446280</v>
      </c>
      <c r="K1357" s="3">
        <v>9666.06</v>
      </c>
      <c r="L1357" s="2">
        <v>21</v>
      </c>
      <c r="M1357" s="11">
        <v>54</v>
      </c>
      <c r="N1357" s="3">
        <v>9</v>
      </c>
      <c r="O1357" s="3">
        <v>210577</v>
      </c>
      <c r="P1357" s="3">
        <v>315436</v>
      </c>
      <c r="Q1357" s="10">
        <v>1</v>
      </c>
      <c r="R1357" s="3">
        <f>(Таблица1[Размер кредита]-$AA$2)/$AA$3</f>
        <v>-0.54027257024387643</v>
      </c>
      <c r="S1357" s="3">
        <f>(Таблица1[Кредитный рейтинг]-$AA$7)/($AA$8-$AA$7)</f>
        <v>0.98934753661784292</v>
      </c>
      <c r="T1357" s="3">
        <f>(Таблица1[Срок с последнего нарушения кредитного договора (мес,)]-$AA$12)/($AA$13-$AA$12)</f>
        <v>0.61363636363636365</v>
      </c>
      <c r="U1357" s="3">
        <f>(Таблица1[Количество кредитных карт]-$AA$18)/($AA$19-$AA$18)</f>
        <v>0.19047619047619047</v>
      </c>
      <c r="V1357" s="3">
        <f>(Таблица1[Число нарушений кредитных договоров]-$AA$23)/($AA$24-$AA$23)</f>
        <v>0.14285714285714285</v>
      </c>
      <c r="W1357" s="3">
        <f>Таблица1[[#This Row],[Годовой доход]]/12</f>
        <v>120523.33333333333</v>
      </c>
      <c r="X1357" s="3">
        <f>Таблица1[[#This Row],[Ежемесячный платеж]]/Таблица1[[#This Row],[Ежем доход]]</f>
        <v>8.0200735680504467E-2</v>
      </c>
      <c r="Y1357" s="3"/>
      <c r="Z1357" s="3"/>
      <c r="AA1357" s="3"/>
      <c r="AB1357" s="3"/>
    </row>
    <row r="1358" spans="1:28" x14ac:dyDescent="0.2">
      <c r="A1358">
        <v>530</v>
      </c>
      <c r="B1358" t="s">
        <v>571</v>
      </c>
      <c r="C1358" t="s">
        <v>18</v>
      </c>
      <c r="D1358" t="s">
        <v>19</v>
      </c>
      <c r="E1358" t="s">
        <v>32</v>
      </c>
      <c r="F1358" t="s">
        <v>33</v>
      </c>
      <c r="G1358" t="s">
        <v>67</v>
      </c>
      <c r="H1358" s="1">
        <v>748154</v>
      </c>
      <c r="I1358" s="3">
        <v>668</v>
      </c>
      <c r="J1358" s="3">
        <v>7669160</v>
      </c>
      <c r="K1358" s="3">
        <v>12078.87</v>
      </c>
      <c r="L1358" s="2">
        <v>20.9</v>
      </c>
      <c r="M1358" s="11">
        <v>35.265240640000002</v>
      </c>
      <c r="N1358" s="3">
        <v>7</v>
      </c>
      <c r="O1358" s="3">
        <v>46721</v>
      </c>
      <c r="P1358" s="3">
        <v>314556</v>
      </c>
      <c r="Q1358" s="10">
        <v>2</v>
      </c>
      <c r="R1358" s="3">
        <f>(Таблица1[Размер кредита]-$AA$2)/$AA$3</f>
        <v>2.4968422871028855</v>
      </c>
      <c r="S1358" s="3">
        <f>(Таблица1[Кредитный рейтинг]-$AA$7)/($AA$8-$AA$7)</f>
        <v>0.88948069241011984</v>
      </c>
      <c r="T1358" s="3">
        <f>(Таблица1[Срок с последнего нарушения кредитного договора (мес,)]-$AA$12)/($AA$13-$AA$12)</f>
        <v>0.40074137090909095</v>
      </c>
      <c r="U1358" s="3">
        <f>(Таблица1[Количество кредитных карт]-$AA$18)/($AA$19-$AA$18)</f>
        <v>0.14285714285714285</v>
      </c>
      <c r="V1358" s="3">
        <f>(Таблица1[Число нарушений кредитных договоров]-$AA$23)/($AA$24-$AA$23)</f>
        <v>0.2857142857142857</v>
      </c>
      <c r="W1358" s="3">
        <f>Таблица1[[#This Row],[Годовой доход]]/12</f>
        <v>639096.66666666663</v>
      </c>
      <c r="X1358" s="3">
        <f>Таблица1[[#This Row],[Ежемесячный платеж]]/Таблица1[[#This Row],[Ежем доход]]</f>
        <v>1.8899910811614313E-2</v>
      </c>
      <c r="Y1358" s="3"/>
      <c r="Z1358" s="3"/>
      <c r="AA1358" s="3"/>
      <c r="AB1358" s="3"/>
    </row>
    <row r="1359" spans="1:28" x14ac:dyDescent="0.2">
      <c r="A1359">
        <v>1044</v>
      </c>
      <c r="B1359" t="s">
        <v>1083</v>
      </c>
      <c r="C1359" t="s">
        <v>18</v>
      </c>
      <c r="D1359" t="s">
        <v>19</v>
      </c>
      <c r="E1359" t="s">
        <v>24</v>
      </c>
      <c r="F1359" t="s">
        <v>33</v>
      </c>
      <c r="G1359" t="s">
        <v>25</v>
      </c>
      <c r="H1359" s="1">
        <v>108988</v>
      </c>
      <c r="I1359" s="3">
        <v>0</v>
      </c>
      <c r="J1359" s="3">
        <v>1168044</v>
      </c>
      <c r="K1359" s="3">
        <v>6395.78</v>
      </c>
      <c r="L1359" s="2">
        <v>22</v>
      </c>
      <c r="M1359" s="11">
        <v>35.265240640000002</v>
      </c>
      <c r="N1359" s="3">
        <v>13</v>
      </c>
      <c r="O1359" s="3">
        <v>94734</v>
      </c>
      <c r="P1359" s="3">
        <v>314270</v>
      </c>
      <c r="Q1359" s="10">
        <v>1</v>
      </c>
      <c r="R1359" s="3">
        <f>(Таблица1[Размер кредита]-$AA$2)/$AA$3</f>
        <v>-1.1421092944912861</v>
      </c>
      <c r="S1359" s="3">
        <f>(Таблица1[Кредитный рейтинг]-$AA$7)/($AA$8-$AA$7)</f>
        <v>0</v>
      </c>
      <c r="T1359" s="3">
        <f>(Таблица1[Срок с последнего нарушения кредитного договора (мес,)]-$AA$12)/($AA$13-$AA$12)</f>
        <v>0.40074137090909095</v>
      </c>
      <c r="U1359" s="3">
        <f>(Таблица1[Количество кредитных карт]-$AA$18)/($AA$19-$AA$18)</f>
        <v>0.2857142857142857</v>
      </c>
      <c r="V1359" s="3">
        <f>(Таблица1[Число нарушений кредитных договоров]-$AA$23)/($AA$24-$AA$23)</f>
        <v>0.14285714285714285</v>
      </c>
      <c r="W1359" s="3">
        <f>Таблица1[[#This Row],[Годовой доход]]/12</f>
        <v>97337</v>
      </c>
      <c r="X1359" s="3">
        <f>Таблица1[[#This Row],[Ежемесячный платеж]]/Таблица1[[#This Row],[Ежем доход]]</f>
        <v>6.5707593207105203E-2</v>
      </c>
      <c r="Y1359" s="3"/>
      <c r="Z1359" s="3"/>
      <c r="AA1359" s="3"/>
      <c r="AB1359" s="3"/>
    </row>
    <row r="1360" spans="1:28" x14ac:dyDescent="0.2">
      <c r="A1360">
        <v>786</v>
      </c>
      <c r="B1360" t="s">
        <v>827</v>
      </c>
      <c r="C1360" t="s">
        <v>35</v>
      </c>
      <c r="D1360" t="s">
        <v>29</v>
      </c>
      <c r="E1360" t="s">
        <v>47</v>
      </c>
      <c r="F1360" t="s">
        <v>33</v>
      </c>
      <c r="G1360" t="s">
        <v>25</v>
      </c>
      <c r="H1360" s="1">
        <v>216524</v>
      </c>
      <c r="I1360" s="3">
        <v>688</v>
      </c>
      <c r="J1360" s="3">
        <v>934990</v>
      </c>
      <c r="K1360" s="3">
        <v>16050.63</v>
      </c>
      <c r="L1360" s="2">
        <v>11</v>
      </c>
      <c r="M1360" s="11">
        <v>13</v>
      </c>
      <c r="N1360" s="3">
        <v>10</v>
      </c>
      <c r="O1360" s="3">
        <v>113373</v>
      </c>
      <c r="P1360" s="3">
        <v>314072</v>
      </c>
      <c r="Q1360" s="10">
        <v>0</v>
      </c>
      <c r="R1360" s="3">
        <f>(Таблица1[Размер кредита]-$AA$2)/$AA$3</f>
        <v>-0.52987663931514906</v>
      </c>
      <c r="S1360" s="3">
        <f>(Таблица1[Кредитный рейтинг]-$AA$7)/($AA$8-$AA$7)</f>
        <v>0.91611185086551261</v>
      </c>
      <c r="T1360" s="3">
        <f>(Таблица1[Срок с последнего нарушения кредитного договора (мес,)]-$AA$12)/($AA$13-$AA$12)</f>
        <v>0.14772727272727273</v>
      </c>
      <c r="U1360" s="3">
        <f>(Таблица1[Количество кредитных карт]-$AA$18)/($AA$19-$AA$18)</f>
        <v>0.21428571428571427</v>
      </c>
      <c r="V1360" s="3">
        <f>(Таблица1[Число нарушений кредитных договоров]-$AA$23)/($AA$24-$AA$23)</f>
        <v>0</v>
      </c>
      <c r="W1360" s="3">
        <f>Таблица1[[#This Row],[Годовой доход]]/12</f>
        <v>77915.833333333328</v>
      </c>
      <c r="X1360" s="3">
        <f>Таблица1[[#This Row],[Ежемесячный платеж]]/Таблица1[[#This Row],[Ежем доход]]</f>
        <v>0.20599959357854095</v>
      </c>
      <c r="Y1360" s="3"/>
      <c r="Z1360" s="3"/>
      <c r="AA1360" s="3"/>
      <c r="AB1360" s="3"/>
    </row>
    <row r="1361" spans="1:28" x14ac:dyDescent="0.2">
      <c r="A1361">
        <v>1441</v>
      </c>
      <c r="B1361" t="s">
        <v>1480</v>
      </c>
      <c r="C1361" t="s">
        <v>18</v>
      </c>
      <c r="D1361" t="s">
        <v>19</v>
      </c>
      <c r="E1361" t="s">
        <v>32</v>
      </c>
      <c r="F1361" t="s">
        <v>33</v>
      </c>
      <c r="G1361" t="s">
        <v>25</v>
      </c>
      <c r="H1361" s="1">
        <v>173624</v>
      </c>
      <c r="I1361" s="3">
        <v>0</v>
      </c>
      <c r="J1361" s="3">
        <v>1168044</v>
      </c>
      <c r="K1361" s="3">
        <v>24835.09</v>
      </c>
      <c r="L1361" s="2">
        <v>11.3</v>
      </c>
      <c r="M1361" s="11">
        <v>71</v>
      </c>
      <c r="N1361" s="3">
        <v>11</v>
      </c>
      <c r="O1361" s="3">
        <v>234745</v>
      </c>
      <c r="P1361" s="3">
        <v>313874</v>
      </c>
      <c r="Q1361" s="10">
        <v>0</v>
      </c>
      <c r="R1361" s="3">
        <f>(Таблица1[Размер кредита]-$AA$2)/$AA$3</f>
        <v>-0.77411839005031013</v>
      </c>
      <c r="S1361" s="3">
        <f>(Таблица1[Кредитный рейтинг]-$AA$7)/($AA$8-$AA$7)</f>
        <v>0</v>
      </c>
      <c r="T1361" s="3">
        <f>(Таблица1[Срок с последнего нарушения кредитного договора (мес,)]-$AA$12)/($AA$13-$AA$12)</f>
        <v>0.80681818181818177</v>
      </c>
      <c r="U1361" s="3">
        <f>(Таблица1[Количество кредитных карт]-$AA$18)/($AA$19-$AA$18)</f>
        <v>0.23809523809523808</v>
      </c>
      <c r="V1361" s="3">
        <f>(Таблица1[Число нарушений кредитных договоров]-$AA$23)/($AA$24-$AA$23)</f>
        <v>0</v>
      </c>
      <c r="W1361" s="3">
        <f>Таблица1[[#This Row],[Годовой доход]]/12</f>
        <v>97337</v>
      </c>
      <c r="X1361" s="3">
        <f>Таблица1[[#This Row],[Ежемесячный платеж]]/Таблица1[[#This Row],[Ежем доход]]</f>
        <v>0.25514542260394302</v>
      </c>
      <c r="Y1361" s="3"/>
      <c r="Z1361" s="3"/>
      <c r="AA1361" s="3"/>
      <c r="AB1361" s="3"/>
    </row>
    <row r="1362" spans="1:28" x14ac:dyDescent="0.2">
      <c r="A1362">
        <v>717</v>
      </c>
      <c r="B1362" t="s">
        <v>758</v>
      </c>
      <c r="C1362" t="s">
        <v>35</v>
      </c>
      <c r="D1362" t="s">
        <v>19</v>
      </c>
      <c r="E1362" t="s">
        <v>32</v>
      </c>
      <c r="F1362" t="s">
        <v>21</v>
      </c>
      <c r="G1362" t="s">
        <v>25</v>
      </c>
      <c r="H1362" s="1">
        <v>214940</v>
      </c>
      <c r="I1362" s="3">
        <v>727</v>
      </c>
      <c r="J1362" s="3">
        <v>1095217</v>
      </c>
      <c r="K1362" s="3">
        <v>11435.91</v>
      </c>
      <c r="L1362" s="2">
        <v>27.9</v>
      </c>
      <c r="M1362" s="11">
        <v>69</v>
      </c>
      <c r="N1362" s="3">
        <v>6</v>
      </c>
      <c r="O1362" s="3">
        <v>181773</v>
      </c>
      <c r="P1362" s="3">
        <v>313654</v>
      </c>
      <c r="Q1362" s="10">
        <v>0</v>
      </c>
      <c r="R1362" s="3">
        <f>(Таблица1[Размер кредита]-$AA$2)/$AA$3</f>
        <v>-0.5388947962653704</v>
      </c>
      <c r="S1362" s="3">
        <f>(Таблица1[Кредитный рейтинг]-$AA$7)/($AA$8-$AA$7)</f>
        <v>0.96804260985352863</v>
      </c>
      <c r="T1362" s="3">
        <f>(Таблица1[Срок с последнего нарушения кредитного договора (мес,)]-$AA$12)/($AA$13-$AA$12)</f>
        <v>0.78409090909090906</v>
      </c>
      <c r="U1362" s="3">
        <f>(Таблица1[Количество кредитных карт]-$AA$18)/($AA$19-$AA$18)</f>
        <v>0.11904761904761904</v>
      </c>
      <c r="V1362" s="3">
        <f>(Таблица1[Число нарушений кредитных договоров]-$AA$23)/($AA$24-$AA$23)</f>
        <v>0</v>
      </c>
      <c r="W1362" s="3">
        <f>Таблица1[[#This Row],[Годовой доход]]/12</f>
        <v>91268.083333333328</v>
      </c>
      <c r="X1362" s="3">
        <f>Таблица1[[#This Row],[Ежемесячный платеж]]/Таблица1[[#This Row],[Ежем доход]]</f>
        <v>0.12530020991273877</v>
      </c>
      <c r="Y1362" s="3"/>
      <c r="Z1362" s="3"/>
      <c r="AA1362" s="3"/>
      <c r="AB1362" s="3"/>
    </row>
    <row r="1363" spans="1:28" x14ac:dyDescent="0.2">
      <c r="A1363">
        <v>861</v>
      </c>
      <c r="B1363" t="s">
        <v>902</v>
      </c>
      <c r="C1363" t="s">
        <v>35</v>
      </c>
      <c r="D1363" t="s">
        <v>19</v>
      </c>
      <c r="E1363" t="s">
        <v>24</v>
      </c>
      <c r="F1363" t="s">
        <v>27</v>
      </c>
      <c r="G1363" t="s">
        <v>67</v>
      </c>
      <c r="H1363" s="1">
        <v>216942</v>
      </c>
      <c r="I1363" s="3">
        <v>735</v>
      </c>
      <c r="J1363" s="3">
        <v>599545</v>
      </c>
      <c r="K1363" s="3">
        <v>11691.27</v>
      </c>
      <c r="L1363" s="2">
        <v>14</v>
      </c>
      <c r="M1363" s="11">
        <v>35.265240640000002</v>
      </c>
      <c r="N1363" s="3">
        <v>12</v>
      </c>
      <c r="O1363" s="3">
        <v>159296</v>
      </c>
      <c r="P1363" s="3">
        <v>312620</v>
      </c>
      <c r="Q1363" s="10">
        <v>1</v>
      </c>
      <c r="R1363" s="3">
        <f>(Таблица1[Размер кредита]-$AA$2)/$AA$3</f>
        <v>-0.52749684789772955</v>
      </c>
      <c r="S1363" s="3">
        <f>(Таблица1[Кредитный рейтинг]-$AA$7)/($AA$8-$AA$7)</f>
        <v>0.97869507323568572</v>
      </c>
      <c r="T1363" s="3">
        <f>(Таблица1[Срок с последнего нарушения кредитного договора (мес,)]-$AA$12)/($AA$13-$AA$12)</f>
        <v>0.40074137090909095</v>
      </c>
      <c r="U1363" s="3">
        <f>(Таблица1[Количество кредитных карт]-$AA$18)/($AA$19-$AA$18)</f>
        <v>0.26190476190476192</v>
      </c>
      <c r="V1363" s="3">
        <f>(Таблица1[Число нарушений кредитных договоров]-$AA$23)/($AA$24-$AA$23)</f>
        <v>0.14285714285714285</v>
      </c>
      <c r="W1363" s="3">
        <f>Таблица1[[#This Row],[Годовой доход]]/12</f>
        <v>49962.083333333336</v>
      </c>
      <c r="X1363" s="3">
        <f>Таблица1[[#This Row],[Ежемесячный платеж]]/Таблица1[[#This Row],[Ежем доход]]</f>
        <v>0.23400285216289018</v>
      </c>
      <c r="Y1363" s="3"/>
      <c r="Z1363" s="3"/>
      <c r="AA1363" s="3"/>
      <c r="AB1363" s="3"/>
    </row>
    <row r="1364" spans="1:28" x14ac:dyDescent="0.2">
      <c r="A1364">
        <v>1058</v>
      </c>
      <c r="B1364" t="s">
        <v>1097</v>
      </c>
      <c r="C1364" t="s">
        <v>18</v>
      </c>
      <c r="D1364" t="s">
        <v>19</v>
      </c>
      <c r="E1364" t="s">
        <v>24</v>
      </c>
      <c r="F1364" t="s">
        <v>27</v>
      </c>
      <c r="G1364" t="s">
        <v>67</v>
      </c>
      <c r="H1364" s="1">
        <v>309594.52439999999</v>
      </c>
      <c r="I1364" s="3">
        <v>737</v>
      </c>
      <c r="J1364" s="3">
        <v>764712</v>
      </c>
      <c r="K1364" s="3">
        <v>9272.19</v>
      </c>
      <c r="L1364" s="2">
        <v>18</v>
      </c>
      <c r="M1364" s="11">
        <v>11</v>
      </c>
      <c r="N1364" s="3">
        <v>10</v>
      </c>
      <c r="O1364" s="3">
        <v>23218</v>
      </c>
      <c r="P1364" s="3">
        <v>312488</v>
      </c>
      <c r="Q1364" s="10">
        <v>0</v>
      </c>
      <c r="R1364" s="3">
        <f>(Таблица1[Размер кредита]-$AA$2)/$AA$3</f>
        <v>-1.2411115481956205E-10</v>
      </c>
      <c r="S1364" s="3">
        <f>(Таблица1[Кредитный рейтинг]-$AA$7)/($AA$8-$AA$7)</f>
        <v>0.98135818908122507</v>
      </c>
      <c r="T1364" s="3">
        <f>(Таблица1[Срок с последнего нарушения кредитного договора (мес,)]-$AA$12)/($AA$13-$AA$12)</f>
        <v>0.125</v>
      </c>
      <c r="U1364" s="3">
        <f>(Таблица1[Количество кредитных карт]-$AA$18)/($AA$19-$AA$18)</f>
        <v>0.21428571428571427</v>
      </c>
      <c r="V1364" s="3">
        <f>(Таблица1[Число нарушений кредитных договоров]-$AA$23)/($AA$24-$AA$23)</f>
        <v>0</v>
      </c>
      <c r="W1364" s="3">
        <f>Таблица1[[#This Row],[Годовой доход]]/12</f>
        <v>63726</v>
      </c>
      <c r="X1364" s="3">
        <f>Таблица1[[#This Row],[Ежемесячный платеж]]/Таблица1[[#This Row],[Ежем доход]]</f>
        <v>0.14550089445438283</v>
      </c>
      <c r="Y1364" s="3"/>
      <c r="Z1364" s="3"/>
      <c r="AA1364" s="3"/>
      <c r="AB1364" s="3"/>
    </row>
    <row r="1365" spans="1:28" x14ac:dyDescent="0.2">
      <c r="A1365">
        <v>712</v>
      </c>
      <c r="B1365" t="s">
        <v>753</v>
      </c>
      <c r="C1365" t="s">
        <v>18</v>
      </c>
      <c r="D1365" t="s">
        <v>29</v>
      </c>
      <c r="E1365" t="s">
        <v>30</v>
      </c>
      <c r="F1365" t="s">
        <v>33</v>
      </c>
      <c r="G1365" t="s">
        <v>75</v>
      </c>
      <c r="H1365" s="1">
        <v>407132</v>
      </c>
      <c r="I1365" s="3">
        <v>668</v>
      </c>
      <c r="J1365" s="3">
        <v>1233765</v>
      </c>
      <c r="K1365" s="3">
        <v>2868.62</v>
      </c>
      <c r="L1365" s="2">
        <v>12.4</v>
      </c>
      <c r="M1365" s="11">
        <v>35.265240640000002</v>
      </c>
      <c r="N1365" s="3">
        <v>12</v>
      </c>
      <c r="O1365" s="3">
        <v>38589</v>
      </c>
      <c r="P1365" s="3">
        <v>312466</v>
      </c>
      <c r="Q1365" s="10">
        <v>0</v>
      </c>
      <c r="R1365" s="3">
        <f>(Таблица1[Размер кредита]-$AA$2)/$AA$3</f>
        <v>0.55530824702815118</v>
      </c>
      <c r="S1365" s="3">
        <f>(Таблица1[Кредитный рейтинг]-$AA$7)/($AA$8-$AA$7)</f>
        <v>0.88948069241011984</v>
      </c>
      <c r="T1365" s="3">
        <f>(Таблица1[Срок с последнего нарушения кредитного договора (мес,)]-$AA$12)/($AA$13-$AA$12)</f>
        <v>0.40074137090909095</v>
      </c>
      <c r="U1365" s="3">
        <f>(Таблица1[Количество кредитных карт]-$AA$18)/($AA$19-$AA$18)</f>
        <v>0.26190476190476192</v>
      </c>
      <c r="V1365" s="3">
        <f>(Таблица1[Число нарушений кредитных договоров]-$AA$23)/($AA$24-$AA$23)</f>
        <v>0</v>
      </c>
      <c r="W1365" s="3">
        <f>Таблица1[[#This Row],[Годовой доход]]/12</f>
        <v>102813.75</v>
      </c>
      <c r="X1365" s="3">
        <f>Таблица1[[#This Row],[Ежемесячный платеж]]/Таблица1[[#This Row],[Ежем доход]]</f>
        <v>2.7901131901131901E-2</v>
      </c>
      <c r="Y1365" s="3"/>
      <c r="Z1365" s="3"/>
      <c r="AA1365" s="3"/>
      <c r="AB1365" s="3"/>
    </row>
    <row r="1366" spans="1:28" x14ac:dyDescent="0.2">
      <c r="A1366">
        <v>1326</v>
      </c>
      <c r="B1366" t="s">
        <v>1365</v>
      </c>
      <c r="C1366" t="s">
        <v>35</v>
      </c>
      <c r="D1366" t="s">
        <v>29</v>
      </c>
      <c r="E1366" t="s">
        <v>69</v>
      </c>
      <c r="F1366" t="s">
        <v>33</v>
      </c>
      <c r="G1366" t="s">
        <v>25</v>
      </c>
      <c r="H1366" s="1">
        <v>265408</v>
      </c>
      <c r="I1366" s="3">
        <v>0</v>
      </c>
      <c r="J1366" s="3">
        <v>1168044</v>
      </c>
      <c r="K1366" s="3">
        <v>13036.28</v>
      </c>
      <c r="L1366" s="2">
        <v>11.8</v>
      </c>
      <c r="M1366" s="11">
        <v>35.265240640000002</v>
      </c>
      <c r="N1366" s="3">
        <v>9</v>
      </c>
      <c r="O1366" s="3">
        <v>82878</v>
      </c>
      <c r="P1366" s="3">
        <v>311586</v>
      </c>
      <c r="Q1366" s="10">
        <v>0</v>
      </c>
      <c r="R1366" s="3">
        <f>(Таблица1[Размер кредита]-$AA$2)/$AA$3</f>
        <v>-0.25156629565692962</v>
      </c>
      <c r="S1366" s="3">
        <f>(Таблица1[Кредитный рейтинг]-$AA$7)/($AA$8-$AA$7)</f>
        <v>0</v>
      </c>
      <c r="T1366" s="3">
        <f>(Таблица1[Срок с последнего нарушения кредитного договора (мес,)]-$AA$12)/($AA$13-$AA$12)</f>
        <v>0.40074137090909095</v>
      </c>
      <c r="U1366" s="3">
        <f>(Таблица1[Количество кредитных карт]-$AA$18)/($AA$19-$AA$18)</f>
        <v>0.19047619047619047</v>
      </c>
      <c r="V1366" s="3">
        <f>(Таблица1[Число нарушений кредитных договоров]-$AA$23)/($AA$24-$AA$23)</f>
        <v>0</v>
      </c>
      <c r="W1366" s="3">
        <f>Таблица1[[#This Row],[Годовой доход]]/12</f>
        <v>97337</v>
      </c>
      <c r="X1366" s="3">
        <f>Таблица1[[#This Row],[Ежемесячный платеж]]/Таблица1[[#This Row],[Ежем доход]]</f>
        <v>0.13392933827835254</v>
      </c>
      <c r="Y1366" s="3"/>
      <c r="Z1366" s="3"/>
      <c r="AA1366" s="3"/>
      <c r="AB1366" s="3"/>
    </row>
    <row r="1367" spans="1:28" x14ac:dyDescent="0.2">
      <c r="A1367">
        <v>1707</v>
      </c>
      <c r="B1367" t="s">
        <v>1745</v>
      </c>
      <c r="C1367" t="s">
        <v>35</v>
      </c>
      <c r="D1367" t="s">
        <v>29</v>
      </c>
      <c r="E1367" t="s">
        <v>52</v>
      </c>
      <c r="F1367" t="s">
        <v>21</v>
      </c>
      <c r="G1367" t="s">
        <v>25</v>
      </c>
      <c r="H1367" s="1">
        <v>345664</v>
      </c>
      <c r="I1367" s="3">
        <v>719</v>
      </c>
      <c r="J1367" s="3">
        <v>1306060</v>
      </c>
      <c r="K1367" s="3">
        <v>17958.419999999998</v>
      </c>
      <c r="L1367" s="2">
        <v>21.6</v>
      </c>
      <c r="M1367" s="11">
        <v>35.265240640000002</v>
      </c>
      <c r="N1367" s="3">
        <v>6</v>
      </c>
      <c r="O1367" s="3">
        <v>234099</v>
      </c>
      <c r="P1367" s="3">
        <v>311212</v>
      </c>
      <c r="Q1367" s="10">
        <v>0</v>
      </c>
      <c r="R1367" s="3">
        <f>(Таблица1[Размер кредита]-$AA$2)/$AA$3</f>
        <v>0.20535365648761789</v>
      </c>
      <c r="S1367" s="3">
        <f>(Таблица1[Кредитный рейтинг]-$AA$7)/($AA$8-$AA$7)</f>
        <v>0.95739014647137155</v>
      </c>
      <c r="T1367" s="3">
        <f>(Таблица1[Срок с последнего нарушения кредитного договора (мес,)]-$AA$12)/($AA$13-$AA$12)</f>
        <v>0.40074137090909095</v>
      </c>
      <c r="U1367" s="3">
        <f>(Таблица1[Количество кредитных карт]-$AA$18)/($AA$19-$AA$18)</f>
        <v>0.11904761904761904</v>
      </c>
      <c r="V1367" s="3">
        <f>(Таблица1[Число нарушений кредитных договоров]-$AA$23)/($AA$24-$AA$23)</f>
        <v>0</v>
      </c>
      <c r="W1367" s="3">
        <f>Таблица1[[#This Row],[Годовой доход]]/12</f>
        <v>108838.33333333333</v>
      </c>
      <c r="X1367" s="3">
        <f>Таблица1[[#This Row],[Ежемесячный платеж]]/Таблица1[[#This Row],[Ежем доход]]</f>
        <v>0.16500087285423334</v>
      </c>
      <c r="Y1367" s="3"/>
      <c r="Z1367" s="3"/>
      <c r="AA1367" s="3"/>
      <c r="AB1367" s="3"/>
    </row>
    <row r="1368" spans="1:28" x14ac:dyDescent="0.2">
      <c r="A1368">
        <v>1868</v>
      </c>
      <c r="B1368" t="s">
        <v>1905</v>
      </c>
      <c r="C1368" t="s">
        <v>35</v>
      </c>
      <c r="D1368" t="s">
        <v>19</v>
      </c>
      <c r="E1368" t="s">
        <v>63</v>
      </c>
      <c r="F1368" t="s">
        <v>33</v>
      </c>
      <c r="G1368" t="s">
        <v>25</v>
      </c>
      <c r="H1368" s="1">
        <v>131384</v>
      </c>
      <c r="I1368" s="3">
        <v>739</v>
      </c>
      <c r="J1368" s="3">
        <v>945630</v>
      </c>
      <c r="K1368" s="3">
        <v>23483.24</v>
      </c>
      <c r="L1368" s="2">
        <v>18.3</v>
      </c>
      <c r="M1368" s="11">
        <v>35.265240640000002</v>
      </c>
      <c r="N1368" s="3">
        <v>9</v>
      </c>
      <c r="O1368" s="3">
        <v>157662</v>
      </c>
      <c r="P1368" s="3">
        <v>310992</v>
      </c>
      <c r="Q1368" s="10">
        <v>0</v>
      </c>
      <c r="R1368" s="3">
        <f>(Таблица1[Размер кредита]-$AA$2)/$AA$3</f>
        <v>-1.0146025753895456</v>
      </c>
      <c r="S1368" s="3">
        <f>(Таблица1[Кредитный рейтинг]-$AA$7)/($AA$8-$AA$7)</f>
        <v>0.98402130492676432</v>
      </c>
      <c r="T1368" s="3">
        <f>(Таблица1[Срок с последнего нарушения кредитного договора (мес,)]-$AA$12)/($AA$13-$AA$12)</f>
        <v>0.40074137090909095</v>
      </c>
      <c r="U1368" s="3">
        <f>(Таблица1[Количество кредитных карт]-$AA$18)/($AA$19-$AA$18)</f>
        <v>0.19047619047619047</v>
      </c>
      <c r="V1368" s="3">
        <f>(Таблица1[Число нарушений кредитных договоров]-$AA$23)/($AA$24-$AA$23)</f>
        <v>0</v>
      </c>
      <c r="W1368" s="3">
        <f>Таблица1[[#This Row],[Годовой доход]]/12</f>
        <v>78802.5</v>
      </c>
      <c r="X1368" s="3">
        <f>Таблица1[[#This Row],[Ежемесячный платеж]]/Таблица1[[#This Row],[Ежем доход]]</f>
        <v>0.29800120554550935</v>
      </c>
      <c r="Y1368" s="3"/>
      <c r="Z1368" s="3"/>
      <c r="AA1368" s="3"/>
      <c r="AB1368" s="3"/>
    </row>
    <row r="1369" spans="1:28" x14ac:dyDescent="0.2">
      <c r="A1369">
        <v>1035</v>
      </c>
      <c r="B1369" t="s">
        <v>1074</v>
      </c>
      <c r="C1369" t="s">
        <v>18</v>
      </c>
      <c r="D1369" t="s">
        <v>29</v>
      </c>
      <c r="E1369" t="s">
        <v>37</v>
      </c>
      <c r="F1369" t="s">
        <v>33</v>
      </c>
      <c r="G1369" t="s">
        <v>25</v>
      </c>
      <c r="H1369" s="1">
        <v>332970</v>
      </c>
      <c r="I1369" s="3">
        <v>723</v>
      </c>
      <c r="J1369" s="3">
        <v>996892</v>
      </c>
      <c r="K1369" s="3">
        <v>19190.189999999999</v>
      </c>
      <c r="L1369" s="2">
        <v>12.8</v>
      </c>
      <c r="M1369" s="11">
        <v>35.265240640000002</v>
      </c>
      <c r="N1369" s="3">
        <v>14</v>
      </c>
      <c r="O1369" s="3">
        <v>209836</v>
      </c>
      <c r="P1369" s="3">
        <v>310684</v>
      </c>
      <c r="Q1369" s="10">
        <v>0</v>
      </c>
      <c r="R1369" s="3">
        <f>(Таблица1[Размер кредита]-$AA$2)/$AA$3</f>
        <v>0.13308314870598303</v>
      </c>
      <c r="S1369" s="3">
        <f>(Таблица1[Кредитный рейтинг]-$AA$7)/($AA$8-$AA$7)</f>
        <v>0.96271637816245004</v>
      </c>
      <c r="T1369" s="3">
        <f>(Таблица1[Срок с последнего нарушения кредитного договора (мес,)]-$AA$12)/($AA$13-$AA$12)</f>
        <v>0.40074137090909095</v>
      </c>
      <c r="U1369" s="3">
        <f>(Таблица1[Количество кредитных карт]-$AA$18)/($AA$19-$AA$18)</f>
        <v>0.30952380952380953</v>
      </c>
      <c r="V1369" s="3">
        <f>(Таблица1[Число нарушений кредитных договоров]-$AA$23)/($AA$24-$AA$23)</f>
        <v>0</v>
      </c>
      <c r="W1369" s="3">
        <f>Таблица1[[#This Row],[Годовой доход]]/12</f>
        <v>83074.333333333328</v>
      </c>
      <c r="X1369" s="3">
        <f>Таблица1[[#This Row],[Ежемесячный платеж]]/Таблица1[[#This Row],[Ежем доход]]</f>
        <v>0.23100022871083326</v>
      </c>
      <c r="Y1369" s="3"/>
      <c r="Z1369" s="3"/>
      <c r="AA1369" s="3"/>
      <c r="AB1369" s="3"/>
    </row>
    <row r="1370" spans="1:28" x14ac:dyDescent="0.2">
      <c r="A1370">
        <v>1382</v>
      </c>
      <c r="B1370" t="s">
        <v>1421</v>
      </c>
      <c r="C1370" t="s">
        <v>18</v>
      </c>
      <c r="D1370" t="s">
        <v>19</v>
      </c>
      <c r="E1370" t="s">
        <v>41</v>
      </c>
      <c r="F1370" t="s">
        <v>33</v>
      </c>
      <c r="G1370" t="s">
        <v>25</v>
      </c>
      <c r="H1370" s="1">
        <v>172040</v>
      </c>
      <c r="I1370" s="3">
        <v>730</v>
      </c>
      <c r="J1370" s="3">
        <v>479275</v>
      </c>
      <c r="K1370" s="3">
        <v>7828</v>
      </c>
      <c r="L1370" s="2">
        <v>9.6999999999999993</v>
      </c>
      <c r="M1370" s="11">
        <v>35.265240640000002</v>
      </c>
      <c r="N1370" s="3">
        <v>12</v>
      </c>
      <c r="O1370" s="3">
        <v>219355</v>
      </c>
      <c r="P1370" s="3">
        <v>310508</v>
      </c>
      <c r="Q1370" s="10">
        <v>0</v>
      </c>
      <c r="R1370" s="3">
        <f>(Таблица1[Размер кредита]-$AA$2)/$AA$3</f>
        <v>-0.78313654700053148</v>
      </c>
      <c r="S1370" s="3">
        <f>(Таблица1[Кредитный рейтинг]-$AA$7)/($AA$8-$AA$7)</f>
        <v>0.9720372836218375</v>
      </c>
      <c r="T1370" s="3">
        <f>(Таблица1[Срок с последнего нарушения кредитного договора (мес,)]-$AA$12)/($AA$13-$AA$12)</f>
        <v>0.40074137090909095</v>
      </c>
      <c r="U1370" s="3">
        <f>(Таблица1[Количество кредитных карт]-$AA$18)/($AA$19-$AA$18)</f>
        <v>0.26190476190476192</v>
      </c>
      <c r="V1370" s="3">
        <f>(Таблица1[Число нарушений кредитных договоров]-$AA$23)/($AA$24-$AA$23)</f>
        <v>0</v>
      </c>
      <c r="W1370" s="3">
        <f>Таблица1[[#This Row],[Годовой доход]]/12</f>
        <v>39939.583333333336</v>
      </c>
      <c r="X1370" s="3">
        <f>Таблица1[[#This Row],[Ежемесячный платеж]]/Таблица1[[#This Row],[Ежем доход]]</f>
        <v>0.19599603567888998</v>
      </c>
      <c r="Y1370" s="3"/>
      <c r="Z1370" s="3"/>
      <c r="AA1370" s="3"/>
      <c r="AB1370" s="3"/>
    </row>
    <row r="1371" spans="1:28" x14ac:dyDescent="0.2">
      <c r="A1371">
        <v>1488</v>
      </c>
      <c r="B1371" t="s">
        <v>1527</v>
      </c>
      <c r="C1371" t="s">
        <v>18</v>
      </c>
      <c r="D1371" t="s">
        <v>19</v>
      </c>
      <c r="E1371" t="s">
        <v>24</v>
      </c>
      <c r="F1371" t="s">
        <v>21</v>
      </c>
      <c r="G1371" t="s">
        <v>25</v>
      </c>
      <c r="H1371" s="1">
        <v>206602</v>
      </c>
      <c r="I1371" s="3">
        <v>741</v>
      </c>
      <c r="J1371" s="3">
        <v>1607666</v>
      </c>
      <c r="K1371" s="3">
        <v>18622.28</v>
      </c>
      <c r="L1371" s="2">
        <v>11</v>
      </c>
      <c r="M1371" s="11">
        <v>35</v>
      </c>
      <c r="N1371" s="3">
        <v>11</v>
      </c>
      <c r="O1371" s="3">
        <v>173242</v>
      </c>
      <c r="P1371" s="3">
        <v>310024</v>
      </c>
      <c r="Q1371" s="10">
        <v>0</v>
      </c>
      <c r="R1371" s="3">
        <f>(Таблица1[Размер кредита]-$AA$2)/$AA$3</f>
        <v>-0.58636537243389653</v>
      </c>
      <c r="S1371" s="3">
        <f>(Таблица1[Кредитный рейтинг]-$AA$7)/($AA$8-$AA$7)</f>
        <v>0.98668442077230356</v>
      </c>
      <c r="T1371" s="3">
        <f>(Таблица1[Срок с последнего нарушения кредитного договора (мес,)]-$AA$12)/($AA$13-$AA$12)</f>
        <v>0.39772727272727271</v>
      </c>
      <c r="U1371" s="3">
        <f>(Таблица1[Количество кредитных карт]-$AA$18)/($AA$19-$AA$18)</f>
        <v>0.23809523809523808</v>
      </c>
      <c r="V1371" s="3">
        <f>(Таблица1[Число нарушений кредитных договоров]-$AA$23)/($AA$24-$AA$23)</f>
        <v>0</v>
      </c>
      <c r="W1371" s="3">
        <f>Таблица1[[#This Row],[Годовой доход]]/12</f>
        <v>133972.16666666666</v>
      </c>
      <c r="X1371" s="3">
        <f>Таблица1[[#This Row],[Ежемесячный платеж]]/Таблица1[[#This Row],[Ежем доход]]</f>
        <v>0.13900111092726972</v>
      </c>
      <c r="Y1371" s="3"/>
      <c r="Z1371" s="3"/>
      <c r="AA1371" s="3"/>
      <c r="AB1371" s="3"/>
    </row>
    <row r="1372" spans="1:28" x14ac:dyDescent="0.2">
      <c r="A1372">
        <v>723</v>
      </c>
      <c r="B1372" t="s">
        <v>764</v>
      </c>
      <c r="C1372" t="s">
        <v>18</v>
      </c>
      <c r="D1372" t="s">
        <v>19</v>
      </c>
      <c r="E1372" t="s">
        <v>20</v>
      </c>
      <c r="F1372" t="s">
        <v>33</v>
      </c>
      <c r="G1372" t="s">
        <v>25</v>
      </c>
      <c r="H1372" s="1">
        <v>246202</v>
      </c>
      <c r="I1372" s="3">
        <v>720</v>
      </c>
      <c r="J1372" s="3">
        <v>1404879</v>
      </c>
      <c r="K1372" s="3">
        <v>13112.28</v>
      </c>
      <c r="L1372" s="2">
        <v>16.600000000000001</v>
      </c>
      <c r="M1372" s="11">
        <v>36</v>
      </c>
      <c r="N1372" s="3">
        <v>7</v>
      </c>
      <c r="O1372" s="3">
        <v>171570</v>
      </c>
      <c r="P1372" s="3">
        <v>309914</v>
      </c>
      <c r="Q1372" s="10">
        <v>1</v>
      </c>
      <c r="R1372" s="3">
        <f>(Таблица1[Размер кредита]-$AA$2)/$AA$3</f>
        <v>-0.36091144867836322</v>
      </c>
      <c r="S1372" s="3">
        <f>(Таблица1[Кредитный рейтинг]-$AA$7)/($AA$8-$AA$7)</f>
        <v>0.95872170439414117</v>
      </c>
      <c r="T1372" s="3">
        <f>(Таблица1[Срок с последнего нарушения кредитного договора (мес,)]-$AA$12)/($AA$13-$AA$12)</f>
        <v>0.40909090909090912</v>
      </c>
      <c r="U1372" s="3">
        <f>(Таблица1[Количество кредитных карт]-$AA$18)/($AA$19-$AA$18)</f>
        <v>0.14285714285714285</v>
      </c>
      <c r="V1372" s="3">
        <f>(Таблица1[Число нарушений кредитных договоров]-$AA$23)/($AA$24-$AA$23)</f>
        <v>0.14285714285714285</v>
      </c>
      <c r="W1372" s="3">
        <f>Таблица1[[#This Row],[Годовой доход]]/12</f>
        <v>117073.25</v>
      </c>
      <c r="X1372" s="3">
        <f>Таблица1[[#This Row],[Ежемесячный платеж]]/Таблица1[[#This Row],[Ежем доход]]</f>
        <v>0.11200064916622714</v>
      </c>
      <c r="Y1372" s="3"/>
      <c r="Z1372" s="3"/>
      <c r="AA1372" s="3"/>
      <c r="AB1372" s="3"/>
    </row>
    <row r="1373" spans="1:28" x14ac:dyDescent="0.2">
      <c r="A1373">
        <v>1718</v>
      </c>
      <c r="B1373" t="s">
        <v>1756</v>
      </c>
      <c r="C1373" t="s">
        <v>18</v>
      </c>
      <c r="D1373" t="s">
        <v>19</v>
      </c>
      <c r="E1373" t="s">
        <v>37</v>
      </c>
      <c r="F1373" t="s">
        <v>27</v>
      </c>
      <c r="G1373" t="s">
        <v>25</v>
      </c>
      <c r="H1373" s="1">
        <v>154506</v>
      </c>
      <c r="I1373" s="3">
        <v>718</v>
      </c>
      <c r="J1373" s="3">
        <v>732963</v>
      </c>
      <c r="K1373" s="3">
        <v>5094.09</v>
      </c>
      <c r="L1373" s="2">
        <v>10</v>
      </c>
      <c r="M1373" s="11">
        <v>35.265240640000002</v>
      </c>
      <c r="N1373" s="3">
        <v>8</v>
      </c>
      <c r="O1373" s="3">
        <v>68628</v>
      </c>
      <c r="P1373" s="3">
        <v>309210</v>
      </c>
      <c r="Q1373" s="10">
        <v>0</v>
      </c>
      <c r="R1373" s="3">
        <f>(Таблица1[Размер кредита]-$AA$2)/$AA$3</f>
        <v>-0.882962534352287</v>
      </c>
      <c r="S1373" s="3">
        <f>(Таблица1[Кредитный рейтинг]-$AA$7)/($AA$8-$AA$7)</f>
        <v>0.95605858854860182</v>
      </c>
      <c r="T1373" s="3">
        <f>(Таблица1[Срок с последнего нарушения кредитного договора (мес,)]-$AA$12)/($AA$13-$AA$12)</f>
        <v>0.40074137090909095</v>
      </c>
      <c r="U1373" s="3">
        <f>(Таблица1[Количество кредитных карт]-$AA$18)/($AA$19-$AA$18)</f>
        <v>0.16666666666666666</v>
      </c>
      <c r="V1373" s="3">
        <f>(Таблица1[Число нарушений кредитных договоров]-$AA$23)/($AA$24-$AA$23)</f>
        <v>0</v>
      </c>
      <c r="W1373" s="3">
        <f>Таблица1[[#This Row],[Годовой доход]]/12</f>
        <v>61080.25</v>
      </c>
      <c r="X1373" s="3">
        <f>Таблица1[[#This Row],[Ежемесячный платеж]]/Таблица1[[#This Row],[Ежем доход]]</f>
        <v>8.3399953340073107E-2</v>
      </c>
      <c r="Y1373" s="3"/>
      <c r="Z1373" s="3"/>
      <c r="AA1373" s="3"/>
      <c r="AB1373" s="3"/>
    </row>
    <row r="1374" spans="1:28" x14ac:dyDescent="0.2">
      <c r="A1374">
        <v>1324</v>
      </c>
      <c r="B1374" t="s">
        <v>1363</v>
      </c>
      <c r="C1374" t="s">
        <v>18</v>
      </c>
      <c r="D1374" t="s">
        <v>19</v>
      </c>
      <c r="E1374" t="s">
        <v>37</v>
      </c>
      <c r="F1374" t="s">
        <v>33</v>
      </c>
      <c r="G1374" t="s">
        <v>102</v>
      </c>
      <c r="H1374" s="1">
        <v>78430</v>
      </c>
      <c r="I1374" s="3">
        <v>699</v>
      </c>
      <c r="J1374" s="3">
        <v>620977</v>
      </c>
      <c r="K1374" s="3">
        <v>11384.61</v>
      </c>
      <c r="L1374" s="2">
        <v>11.4</v>
      </c>
      <c r="M1374" s="11">
        <v>35.265240640000002</v>
      </c>
      <c r="N1374" s="3">
        <v>15</v>
      </c>
      <c r="O1374" s="3">
        <v>87837</v>
      </c>
      <c r="P1374" s="3">
        <v>309144</v>
      </c>
      <c r="Q1374" s="10">
        <v>0</v>
      </c>
      <c r="R1374" s="3">
        <f>(Таблица1[Размер кредита]-$AA$2)/$AA$3</f>
        <v>-1.3160845723226393</v>
      </c>
      <c r="S1374" s="3">
        <f>(Таблица1[Кредитный рейтинг]-$AA$7)/($AA$8-$AA$7)</f>
        <v>0.93075898801597867</v>
      </c>
      <c r="T1374" s="3">
        <f>(Таблица1[Срок с последнего нарушения кредитного договора (мес,)]-$AA$12)/($AA$13-$AA$12)</f>
        <v>0.40074137090909095</v>
      </c>
      <c r="U1374" s="3">
        <f>(Таблица1[Количество кредитных карт]-$AA$18)/($AA$19-$AA$18)</f>
        <v>0.33333333333333331</v>
      </c>
      <c r="V1374" s="3">
        <f>(Таблица1[Число нарушений кредитных договоров]-$AA$23)/($AA$24-$AA$23)</f>
        <v>0</v>
      </c>
      <c r="W1374" s="3">
        <f>Таблица1[[#This Row],[Годовой доход]]/12</f>
        <v>51748.083333333336</v>
      </c>
      <c r="X1374" s="3">
        <f>Таблица1[[#This Row],[Ежемесячный платеж]]/Таблица1[[#This Row],[Ежем доход]]</f>
        <v>0.2200006119389285</v>
      </c>
      <c r="Y1374" s="3"/>
      <c r="Z1374" s="3"/>
      <c r="AA1374" s="3"/>
      <c r="AB1374" s="3"/>
    </row>
    <row r="1375" spans="1:28" x14ac:dyDescent="0.2">
      <c r="A1375">
        <v>876</v>
      </c>
      <c r="B1375" t="s">
        <v>917</v>
      </c>
      <c r="C1375" t="s">
        <v>18</v>
      </c>
      <c r="D1375" t="s">
        <v>19</v>
      </c>
      <c r="E1375" t="s">
        <v>24</v>
      </c>
      <c r="F1375" t="s">
        <v>33</v>
      </c>
      <c r="G1375" t="s">
        <v>25</v>
      </c>
      <c r="H1375" s="1">
        <v>302588</v>
      </c>
      <c r="I1375" s="3">
        <v>730</v>
      </c>
      <c r="J1375" s="3">
        <v>1133673</v>
      </c>
      <c r="K1375" s="3">
        <v>7642.75</v>
      </c>
      <c r="L1375" s="2">
        <v>25.5</v>
      </c>
      <c r="M1375" s="11">
        <v>52</v>
      </c>
      <c r="N1375" s="3">
        <v>10</v>
      </c>
      <c r="O1375" s="3">
        <v>197524</v>
      </c>
      <c r="P1375" s="3">
        <v>309078</v>
      </c>
      <c r="Q1375" s="10">
        <v>0</v>
      </c>
      <c r="R1375" s="3">
        <f>(Таблица1[Размер кредита]-$AA$2)/$AA$3</f>
        <v>-3.9890111686456675E-2</v>
      </c>
      <c r="S1375" s="3">
        <f>(Таблица1[Кредитный рейтинг]-$AA$7)/($AA$8-$AA$7)</f>
        <v>0.9720372836218375</v>
      </c>
      <c r="T1375" s="3">
        <f>(Таблица1[Срок с последнего нарушения кредитного договора (мес,)]-$AA$12)/($AA$13-$AA$12)</f>
        <v>0.59090909090909094</v>
      </c>
      <c r="U1375" s="3">
        <f>(Таблица1[Количество кредитных карт]-$AA$18)/($AA$19-$AA$18)</f>
        <v>0.21428571428571427</v>
      </c>
      <c r="V1375" s="3">
        <f>(Таблица1[Число нарушений кредитных договоров]-$AA$23)/($AA$24-$AA$23)</f>
        <v>0</v>
      </c>
      <c r="W1375" s="3">
        <f>Таблица1[[#This Row],[Годовой доход]]/12</f>
        <v>94472.75</v>
      </c>
      <c r="X1375" s="3">
        <f>Таблица1[[#This Row],[Ежемесячный платеж]]/Таблица1[[#This Row],[Ежем доход]]</f>
        <v>8.0898989391120724E-2</v>
      </c>
      <c r="Y1375" s="3"/>
      <c r="Z1375" s="3"/>
      <c r="AA1375" s="3"/>
      <c r="AB1375" s="3"/>
    </row>
    <row r="1376" spans="1:28" x14ac:dyDescent="0.2">
      <c r="A1376">
        <v>426</v>
      </c>
      <c r="B1376" t="s">
        <v>467</v>
      </c>
      <c r="C1376" t="s">
        <v>35</v>
      </c>
      <c r="D1376" t="s">
        <v>19</v>
      </c>
      <c r="E1376" t="s">
        <v>24</v>
      </c>
      <c r="F1376" t="s">
        <v>21</v>
      </c>
      <c r="G1376" t="s">
        <v>25</v>
      </c>
      <c r="H1376" s="1">
        <v>234036</v>
      </c>
      <c r="I1376" s="3">
        <v>703</v>
      </c>
      <c r="J1376" s="3">
        <v>665798</v>
      </c>
      <c r="K1376" s="3">
        <v>11263.01</v>
      </c>
      <c r="L1376" s="2">
        <v>17</v>
      </c>
      <c r="M1376" s="11">
        <v>39</v>
      </c>
      <c r="N1376" s="3">
        <v>13</v>
      </c>
      <c r="O1376" s="3">
        <v>242098</v>
      </c>
      <c r="P1376" s="3">
        <v>308396</v>
      </c>
      <c r="Q1376" s="10">
        <v>0</v>
      </c>
      <c r="R1376" s="3">
        <f>(Таблица1[Размер кредита]-$AA$2)/$AA$3</f>
        <v>-0.43017590414325763</v>
      </c>
      <c r="S1376" s="3">
        <f>(Таблица1[Кредитный рейтинг]-$AA$7)/($AA$8-$AA$7)</f>
        <v>0.93608521970705727</v>
      </c>
      <c r="T1376" s="3">
        <f>(Таблица1[Срок с последнего нарушения кредитного договора (мес,)]-$AA$12)/($AA$13-$AA$12)</f>
        <v>0.44318181818181818</v>
      </c>
      <c r="U1376" s="3">
        <f>(Таблица1[Количество кредитных карт]-$AA$18)/($AA$19-$AA$18)</f>
        <v>0.2857142857142857</v>
      </c>
      <c r="V1376" s="3">
        <f>(Таблица1[Число нарушений кредитных договоров]-$AA$23)/($AA$24-$AA$23)</f>
        <v>0</v>
      </c>
      <c r="W1376" s="3">
        <f>Таблица1[[#This Row],[Годовой доход]]/12</f>
        <v>55483.166666666664</v>
      </c>
      <c r="X1376" s="3">
        <f>Таблица1[[#This Row],[Ежемесячный платеж]]/Таблица1[[#This Row],[Ежем доход]]</f>
        <v>0.20299868728953829</v>
      </c>
      <c r="Y1376" s="3"/>
      <c r="Z1376" s="3"/>
      <c r="AA1376" s="3"/>
      <c r="AB1376" s="3"/>
    </row>
    <row r="1377" spans="1:28" x14ac:dyDescent="0.2">
      <c r="A1377">
        <v>1728</v>
      </c>
      <c r="B1377" t="s">
        <v>1766</v>
      </c>
      <c r="C1377" t="s">
        <v>18</v>
      </c>
      <c r="D1377" t="s">
        <v>19</v>
      </c>
      <c r="E1377" t="s">
        <v>20</v>
      </c>
      <c r="F1377" t="s">
        <v>21</v>
      </c>
      <c r="G1377" t="s">
        <v>25</v>
      </c>
      <c r="H1377" s="1">
        <v>180180</v>
      </c>
      <c r="I1377" s="3">
        <v>0</v>
      </c>
      <c r="J1377" s="3">
        <v>1168044</v>
      </c>
      <c r="K1377" s="3">
        <v>37062.54</v>
      </c>
      <c r="L1377" s="2">
        <v>10.1</v>
      </c>
      <c r="M1377" s="11">
        <v>45</v>
      </c>
      <c r="N1377" s="3">
        <v>12</v>
      </c>
      <c r="O1377" s="3">
        <v>150442</v>
      </c>
      <c r="P1377" s="3">
        <v>308308</v>
      </c>
      <c r="Q1377" s="10">
        <v>0</v>
      </c>
      <c r="R1377" s="3">
        <f>(Таблица1[Размер кредита]-$AA$2)/$AA$3</f>
        <v>-0.73679324045078287</v>
      </c>
      <c r="S1377" s="3">
        <f>(Таблица1[Кредитный рейтинг]-$AA$7)/($AA$8-$AA$7)</f>
        <v>0</v>
      </c>
      <c r="T1377" s="3">
        <f>(Таблица1[Срок с последнего нарушения кредитного договора (мес,)]-$AA$12)/($AA$13-$AA$12)</f>
        <v>0.51136363636363635</v>
      </c>
      <c r="U1377" s="3">
        <f>(Таблица1[Количество кредитных карт]-$AA$18)/($AA$19-$AA$18)</f>
        <v>0.26190476190476192</v>
      </c>
      <c r="V1377" s="3">
        <f>(Таблица1[Число нарушений кредитных договоров]-$AA$23)/($AA$24-$AA$23)</f>
        <v>0</v>
      </c>
      <c r="W1377" s="3">
        <f>Таблица1[[#This Row],[Годовой доход]]/12</f>
        <v>97337</v>
      </c>
      <c r="X1377" s="3">
        <f>Таблица1[[#This Row],[Ежемесячный платеж]]/Таблица1[[#This Row],[Ежем доход]]</f>
        <v>0.38076517665430415</v>
      </c>
      <c r="Y1377" s="3"/>
      <c r="Z1377" s="3"/>
      <c r="AA1377" s="3"/>
      <c r="AB1377" s="3"/>
    </row>
    <row r="1378" spans="1:28" x14ac:dyDescent="0.2">
      <c r="A1378">
        <v>826</v>
      </c>
      <c r="B1378" t="s">
        <v>867</v>
      </c>
      <c r="C1378" t="s">
        <v>35</v>
      </c>
      <c r="D1378" t="s">
        <v>29</v>
      </c>
      <c r="E1378" t="s">
        <v>52</v>
      </c>
      <c r="F1378" t="s">
        <v>21</v>
      </c>
      <c r="G1378" t="s">
        <v>25</v>
      </c>
      <c r="H1378" s="1">
        <v>260260</v>
      </c>
      <c r="I1378" s="3">
        <v>730</v>
      </c>
      <c r="J1378" s="3">
        <v>1236197</v>
      </c>
      <c r="K1378" s="3">
        <v>21015.33</v>
      </c>
      <c r="L1378" s="2">
        <v>12.8</v>
      </c>
      <c r="M1378" s="11">
        <v>30</v>
      </c>
      <c r="N1378" s="3">
        <v>10</v>
      </c>
      <c r="O1378" s="3">
        <v>121106</v>
      </c>
      <c r="P1378" s="3">
        <v>308198</v>
      </c>
      <c r="Q1378" s="10">
        <v>0</v>
      </c>
      <c r="R1378" s="3">
        <f>(Таблица1[Размер кредита]-$AA$2)/$AA$3</f>
        <v>-0.28087530574514891</v>
      </c>
      <c r="S1378" s="3">
        <f>(Таблица1[Кредитный рейтинг]-$AA$7)/($AA$8-$AA$7)</f>
        <v>0.9720372836218375</v>
      </c>
      <c r="T1378" s="3">
        <f>(Таблица1[Срок с последнего нарушения кредитного договора (мес,)]-$AA$12)/($AA$13-$AA$12)</f>
        <v>0.34090909090909088</v>
      </c>
      <c r="U1378" s="3">
        <f>(Таблица1[Количество кредитных карт]-$AA$18)/($AA$19-$AA$18)</f>
        <v>0.21428571428571427</v>
      </c>
      <c r="V1378" s="3">
        <f>(Таблица1[Число нарушений кредитных договоров]-$AA$23)/($AA$24-$AA$23)</f>
        <v>0</v>
      </c>
      <c r="W1378" s="3">
        <f>Таблица1[[#This Row],[Годовой доход]]/12</f>
        <v>103016.41666666667</v>
      </c>
      <c r="X1378" s="3">
        <f>Таблица1[[#This Row],[Ежемесячный платеж]]/Таблица1[[#This Row],[Ежем доход]]</f>
        <v>0.20399981556337704</v>
      </c>
      <c r="Y1378" s="3"/>
      <c r="Z1378" s="3"/>
      <c r="AA1378" s="3"/>
      <c r="AB1378" s="3"/>
    </row>
    <row r="1379" spans="1:28" x14ac:dyDescent="0.2">
      <c r="A1379">
        <v>1009</v>
      </c>
      <c r="B1379" t="s">
        <v>1048</v>
      </c>
      <c r="C1379" t="s">
        <v>18</v>
      </c>
      <c r="D1379" t="s">
        <v>19</v>
      </c>
      <c r="E1379" t="s">
        <v>37</v>
      </c>
      <c r="F1379" t="s">
        <v>33</v>
      </c>
      <c r="G1379" t="s">
        <v>25</v>
      </c>
      <c r="H1379" s="1">
        <v>196658</v>
      </c>
      <c r="I1379" s="3">
        <v>732</v>
      </c>
      <c r="J1379" s="3">
        <v>650655</v>
      </c>
      <c r="K1379" s="3">
        <v>15073.46</v>
      </c>
      <c r="L1379" s="2">
        <v>15</v>
      </c>
      <c r="M1379" s="11">
        <v>35.265240640000002</v>
      </c>
      <c r="N1379" s="3">
        <v>7</v>
      </c>
      <c r="O1379" s="3">
        <v>190684</v>
      </c>
      <c r="P1379" s="3">
        <v>307934</v>
      </c>
      <c r="Q1379" s="10">
        <v>0</v>
      </c>
      <c r="R1379" s="3">
        <f>(Таблица1[Размер кредита]-$AA$2)/$AA$3</f>
        <v>-0.64297935773250825</v>
      </c>
      <c r="S1379" s="3">
        <f>(Таблица1[Кредитный рейтинг]-$AA$7)/($AA$8-$AA$7)</f>
        <v>0.97470039946737685</v>
      </c>
      <c r="T1379" s="3">
        <f>(Таблица1[Срок с последнего нарушения кредитного договора (мес,)]-$AA$12)/($AA$13-$AA$12)</f>
        <v>0.40074137090909095</v>
      </c>
      <c r="U1379" s="3">
        <f>(Таблица1[Количество кредитных карт]-$AA$18)/($AA$19-$AA$18)</f>
        <v>0.14285714285714285</v>
      </c>
      <c r="V1379" s="3">
        <f>(Таблица1[Число нарушений кредитных договоров]-$AA$23)/($AA$24-$AA$23)</f>
        <v>0</v>
      </c>
      <c r="W1379" s="3">
        <f>Таблица1[[#This Row],[Годовой доход]]/12</f>
        <v>54221.25</v>
      </c>
      <c r="X1379" s="3">
        <f>Таблица1[[#This Row],[Ежемесячный платеж]]/Таблица1[[#This Row],[Ежем доход]]</f>
        <v>0.27799912395970211</v>
      </c>
      <c r="Y1379" s="3"/>
      <c r="Z1379" s="3"/>
      <c r="AA1379" s="3"/>
      <c r="AB1379" s="3"/>
    </row>
    <row r="1380" spans="1:28" x14ac:dyDescent="0.2">
      <c r="A1380">
        <v>1147</v>
      </c>
      <c r="B1380" t="s">
        <v>1186</v>
      </c>
      <c r="C1380" t="s">
        <v>35</v>
      </c>
      <c r="D1380" t="s">
        <v>19</v>
      </c>
      <c r="E1380" t="s">
        <v>24</v>
      </c>
      <c r="F1380" t="s">
        <v>33</v>
      </c>
      <c r="G1380" t="s">
        <v>25</v>
      </c>
      <c r="H1380" s="1">
        <v>360162</v>
      </c>
      <c r="I1380" s="3">
        <v>738</v>
      </c>
      <c r="J1380" s="3">
        <v>738986</v>
      </c>
      <c r="K1380" s="3">
        <v>18228.41</v>
      </c>
      <c r="L1380" s="2">
        <v>26.2</v>
      </c>
      <c r="M1380" s="11">
        <v>35.265240640000002</v>
      </c>
      <c r="N1380" s="3">
        <v>11</v>
      </c>
      <c r="O1380" s="3">
        <v>204820</v>
      </c>
      <c r="P1380" s="3">
        <v>307604</v>
      </c>
      <c r="Q1380" s="10">
        <v>1</v>
      </c>
      <c r="R1380" s="3">
        <f>(Таблица1[Размер кредита]-$AA$2)/$AA$3</f>
        <v>0.28789484301811591</v>
      </c>
      <c r="S1380" s="3">
        <f>(Таблица1[Кредитный рейтинг]-$AA$7)/($AA$8-$AA$7)</f>
        <v>0.9826897470039947</v>
      </c>
      <c r="T1380" s="3">
        <f>(Таблица1[Срок с последнего нарушения кредитного договора (мес,)]-$AA$12)/($AA$13-$AA$12)</f>
        <v>0.40074137090909095</v>
      </c>
      <c r="U1380" s="3">
        <f>(Таблица1[Количество кредитных карт]-$AA$18)/($AA$19-$AA$18)</f>
        <v>0.23809523809523808</v>
      </c>
      <c r="V1380" s="3">
        <f>(Таблица1[Число нарушений кредитных договоров]-$AA$23)/($AA$24-$AA$23)</f>
        <v>0.14285714285714285</v>
      </c>
      <c r="W1380" s="3">
        <f>Таблица1[[#This Row],[Годовой доход]]/12</f>
        <v>61582.166666666664</v>
      </c>
      <c r="X1380" s="3">
        <f>Таблица1[[#This Row],[Ежемесячный платеж]]/Таблица1[[#This Row],[Ежем доход]]</f>
        <v>0.29600143981076776</v>
      </c>
      <c r="Y1380" s="3"/>
      <c r="Z1380" s="3"/>
      <c r="AA1380" s="3"/>
      <c r="AB1380" s="3"/>
    </row>
    <row r="1381" spans="1:28" x14ac:dyDescent="0.2">
      <c r="A1381">
        <v>1296</v>
      </c>
      <c r="B1381" t="s">
        <v>1335</v>
      </c>
      <c r="C1381" t="s">
        <v>35</v>
      </c>
      <c r="D1381" t="s">
        <v>19</v>
      </c>
      <c r="E1381" t="s">
        <v>47</v>
      </c>
      <c r="F1381" t="s">
        <v>21</v>
      </c>
      <c r="G1381" t="s">
        <v>25</v>
      </c>
      <c r="H1381" s="1">
        <v>207636</v>
      </c>
      <c r="I1381" s="3">
        <v>738</v>
      </c>
      <c r="J1381" s="3">
        <v>933945</v>
      </c>
      <c r="K1381" s="3">
        <v>2015.9</v>
      </c>
      <c r="L1381" s="2">
        <v>14.2</v>
      </c>
      <c r="M1381" s="11">
        <v>72</v>
      </c>
      <c r="N1381" s="3">
        <v>8</v>
      </c>
      <c r="O1381" s="3">
        <v>106666</v>
      </c>
      <c r="P1381" s="3">
        <v>307208</v>
      </c>
      <c r="Q1381" s="10">
        <v>0</v>
      </c>
      <c r="R1381" s="3">
        <f>(Таблица1[Размер кредита]-$AA$2)/$AA$3</f>
        <v>-0.58047851998027988</v>
      </c>
      <c r="S1381" s="3">
        <f>(Таблица1[Кредитный рейтинг]-$AA$7)/($AA$8-$AA$7)</f>
        <v>0.9826897470039947</v>
      </c>
      <c r="T1381" s="3">
        <f>(Таблица1[Срок с последнего нарушения кредитного договора (мес,)]-$AA$12)/($AA$13-$AA$12)</f>
        <v>0.81818181818181823</v>
      </c>
      <c r="U1381" s="3">
        <f>(Таблица1[Количество кредитных карт]-$AA$18)/($AA$19-$AA$18)</f>
        <v>0.16666666666666666</v>
      </c>
      <c r="V1381" s="3">
        <f>(Таблица1[Число нарушений кредитных договоров]-$AA$23)/($AA$24-$AA$23)</f>
        <v>0</v>
      </c>
      <c r="W1381" s="3">
        <f>Таблица1[[#This Row],[Годовой доход]]/12</f>
        <v>77828.75</v>
      </c>
      <c r="X1381" s="3">
        <f>Таблица1[[#This Row],[Ежемесячный платеж]]/Таблица1[[#This Row],[Ежем доход]]</f>
        <v>2.5901739395788832E-2</v>
      </c>
      <c r="Y1381" s="3"/>
      <c r="Z1381" s="3"/>
      <c r="AA1381" s="3"/>
      <c r="AB1381" s="3"/>
    </row>
    <row r="1382" spans="1:28" x14ac:dyDescent="0.2">
      <c r="A1382">
        <v>1717</v>
      </c>
      <c r="B1382" t="s">
        <v>1755</v>
      </c>
      <c r="C1382" t="s">
        <v>35</v>
      </c>
      <c r="D1382" t="s">
        <v>29</v>
      </c>
      <c r="E1382" t="s">
        <v>30</v>
      </c>
      <c r="F1382" t="s">
        <v>27</v>
      </c>
      <c r="G1382" t="s">
        <v>25</v>
      </c>
      <c r="H1382" s="1">
        <v>321794</v>
      </c>
      <c r="I1382" s="3">
        <v>720</v>
      </c>
      <c r="J1382" s="3">
        <v>741076</v>
      </c>
      <c r="K1382" s="3">
        <v>12536.58</v>
      </c>
      <c r="L1382" s="2">
        <v>30.6</v>
      </c>
      <c r="M1382" s="11">
        <v>35.265240640000002</v>
      </c>
      <c r="N1382" s="3">
        <v>7</v>
      </c>
      <c r="O1382" s="3">
        <v>226423</v>
      </c>
      <c r="P1382" s="3">
        <v>306636</v>
      </c>
      <c r="Q1382" s="10">
        <v>1</v>
      </c>
      <c r="R1382" s="3">
        <f>(Таблица1[Размер кредита]-$AA$2)/$AA$3</f>
        <v>6.9455041334976972E-2</v>
      </c>
      <c r="S1382" s="3">
        <f>(Таблица1[Кредитный рейтинг]-$AA$7)/($AA$8-$AA$7)</f>
        <v>0.95872170439414117</v>
      </c>
      <c r="T1382" s="3">
        <f>(Таблица1[Срок с последнего нарушения кредитного договора (мес,)]-$AA$12)/($AA$13-$AA$12)</f>
        <v>0.40074137090909095</v>
      </c>
      <c r="U1382" s="3">
        <f>(Таблица1[Количество кредитных карт]-$AA$18)/($AA$19-$AA$18)</f>
        <v>0.14285714285714285</v>
      </c>
      <c r="V1382" s="3">
        <f>(Таблица1[Число нарушений кредитных договоров]-$AA$23)/($AA$24-$AA$23)</f>
        <v>0.14285714285714285</v>
      </c>
      <c r="W1382" s="3">
        <f>Таблица1[[#This Row],[Годовой доход]]/12</f>
        <v>61756.333333333336</v>
      </c>
      <c r="X1382" s="3">
        <f>Таблица1[[#This Row],[Ежемесячный платеж]]/Таблица1[[#This Row],[Ежем доход]]</f>
        <v>0.20300071787508972</v>
      </c>
      <c r="Y1382" s="3"/>
      <c r="Z1382" s="3"/>
      <c r="AA1382" s="3"/>
      <c r="AB1382" s="3"/>
    </row>
    <row r="1383" spans="1:28" x14ac:dyDescent="0.2">
      <c r="A1383">
        <v>1901</v>
      </c>
      <c r="B1383" t="s">
        <v>1937</v>
      </c>
      <c r="C1383" t="s">
        <v>35</v>
      </c>
      <c r="D1383" t="s">
        <v>19</v>
      </c>
      <c r="E1383" t="s">
        <v>24</v>
      </c>
      <c r="F1383" t="s">
        <v>21</v>
      </c>
      <c r="G1383" t="s">
        <v>75</v>
      </c>
      <c r="H1383" s="1">
        <v>115434</v>
      </c>
      <c r="I1383" s="3">
        <v>737</v>
      </c>
      <c r="J1383" s="3">
        <v>722019</v>
      </c>
      <c r="K1383" s="3">
        <v>17749.61</v>
      </c>
      <c r="L1383" s="2">
        <v>21.4</v>
      </c>
      <c r="M1383" s="11">
        <v>39</v>
      </c>
      <c r="N1383" s="3">
        <v>7</v>
      </c>
      <c r="O1383" s="3">
        <v>798</v>
      </c>
      <c r="P1383" s="3">
        <v>306350</v>
      </c>
      <c r="Q1383" s="10">
        <v>0</v>
      </c>
      <c r="R1383" s="3">
        <f>(Таблица1[Размер кредита]-$AA$2)/$AA$3</f>
        <v>-1.1054104057910799</v>
      </c>
      <c r="S1383" s="3">
        <f>(Таблица1[Кредитный рейтинг]-$AA$7)/($AA$8-$AA$7)</f>
        <v>0.98135818908122507</v>
      </c>
      <c r="T1383" s="3">
        <f>(Таблица1[Срок с последнего нарушения кредитного договора (мес,)]-$AA$12)/($AA$13-$AA$12)</f>
        <v>0.44318181818181818</v>
      </c>
      <c r="U1383" s="3">
        <f>(Таблица1[Количество кредитных карт]-$AA$18)/($AA$19-$AA$18)</f>
        <v>0.14285714285714285</v>
      </c>
      <c r="V1383" s="3">
        <f>(Таблица1[Число нарушений кредитных договоров]-$AA$23)/($AA$24-$AA$23)</f>
        <v>0</v>
      </c>
      <c r="W1383" s="3">
        <f>Таблица1[[#This Row],[Годовой доход]]/12</f>
        <v>60168.25</v>
      </c>
      <c r="X1383" s="3">
        <f>Таблица1[[#This Row],[Ежемесячный платеж]]/Таблица1[[#This Row],[Ежем доход]]</f>
        <v>0.29499960527354546</v>
      </c>
      <c r="Y1383" s="3"/>
      <c r="Z1383" s="3"/>
      <c r="AA1383" s="3"/>
      <c r="AB1383" s="3"/>
    </row>
    <row r="1384" spans="1:28" x14ac:dyDescent="0.2">
      <c r="A1384">
        <v>1049</v>
      </c>
      <c r="B1384" t="s">
        <v>1088</v>
      </c>
      <c r="C1384" t="s">
        <v>35</v>
      </c>
      <c r="D1384" t="s">
        <v>19</v>
      </c>
      <c r="E1384" t="s">
        <v>32</v>
      </c>
      <c r="F1384" t="s">
        <v>33</v>
      </c>
      <c r="G1384" t="s">
        <v>25</v>
      </c>
      <c r="H1384" s="1">
        <v>180180</v>
      </c>
      <c r="I1384" s="3">
        <v>0</v>
      </c>
      <c r="J1384" s="3">
        <v>1168044</v>
      </c>
      <c r="K1384" s="3">
        <v>8597.1200000000008</v>
      </c>
      <c r="L1384" s="2">
        <v>25.9</v>
      </c>
      <c r="M1384" s="11">
        <v>51</v>
      </c>
      <c r="N1384" s="3">
        <v>4</v>
      </c>
      <c r="O1384" s="3">
        <v>169309</v>
      </c>
      <c r="P1384" s="3">
        <v>306328</v>
      </c>
      <c r="Q1384" s="10">
        <v>0</v>
      </c>
      <c r="R1384" s="3">
        <f>(Таблица1[Размер кредита]-$AA$2)/$AA$3</f>
        <v>-0.73679324045078287</v>
      </c>
      <c r="S1384" s="3">
        <f>(Таблица1[Кредитный рейтинг]-$AA$7)/($AA$8-$AA$7)</f>
        <v>0</v>
      </c>
      <c r="T1384" s="3">
        <f>(Таблица1[Срок с последнего нарушения кредитного договора (мес,)]-$AA$12)/($AA$13-$AA$12)</f>
        <v>0.57954545454545459</v>
      </c>
      <c r="U1384" s="3">
        <f>(Таблица1[Количество кредитных карт]-$AA$18)/($AA$19-$AA$18)</f>
        <v>7.1428571428571425E-2</v>
      </c>
      <c r="V1384" s="3">
        <f>(Таблица1[Число нарушений кредитных договоров]-$AA$23)/($AA$24-$AA$23)</f>
        <v>0</v>
      </c>
      <c r="W1384" s="3">
        <f>Таблица1[[#This Row],[Годовой доход]]/12</f>
        <v>97337</v>
      </c>
      <c r="X1384" s="3">
        <f>Таблица1[[#This Row],[Ежемесячный платеж]]/Таблица1[[#This Row],[Ежем доход]]</f>
        <v>8.8323248096818283E-2</v>
      </c>
      <c r="Y1384" s="3"/>
      <c r="Z1384" s="3"/>
      <c r="AA1384" s="3"/>
      <c r="AB1384" s="3"/>
    </row>
    <row r="1385" spans="1:28" x14ac:dyDescent="0.2">
      <c r="A1385">
        <v>944</v>
      </c>
      <c r="B1385" t="s">
        <v>985</v>
      </c>
      <c r="C1385" t="s">
        <v>18</v>
      </c>
      <c r="D1385" t="s">
        <v>19</v>
      </c>
      <c r="E1385" t="s">
        <v>37</v>
      </c>
      <c r="F1385" t="s">
        <v>21</v>
      </c>
      <c r="G1385" t="s">
        <v>2038</v>
      </c>
      <c r="H1385" s="1">
        <v>309594.52439999999</v>
      </c>
      <c r="I1385" s="3">
        <v>728</v>
      </c>
      <c r="J1385" s="3">
        <v>2362897</v>
      </c>
      <c r="K1385" s="3">
        <v>15752.52</v>
      </c>
      <c r="L1385" s="2">
        <v>26.1</v>
      </c>
      <c r="M1385" s="11">
        <v>35.265240640000002</v>
      </c>
      <c r="N1385" s="3">
        <v>6</v>
      </c>
      <c r="O1385" s="3">
        <v>62092</v>
      </c>
      <c r="P1385" s="3">
        <v>305976</v>
      </c>
      <c r="Q1385" s="10">
        <v>0</v>
      </c>
      <c r="R1385" s="3">
        <f>(Таблица1[Размер кредита]-$AA$2)/$AA$3</f>
        <v>-1.2411115481956205E-10</v>
      </c>
      <c r="S1385" s="3">
        <f>(Таблица1[Кредитный рейтинг]-$AA$7)/($AA$8-$AA$7)</f>
        <v>0.96937416777629826</v>
      </c>
      <c r="T1385" s="3">
        <f>(Таблица1[Срок с последнего нарушения кредитного договора (мес,)]-$AA$12)/($AA$13-$AA$12)</f>
        <v>0.40074137090909095</v>
      </c>
      <c r="U1385" s="3">
        <f>(Таблица1[Количество кредитных карт]-$AA$18)/($AA$19-$AA$18)</f>
        <v>0.11904761904761904</v>
      </c>
      <c r="V1385" s="3">
        <f>(Таблица1[Число нарушений кредитных договоров]-$AA$23)/($AA$24-$AA$23)</f>
        <v>0</v>
      </c>
      <c r="W1385" s="3">
        <f>Таблица1[[#This Row],[Годовой доход]]/12</f>
        <v>196908.08333333334</v>
      </c>
      <c r="X1385" s="3">
        <f>Таблица1[[#This Row],[Ежемесячный платеж]]/Таблица1[[#This Row],[Ежем доход]]</f>
        <v>7.999935672185457E-2</v>
      </c>
      <c r="Y1385" s="3"/>
      <c r="Z1385" s="3"/>
      <c r="AA1385" s="3"/>
      <c r="AB1385" s="3"/>
    </row>
    <row r="1386" spans="1:28" x14ac:dyDescent="0.2">
      <c r="A1386">
        <v>1971</v>
      </c>
      <c r="B1386" t="s">
        <v>2007</v>
      </c>
      <c r="C1386" t="s">
        <v>18</v>
      </c>
      <c r="D1386" t="s">
        <v>19</v>
      </c>
      <c r="E1386" t="s">
        <v>24</v>
      </c>
      <c r="F1386" t="s">
        <v>21</v>
      </c>
      <c r="G1386" t="s">
        <v>25</v>
      </c>
      <c r="H1386" s="1">
        <v>309594.52439999999</v>
      </c>
      <c r="I1386" s="3">
        <v>732</v>
      </c>
      <c r="J1386" s="3">
        <v>1318695</v>
      </c>
      <c r="K1386" s="3">
        <v>30879.56</v>
      </c>
      <c r="L1386" s="2">
        <v>14.2</v>
      </c>
      <c r="M1386" s="11">
        <v>35.265240640000002</v>
      </c>
      <c r="N1386" s="3">
        <v>12</v>
      </c>
      <c r="O1386" s="3">
        <v>237215</v>
      </c>
      <c r="P1386" s="3">
        <v>305536</v>
      </c>
      <c r="Q1386" s="10">
        <v>0</v>
      </c>
      <c r="R1386" s="3">
        <f>(Таблица1[Размер кредита]-$AA$2)/$AA$3</f>
        <v>-1.2411115481956205E-10</v>
      </c>
      <c r="S1386" s="3">
        <f>(Таблица1[Кредитный рейтинг]-$AA$7)/($AA$8-$AA$7)</f>
        <v>0.97470039946737685</v>
      </c>
      <c r="T1386" s="3">
        <f>(Таблица1[Срок с последнего нарушения кредитного договора (мес,)]-$AA$12)/($AA$13-$AA$12)</f>
        <v>0.40074137090909095</v>
      </c>
      <c r="U1386" s="3">
        <f>(Таблица1[Количество кредитных карт]-$AA$18)/($AA$19-$AA$18)</f>
        <v>0.26190476190476192</v>
      </c>
      <c r="V1386" s="3">
        <f>(Таблица1[Число нарушений кредитных договоров]-$AA$23)/($AA$24-$AA$23)</f>
        <v>0</v>
      </c>
      <c r="W1386" s="3">
        <f>Таблица1[[#This Row],[Годовой доход]]/12</f>
        <v>109891.25</v>
      </c>
      <c r="X1386" s="3">
        <f>Таблица1[[#This Row],[Ежемесячный платеж]]/Таблица1[[#This Row],[Ежем доход]]</f>
        <v>0.28100108061378865</v>
      </c>
      <c r="Y1386" s="3"/>
      <c r="Z1386" s="3"/>
      <c r="AA1386" s="3"/>
      <c r="AB1386" s="3"/>
    </row>
    <row r="1387" spans="1:28" x14ac:dyDescent="0.2">
      <c r="A1387">
        <v>548</v>
      </c>
      <c r="B1387" t="s">
        <v>589</v>
      </c>
      <c r="C1387" t="s">
        <v>18</v>
      </c>
      <c r="D1387" t="s">
        <v>19</v>
      </c>
      <c r="E1387" t="s">
        <v>24</v>
      </c>
      <c r="F1387" t="s">
        <v>33</v>
      </c>
      <c r="G1387" t="s">
        <v>25</v>
      </c>
      <c r="H1387" s="1">
        <v>309594.52439999999</v>
      </c>
      <c r="I1387" s="3">
        <v>739</v>
      </c>
      <c r="J1387" s="3">
        <v>1029439</v>
      </c>
      <c r="K1387" s="3">
        <v>12696.18</v>
      </c>
      <c r="L1387" s="2">
        <v>14.5</v>
      </c>
      <c r="M1387" s="11">
        <v>20</v>
      </c>
      <c r="N1387" s="3">
        <v>13</v>
      </c>
      <c r="O1387" s="3">
        <v>76760</v>
      </c>
      <c r="P1387" s="3">
        <v>305426</v>
      </c>
      <c r="Q1387" s="10">
        <v>0</v>
      </c>
      <c r="R1387" s="3">
        <f>(Таблица1[Размер кредита]-$AA$2)/$AA$3</f>
        <v>-1.2411115481956205E-10</v>
      </c>
      <c r="S1387" s="3">
        <f>(Таблица1[Кредитный рейтинг]-$AA$7)/($AA$8-$AA$7)</f>
        <v>0.98402130492676432</v>
      </c>
      <c r="T1387" s="3">
        <f>(Таблица1[Срок с последнего нарушения кредитного договора (мес,)]-$AA$12)/($AA$13-$AA$12)</f>
        <v>0.22727272727272727</v>
      </c>
      <c r="U1387" s="3">
        <f>(Таблица1[Количество кредитных карт]-$AA$18)/($AA$19-$AA$18)</f>
        <v>0.2857142857142857</v>
      </c>
      <c r="V1387" s="3">
        <f>(Таблица1[Число нарушений кредитных договоров]-$AA$23)/($AA$24-$AA$23)</f>
        <v>0</v>
      </c>
      <c r="W1387" s="3">
        <f>Таблица1[[#This Row],[Годовой доход]]/12</f>
        <v>85786.583333333328</v>
      </c>
      <c r="X1387" s="3">
        <f>Таблица1[[#This Row],[Ежемесячный платеж]]/Таблица1[[#This Row],[Ежем доход]]</f>
        <v>0.14799726841512709</v>
      </c>
      <c r="Y1387" s="3"/>
      <c r="Z1387" s="3"/>
      <c r="AA1387" s="3"/>
      <c r="AB1387" s="3"/>
    </row>
    <row r="1388" spans="1:28" x14ac:dyDescent="0.2">
      <c r="A1388">
        <v>802</v>
      </c>
      <c r="B1388" t="s">
        <v>843</v>
      </c>
      <c r="C1388" t="s">
        <v>18</v>
      </c>
      <c r="D1388" t="s">
        <v>19</v>
      </c>
      <c r="E1388" t="s">
        <v>41</v>
      </c>
      <c r="F1388" t="s">
        <v>21</v>
      </c>
      <c r="G1388" t="s">
        <v>70</v>
      </c>
      <c r="H1388" s="1">
        <v>309594.52439999999</v>
      </c>
      <c r="I1388" s="3">
        <v>702</v>
      </c>
      <c r="J1388" s="3">
        <v>1385480</v>
      </c>
      <c r="K1388" s="3">
        <v>14893.91</v>
      </c>
      <c r="L1388" s="2">
        <v>24.6</v>
      </c>
      <c r="M1388" s="11">
        <v>47</v>
      </c>
      <c r="N1388" s="3">
        <v>8</v>
      </c>
      <c r="O1388" s="3">
        <v>234973</v>
      </c>
      <c r="P1388" s="3">
        <v>305382</v>
      </c>
      <c r="Q1388" s="10">
        <v>0</v>
      </c>
      <c r="R1388" s="3">
        <f>(Таблица1[Размер кредита]-$AA$2)/$AA$3</f>
        <v>-1.2411115481956205E-10</v>
      </c>
      <c r="S1388" s="3">
        <f>(Таблица1[Кредитный рейтинг]-$AA$7)/($AA$8-$AA$7)</f>
        <v>0.93475366178428765</v>
      </c>
      <c r="T1388" s="3">
        <f>(Таблица1[Срок с последнего нарушения кредитного договора (мес,)]-$AA$12)/($AA$13-$AA$12)</f>
        <v>0.53409090909090906</v>
      </c>
      <c r="U1388" s="3">
        <f>(Таблица1[Количество кредитных карт]-$AA$18)/($AA$19-$AA$18)</f>
        <v>0.16666666666666666</v>
      </c>
      <c r="V1388" s="3">
        <f>(Таблица1[Число нарушений кредитных договоров]-$AA$23)/($AA$24-$AA$23)</f>
        <v>0</v>
      </c>
      <c r="W1388" s="3">
        <f>Таблица1[[#This Row],[Годовой доход]]/12</f>
        <v>115456.66666666667</v>
      </c>
      <c r="X1388" s="3">
        <f>Таблица1[[#This Row],[Ежемесячный платеж]]/Таблица1[[#This Row],[Ежем доход]]</f>
        <v>0.129</v>
      </c>
      <c r="Y1388" s="3"/>
      <c r="Z1388" s="3"/>
      <c r="AA1388" s="3"/>
      <c r="AB1388" s="3"/>
    </row>
    <row r="1389" spans="1:28" x14ac:dyDescent="0.2">
      <c r="A1389">
        <v>1163</v>
      </c>
      <c r="B1389" s="4" t="s">
        <v>1202</v>
      </c>
      <c r="C1389" t="s">
        <v>18</v>
      </c>
      <c r="D1389" t="s">
        <v>19</v>
      </c>
      <c r="E1389" t="s">
        <v>52</v>
      </c>
      <c r="F1389" t="s">
        <v>33</v>
      </c>
      <c r="G1389" t="s">
        <v>25</v>
      </c>
      <c r="H1389" s="1">
        <v>171820</v>
      </c>
      <c r="I1389" s="3">
        <v>742</v>
      </c>
      <c r="J1389" s="3">
        <v>797639</v>
      </c>
      <c r="K1389" s="3">
        <v>14025.04</v>
      </c>
      <c r="L1389" s="2">
        <v>11.9</v>
      </c>
      <c r="M1389" s="11">
        <v>35.265240640000002</v>
      </c>
      <c r="N1389" s="3">
        <v>12</v>
      </c>
      <c r="O1389" s="3">
        <v>173660</v>
      </c>
      <c r="P1389" s="3">
        <v>305118</v>
      </c>
      <c r="Q1389" s="10">
        <v>0</v>
      </c>
      <c r="R1389" s="3">
        <f>(Таблица1[Размер кредита]-$AA$2)/$AA$3</f>
        <v>-0.78438906879917325</v>
      </c>
      <c r="S1389" s="3">
        <f>(Таблица1[Кредитный рейтинг]-$AA$7)/($AA$8-$AA$7)</f>
        <v>0.98801597869507318</v>
      </c>
      <c r="T1389" s="3">
        <f>(Таблица1[Срок с последнего нарушения кредитного договора (мес,)]-$AA$12)/($AA$13-$AA$12)</f>
        <v>0.40074137090909095</v>
      </c>
      <c r="U1389" s="3">
        <f>(Таблица1[Количество кредитных карт]-$AA$18)/($AA$19-$AA$18)</f>
        <v>0.26190476190476192</v>
      </c>
      <c r="V1389" s="3">
        <f>(Таблица1[Число нарушений кредитных договоров]-$AA$23)/($AA$24-$AA$23)</f>
        <v>0</v>
      </c>
      <c r="W1389" s="3">
        <f>Таблица1[[#This Row],[Годовой доход]]/12</f>
        <v>66469.916666666672</v>
      </c>
      <c r="X1389" s="3">
        <f>Таблица1[[#This Row],[Ежемесячный платеж]]/Таблица1[[#This Row],[Ежем доход]]</f>
        <v>0.21099830875872419</v>
      </c>
      <c r="Y1389" s="3"/>
      <c r="Z1389" s="3"/>
      <c r="AA1389" s="3"/>
      <c r="AB1389" s="3"/>
    </row>
    <row r="1390" spans="1:28" x14ac:dyDescent="0.2">
      <c r="A1390">
        <v>1867</v>
      </c>
      <c r="B1390" t="s">
        <v>1904</v>
      </c>
      <c r="C1390" t="s">
        <v>35</v>
      </c>
      <c r="D1390" t="s">
        <v>19</v>
      </c>
      <c r="E1390" t="s">
        <v>30</v>
      </c>
      <c r="F1390" t="s">
        <v>33</v>
      </c>
      <c r="G1390" t="s">
        <v>25</v>
      </c>
      <c r="H1390" s="1">
        <v>173492</v>
      </c>
      <c r="I1390" s="3">
        <v>728</v>
      </c>
      <c r="J1390" s="3">
        <v>561906</v>
      </c>
      <c r="K1390" s="3">
        <v>7258</v>
      </c>
      <c r="L1390" s="2">
        <v>23.6</v>
      </c>
      <c r="M1390" s="11">
        <v>35.265240640000002</v>
      </c>
      <c r="N1390" s="3">
        <v>5</v>
      </c>
      <c r="O1390" s="3">
        <v>229178</v>
      </c>
      <c r="P1390" s="3">
        <v>305008</v>
      </c>
      <c r="Q1390" s="10">
        <v>0</v>
      </c>
      <c r="R1390" s="3">
        <f>(Таблица1[Размер кредита]-$AA$2)/$AA$3</f>
        <v>-0.77486990312949522</v>
      </c>
      <c r="S1390" s="3">
        <f>(Таблица1[Кредитный рейтинг]-$AA$7)/($AA$8-$AA$7)</f>
        <v>0.96937416777629826</v>
      </c>
      <c r="T1390" s="3">
        <f>(Таблица1[Срок с последнего нарушения кредитного договора (мес,)]-$AA$12)/($AA$13-$AA$12)</f>
        <v>0.40074137090909095</v>
      </c>
      <c r="U1390" s="3">
        <f>(Таблица1[Количество кредитных карт]-$AA$18)/($AA$19-$AA$18)</f>
        <v>9.5238095238095233E-2</v>
      </c>
      <c r="V1390" s="3">
        <f>(Таблица1[Число нарушений кредитных договоров]-$AA$23)/($AA$24-$AA$23)</f>
        <v>0</v>
      </c>
      <c r="W1390" s="3">
        <f>Таблица1[[#This Row],[Годовой доход]]/12</f>
        <v>46825.5</v>
      </c>
      <c r="X1390" s="3">
        <f>Таблица1[[#This Row],[Ежемесячный платеж]]/Таблица1[[#This Row],[Ежем доход]]</f>
        <v>0.15500101440454453</v>
      </c>
      <c r="Y1390" s="3"/>
      <c r="Z1390" s="3"/>
      <c r="AA1390" s="3"/>
      <c r="AB1390" s="3"/>
    </row>
    <row r="1391" spans="1:28" x14ac:dyDescent="0.2">
      <c r="A1391">
        <v>1395</v>
      </c>
      <c r="B1391" t="s">
        <v>1434</v>
      </c>
      <c r="C1391" t="s">
        <v>18</v>
      </c>
      <c r="D1391" t="s">
        <v>19</v>
      </c>
      <c r="E1391" t="s">
        <v>41</v>
      </c>
      <c r="F1391" t="s">
        <v>33</v>
      </c>
      <c r="G1391" t="s">
        <v>25</v>
      </c>
      <c r="H1391" s="1">
        <v>215886</v>
      </c>
      <c r="I1391" s="3">
        <v>707</v>
      </c>
      <c r="J1391" s="3">
        <v>783085</v>
      </c>
      <c r="K1391" s="3">
        <v>8809.5400000000009</v>
      </c>
      <c r="L1391" s="2">
        <v>11</v>
      </c>
      <c r="M1391" s="11">
        <v>35.265240640000002</v>
      </c>
      <c r="N1391" s="3">
        <v>11</v>
      </c>
      <c r="O1391" s="3">
        <v>179949</v>
      </c>
      <c r="P1391" s="3">
        <v>304612</v>
      </c>
      <c r="Q1391" s="10">
        <v>0</v>
      </c>
      <c r="R1391" s="3">
        <f>(Таблица1[Размер кредита]-$AA$2)/$AA$3</f>
        <v>-0.53350895253121045</v>
      </c>
      <c r="S1391" s="3">
        <f>(Таблица1[Кредитный рейтинг]-$AA$7)/($AA$8-$AA$7)</f>
        <v>0.94141145139813587</v>
      </c>
      <c r="T1391" s="3">
        <f>(Таблица1[Срок с последнего нарушения кредитного договора (мес,)]-$AA$12)/($AA$13-$AA$12)</f>
        <v>0.40074137090909095</v>
      </c>
      <c r="U1391" s="3">
        <f>(Таблица1[Количество кредитных карт]-$AA$18)/($AA$19-$AA$18)</f>
        <v>0.23809523809523808</v>
      </c>
      <c r="V1391" s="3">
        <f>(Таблица1[Число нарушений кредитных договоров]-$AA$23)/($AA$24-$AA$23)</f>
        <v>0</v>
      </c>
      <c r="W1391" s="3">
        <f>Таблица1[[#This Row],[Годовой доход]]/12</f>
        <v>65257.083333333336</v>
      </c>
      <c r="X1391" s="3">
        <f>Таблица1[[#This Row],[Ежемесячный платеж]]/Таблица1[[#This Row],[Ежем доход]]</f>
        <v>0.13499745238384084</v>
      </c>
      <c r="Y1391" s="3"/>
      <c r="Z1391" s="3"/>
      <c r="AA1391" s="3"/>
      <c r="AB1391" s="3"/>
    </row>
    <row r="1392" spans="1:28" x14ac:dyDescent="0.2">
      <c r="A1392">
        <v>1847</v>
      </c>
      <c r="B1392" t="s">
        <v>1884</v>
      </c>
      <c r="C1392" t="s">
        <v>18</v>
      </c>
      <c r="D1392" t="s">
        <v>19</v>
      </c>
      <c r="E1392" t="s">
        <v>24</v>
      </c>
      <c r="F1392" t="s">
        <v>21</v>
      </c>
      <c r="G1392" t="s">
        <v>25</v>
      </c>
      <c r="H1392" s="1">
        <v>233332</v>
      </c>
      <c r="I1392" s="3">
        <v>724</v>
      </c>
      <c r="J1392" s="3">
        <v>921272</v>
      </c>
      <c r="K1392" s="3">
        <v>12437.21</v>
      </c>
      <c r="L1392" s="2">
        <v>17</v>
      </c>
      <c r="M1392" s="11">
        <v>34</v>
      </c>
      <c r="N1392" s="3">
        <v>10</v>
      </c>
      <c r="O1392" s="3">
        <v>123120</v>
      </c>
      <c r="P1392" s="3">
        <v>304612</v>
      </c>
      <c r="Q1392" s="10">
        <v>0</v>
      </c>
      <c r="R1392" s="3">
        <f>(Таблица1[Размер кредита]-$AA$2)/$AA$3</f>
        <v>-0.43418397389891156</v>
      </c>
      <c r="S1392" s="3">
        <f>(Таблица1[Кредитный рейтинг]-$AA$7)/($AA$8-$AA$7)</f>
        <v>0.96404793608521966</v>
      </c>
      <c r="T1392" s="3">
        <f>(Таблица1[Срок с последнего нарушения кредитного договора (мес,)]-$AA$12)/($AA$13-$AA$12)</f>
        <v>0.38636363636363635</v>
      </c>
      <c r="U1392" s="3">
        <f>(Таблица1[Количество кредитных карт]-$AA$18)/($AA$19-$AA$18)</f>
        <v>0.21428571428571427</v>
      </c>
      <c r="V1392" s="3">
        <f>(Таблица1[Число нарушений кредитных договоров]-$AA$23)/($AA$24-$AA$23)</f>
        <v>0</v>
      </c>
      <c r="W1392" s="3">
        <f>Таблица1[[#This Row],[Годовой доход]]/12</f>
        <v>76772.666666666672</v>
      </c>
      <c r="X1392" s="3">
        <f>Таблица1[[#This Row],[Ежемесячный платеж]]/Таблица1[[#This Row],[Ежем доход]]</f>
        <v>0.16200049496782706</v>
      </c>
      <c r="Y1392" s="3"/>
      <c r="Z1392" s="3"/>
      <c r="AA1392" s="3"/>
      <c r="AB1392" s="3"/>
    </row>
    <row r="1393" spans="1:28" x14ac:dyDescent="0.2">
      <c r="A1393">
        <v>385</v>
      </c>
      <c r="B1393" t="s">
        <v>427</v>
      </c>
      <c r="C1393" t="s">
        <v>18</v>
      </c>
      <c r="D1393" t="s">
        <v>19</v>
      </c>
      <c r="E1393" t="s">
        <v>24</v>
      </c>
      <c r="F1393" t="s">
        <v>21</v>
      </c>
      <c r="G1393" t="s">
        <v>25</v>
      </c>
      <c r="H1393" s="1">
        <v>67298</v>
      </c>
      <c r="I1393" s="3">
        <v>0</v>
      </c>
      <c r="J1393" s="3">
        <v>1168044</v>
      </c>
      <c r="K1393" s="3">
        <v>20289.53</v>
      </c>
      <c r="L1393" s="2">
        <v>22.5</v>
      </c>
      <c r="M1393" s="11">
        <v>34</v>
      </c>
      <c r="N1393" s="3">
        <v>9</v>
      </c>
      <c r="O1393" s="3">
        <v>170601</v>
      </c>
      <c r="P1393" s="3">
        <v>302962</v>
      </c>
      <c r="Q1393" s="10">
        <v>1</v>
      </c>
      <c r="R1393" s="3">
        <f>(Таблица1[Размер кредита]-$AA$2)/$AA$3</f>
        <v>-1.3794621753339169</v>
      </c>
      <c r="S1393" s="3">
        <f>(Таблица1[Кредитный рейтинг]-$AA$7)/($AA$8-$AA$7)</f>
        <v>0</v>
      </c>
      <c r="T1393" s="3">
        <f>(Таблица1[Срок с последнего нарушения кредитного договора (мес,)]-$AA$12)/($AA$13-$AA$12)</f>
        <v>0.38636363636363635</v>
      </c>
      <c r="U1393" s="3">
        <f>(Таблица1[Количество кредитных карт]-$AA$18)/($AA$19-$AA$18)</f>
        <v>0.19047619047619047</v>
      </c>
      <c r="V1393" s="3">
        <f>(Таблица1[Число нарушений кредитных договоров]-$AA$23)/($AA$24-$AA$23)</f>
        <v>0.14285714285714285</v>
      </c>
      <c r="W1393" s="3">
        <f>Таблица1[[#This Row],[Годовой доход]]/12</f>
        <v>97337</v>
      </c>
      <c r="X1393" s="3">
        <f>Таблица1[[#This Row],[Ежемесячный платеж]]/Таблица1[[#This Row],[Ежем доход]]</f>
        <v>0.20844622291626</v>
      </c>
      <c r="Y1393" s="3"/>
      <c r="Z1393" s="3"/>
      <c r="AA1393" s="3"/>
      <c r="AB1393" s="3"/>
    </row>
    <row r="1394" spans="1:28" x14ac:dyDescent="0.2">
      <c r="A1394">
        <v>1784</v>
      </c>
      <c r="B1394" t="s">
        <v>1822</v>
      </c>
      <c r="C1394" t="s">
        <v>18</v>
      </c>
      <c r="D1394" t="s">
        <v>19</v>
      </c>
      <c r="E1394" t="s">
        <v>52</v>
      </c>
      <c r="F1394" t="s">
        <v>33</v>
      </c>
      <c r="G1394" t="s">
        <v>25</v>
      </c>
      <c r="H1394" s="1">
        <v>309594.52439999999</v>
      </c>
      <c r="I1394" s="3">
        <v>729</v>
      </c>
      <c r="J1394" s="3">
        <v>629698</v>
      </c>
      <c r="K1394" s="3">
        <v>13066.11</v>
      </c>
      <c r="L1394" s="2">
        <v>28.1</v>
      </c>
      <c r="M1394" s="11">
        <v>46</v>
      </c>
      <c r="N1394" s="3">
        <v>7</v>
      </c>
      <c r="O1394" s="3">
        <v>240331</v>
      </c>
      <c r="P1394" s="3">
        <v>302808</v>
      </c>
      <c r="Q1394" s="10">
        <v>0</v>
      </c>
      <c r="R1394" s="3">
        <f>(Таблица1[Размер кредита]-$AA$2)/$AA$3</f>
        <v>-1.2411115481956205E-10</v>
      </c>
      <c r="S1394" s="3">
        <f>(Таблица1[Кредитный рейтинг]-$AA$7)/($AA$8-$AA$7)</f>
        <v>0.97070572569906788</v>
      </c>
      <c r="T1394" s="3">
        <f>(Таблица1[Срок с последнего нарушения кредитного договора (мес,)]-$AA$12)/($AA$13-$AA$12)</f>
        <v>0.52272727272727271</v>
      </c>
      <c r="U1394" s="3">
        <f>(Таблица1[Количество кредитных карт]-$AA$18)/($AA$19-$AA$18)</f>
        <v>0.14285714285714285</v>
      </c>
      <c r="V1394" s="3">
        <f>(Таблица1[Число нарушений кредитных договоров]-$AA$23)/($AA$24-$AA$23)</f>
        <v>0</v>
      </c>
      <c r="W1394" s="3">
        <f>Таблица1[[#This Row],[Годовой доход]]/12</f>
        <v>52474.833333333336</v>
      </c>
      <c r="X1394" s="3">
        <f>Таблица1[[#This Row],[Ежемесячный платеж]]/Таблица1[[#This Row],[Ежем доход]]</f>
        <v>0.24899764649085751</v>
      </c>
      <c r="Y1394" s="3"/>
      <c r="Z1394" s="3"/>
      <c r="AA1394" s="3"/>
      <c r="AB1394" s="3"/>
    </row>
    <row r="1395" spans="1:28" x14ac:dyDescent="0.2">
      <c r="A1395">
        <v>1665</v>
      </c>
      <c r="B1395" t="s">
        <v>1703</v>
      </c>
      <c r="C1395" t="s">
        <v>18</v>
      </c>
      <c r="D1395" t="s">
        <v>29</v>
      </c>
      <c r="E1395" t="s">
        <v>32</v>
      </c>
      <c r="F1395" t="s">
        <v>21</v>
      </c>
      <c r="G1395" t="s">
        <v>25</v>
      </c>
      <c r="H1395" s="1">
        <v>309594.52439999999</v>
      </c>
      <c r="I1395" s="3">
        <v>719</v>
      </c>
      <c r="J1395" s="3">
        <v>1285274</v>
      </c>
      <c r="K1395" s="3">
        <v>11353.26</v>
      </c>
      <c r="L1395" s="2">
        <v>11.7</v>
      </c>
      <c r="M1395" s="11">
        <v>35.265240640000002</v>
      </c>
      <c r="N1395" s="3">
        <v>4</v>
      </c>
      <c r="O1395" s="3">
        <v>166250</v>
      </c>
      <c r="P1395" s="3">
        <v>302676</v>
      </c>
      <c r="Q1395" s="10">
        <v>0</v>
      </c>
      <c r="R1395" s="3">
        <f>(Таблица1[Размер кредита]-$AA$2)/$AA$3</f>
        <v>-1.2411115481956205E-10</v>
      </c>
      <c r="S1395" s="3">
        <f>(Таблица1[Кредитный рейтинг]-$AA$7)/($AA$8-$AA$7)</f>
        <v>0.95739014647137155</v>
      </c>
      <c r="T1395" s="3">
        <f>(Таблица1[Срок с последнего нарушения кредитного договора (мес,)]-$AA$12)/($AA$13-$AA$12)</f>
        <v>0.40074137090909095</v>
      </c>
      <c r="U1395" s="3">
        <f>(Таблица1[Количество кредитных карт]-$AA$18)/($AA$19-$AA$18)</f>
        <v>7.1428571428571425E-2</v>
      </c>
      <c r="V1395" s="3">
        <f>(Таблица1[Число нарушений кредитных договоров]-$AA$23)/($AA$24-$AA$23)</f>
        <v>0</v>
      </c>
      <c r="W1395" s="3">
        <f>Таблица1[[#This Row],[Годовой доход]]/12</f>
        <v>107106.16666666667</v>
      </c>
      <c r="X1395" s="3">
        <f>Таблица1[[#This Row],[Ежемесячный платеж]]/Таблица1[[#This Row],[Ежем доход]]</f>
        <v>0.10600005913136032</v>
      </c>
      <c r="Y1395" s="3"/>
      <c r="Z1395" s="3"/>
      <c r="AA1395" s="3"/>
      <c r="AB1395" s="3"/>
    </row>
    <row r="1396" spans="1:28" x14ac:dyDescent="0.2">
      <c r="A1396">
        <v>222</v>
      </c>
      <c r="B1396" t="s">
        <v>264</v>
      </c>
      <c r="C1396" t="s">
        <v>35</v>
      </c>
      <c r="D1396" t="s">
        <v>19</v>
      </c>
      <c r="E1396" t="s">
        <v>47</v>
      </c>
      <c r="F1396" t="s">
        <v>21</v>
      </c>
      <c r="G1396" t="s">
        <v>25</v>
      </c>
      <c r="H1396" s="1">
        <v>152966</v>
      </c>
      <c r="I1396" s="3">
        <v>708</v>
      </c>
      <c r="J1396" s="3">
        <v>1334902</v>
      </c>
      <c r="K1396" s="3">
        <v>10845.96</v>
      </c>
      <c r="L1396" s="2">
        <v>17.100000000000001</v>
      </c>
      <c r="M1396" s="11">
        <v>41</v>
      </c>
      <c r="N1396" s="3">
        <v>13</v>
      </c>
      <c r="O1396" s="3">
        <v>82593</v>
      </c>
      <c r="P1396" s="3">
        <v>302654</v>
      </c>
      <c r="Q1396" s="10">
        <v>0</v>
      </c>
      <c r="R1396" s="3">
        <f>(Таблица1[Размер кредита]-$AA$2)/$AA$3</f>
        <v>-0.89173018694277995</v>
      </c>
      <c r="S1396" s="3">
        <f>(Таблица1[Кредитный рейтинг]-$AA$7)/($AA$8-$AA$7)</f>
        <v>0.94274300932090549</v>
      </c>
      <c r="T1396" s="3">
        <f>(Таблица1[Срок с последнего нарушения кредитного договора (мес,)]-$AA$12)/($AA$13-$AA$12)</f>
        <v>0.46590909090909088</v>
      </c>
      <c r="U1396" s="3">
        <f>(Таблица1[Количество кредитных карт]-$AA$18)/($AA$19-$AA$18)</f>
        <v>0.2857142857142857</v>
      </c>
      <c r="V1396" s="3">
        <f>(Таблица1[Число нарушений кредитных договоров]-$AA$23)/($AA$24-$AA$23)</f>
        <v>0</v>
      </c>
      <c r="W1396" s="3">
        <f>Таблица1[[#This Row],[Годовой доход]]/12</f>
        <v>111241.83333333333</v>
      </c>
      <c r="X1396" s="3">
        <f>Таблица1[[#This Row],[Ежемесячный платеж]]/Таблица1[[#This Row],[Ежем доход]]</f>
        <v>9.7498932505906799E-2</v>
      </c>
      <c r="Y1396" s="3"/>
      <c r="Z1396" s="3"/>
      <c r="AA1396" s="3"/>
      <c r="AB1396" s="3"/>
    </row>
    <row r="1397" spans="1:28" x14ac:dyDescent="0.2">
      <c r="A1397">
        <v>518</v>
      </c>
      <c r="B1397" t="s">
        <v>559</v>
      </c>
      <c r="C1397" t="s">
        <v>18</v>
      </c>
      <c r="D1397" t="s">
        <v>19</v>
      </c>
      <c r="E1397" t="s">
        <v>20</v>
      </c>
      <c r="F1397" t="s">
        <v>33</v>
      </c>
      <c r="G1397" t="s">
        <v>25</v>
      </c>
      <c r="H1397" s="1">
        <v>257554</v>
      </c>
      <c r="I1397" s="3">
        <v>732</v>
      </c>
      <c r="J1397" s="3">
        <v>885096</v>
      </c>
      <c r="K1397" s="3">
        <v>11211.14</v>
      </c>
      <c r="L1397" s="2">
        <v>21.6</v>
      </c>
      <c r="M1397" s="11">
        <v>35.265240640000002</v>
      </c>
      <c r="N1397" s="3">
        <v>4</v>
      </c>
      <c r="O1397" s="3">
        <v>197239</v>
      </c>
      <c r="P1397" s="3">
        <v>302478</v>
      </c>
      <c r="Q1397" s="10">
        <v>0</v>
      </c>
      <c r="R1397" s="3">
        <f>(Таблица1[Размер кредита]-$AA$2)/$AA$3</f>
        <v>-0.29628132386844369</v>
      </c>
      <c r="S1397" s="3">
        <f>(Таблица1[Кредитный рейтинг]-$AA$7)/($AA$8-$AA$7)</f>
        <v>0.97470039946737685</v>
      </c>
      <c r="T1397" s="3">
        <f>(Таблица1[Срок с последнего нарушения кредитного договора (мес,)]-$AA$12)/($AA$13-$AA$12)</f>
        <v>0.40074137090909095</v>
      </c>
      <c r="U1397" s="3">
        <f>(Таблица1[Количество кредитных карт]-$AA$18)/($AA$19-$AA$18)</f>
        <v>7.1428571428571425E-2</v>
      </c>
      <c r="V1397" s="3">
        <f>(Таблица1[Число нарушений кредитных договоров]-$AA$23)/($AA$24-$AA$23)</f>
        <v>0</v>
      </c>
      <c r="W1397" s="3">
        <f>Таблица1[[#This Row],[Годовой доход]]/12</f>
        <v>73758</v>
      </c>
      <c r="X1397" s="3">
        <f>Таблица1[[#This Row],[Ежемесячный платеж]]/Таблица1[[#This Row],[Ежем доход]]</f>
        <v>0.15199896960329726</v>
      </c>
      <c r="Y1397" s="3"/>
      <c r="Z1397" s="3"/>
      <c r="AA1397" s="3"/>
      <c r="AB1397" s="3"/>
    </row>
    <row r="1398" spans="1:28" x14ac:dyDescent="0.2">
      <c r="A1398">
        <v>399</v>
      </c>
      <c r="B1398" t="s">
        <v>441</v>
      </c>
      <c r="C1398" t="s">
        <v>18</v>
      </c>
      <c r="D1398" t="s">
        <v>19</v>
      </c>
      <c r="E1398" t="s">
        <v>47</v>
      </c>
      <c r="F1398" t="s">
        <v>21</v>
      </c>
      <c r="G1398" t="s">
        <v>22</v>
      </c>
      <c r="H1398" s="1">
        <v>39138</v>
      </c>
      <c r="I1398" s="3">
        <v>731</v>
      </c>
      <c r="J1398" s="3">
        <v>751336</v>
      </c>
      <c r="K1398" s="3">
        <v>10894.41</v>
      </c>
      <c r="L1398" s="2">
        <v>10.6</v>
      </c>
      <c r="M1398" s="11">
        <v>27</v>
      </c>
      <c r="N1398" s="3">
        <v>11</v>
      </c>
      <c r="O1398" s="3">
        <v>77539</v>
      </c>
      <c r="P1398" s="3">
        <v>302302</v>
      </c>
      <c r="Q1398" s="10">
        <v>0</v>
      </c>
      <c r="R1398" s="3">
        <f>(Таблица1[Размер кредита]-$AA$2)/$AA$3</f>
        <v>-1.5397849655600739</v>
      </c>
      <c r="S1398" s="3">
        <f>(Таблица1[Кредитный рейтинг]-$AA$7)/($AA$8-$AA$7)</f>
        <v>0.97336884154460723</v>
      </c>
      <c r="T1398" s="3">
        <f>(Таблица1[Срок с последнего нарушения кредитного договора (мес,)]-$AA$12)/($AA$13-$AA$12)</f>
        <v>0.30681818181818182</v>
      </c>
      <c r="U1398" s="3">
        <f>(Таблица1[Количество кредитных карт]-$AA$18)/($AA$19-$AA$18)</f>
        <v>0.23809523809523808</v>
      </c>
      <c r="V1398" s="3">
        <f>(Таблица1[Число нарушений кредитных договоров]-$AA$23)/($AA$24-$AA$23)</f>
        <v>0</v>
      </c>
      <c r="W1398" s="3">
        <f>Таблица1[[#This Row],[Годовой доход]]/12</f>
        <v>62611.333333333336</v>
      </c>
      <c r="X1398" s="3">
        <f>Таблица1[[#This Row],[Ежемесячный платеж]]/Таблица1[[#This Row],[Ежем доход]]</f>
        <v>0.17400060691887517</v>
      </c>
      <c r="Y1398" s="3"/>
      <c r="Z1398" s="3"/>
      <c r="AA1398" s="3"/>
      <c r="AB1398" s="3"/>
    </row>
    <row r="1399" spans="1:28" x14ac:dyDescent="0.2">
      <c r="A1399">
        <v>1822</v>
      </c>
      <c r="B1399" t="s">
        <v>1860</v>
      </c>
      <c r="C1399" t="s">
        <v>18</v>
      </c>
      <c r="D1399" t="s">
        <v>29</v>
      </c>
      <c r="E1399" t="s">
        <v>24</v>
      </c>
      <c r="F1399" t="s">
        <v>33</v>
      </c>
      <c r="G1399" t="s">
        <v>25</v>
      </c>
      <c r="H1399" s="1">
        <v>434632</v>
      </c>
      <c r="I1399" s="3">
        <v>615</v>
      </c>
      <c r="J1399" s="3">
        <v>1557753</v>
      </c>
      <c r="K1399" s="3">
        <v>14539.18</v>
      </c>
      <c r="L1399" s="2">
        <v>14.1</v>
      </c>
      <c r="M1399" s="11">
        <v>67</v>
      </c>
      <c r="N1399" s="3">
        <v>16</v>
      </c>
      <c r="O1399" s="3">
        <v>146737</v>
      </c>
      <c r="P1399" s="3">
        <v>302302</v>
      </c>
      <c r="Q1399" s="10">
        <v>1</v>
      </c>
      <c r="R1399" s="3">
        <f>(Таблица1[Размер кредита]-$AA$2)/$AA$3</f>
        <v>0.71187347185838268</v>
      </c>
      <c r="S1399" s="3">
        <f>(Таблица1[Кредитный рейтинг]-$AA$7)/($AA$8-$AA$7)</f>
        <v>0.81890812250332889</v>
      </c>
      <c r="T1399" s="3">
        <f>(Таблица1[Срок с последнего нарушения кредитного договора (мес,)]-$AA$12)/($AA$13-$AA$12)</f>
        <v>0.76136363636363635</v>
      </c>
      <c r="U1399" s="3">
        <f>(Таблица1[Количество кредитных карт]-$AA$18)/($AA$19-$AA$18)</f>
        <v>0.35714285714285715</v>
      </c>
      <c r="V1399" s="3">
        <f>(Таблица1[Число нарушений кредитных договоров]-$AA$23)/($AA$24-$AA$23)</f>
        <v>0.14285714285714285</v>
      </c>
      <c r="W1399" s="3">
        <f>Таблица1[[#This Row],[Годовой доход]]/12</f>
        <v>129812.75</v>
      </c>
      <c r="X1399" s="3">
        <f>Таблица1[[#This Row],[Ежемесячный платеж]]/Таблица1[[#This Row],[Ежем доход]]</f>
        <v>0.11200117091734056</v>
      </c>
      <c r="Y1399" s="3"/>
      <c r="Z1399" s="3"/>
      <c r="AA1399" s="3"/>
      <c r="AB1399" s="3"/>
    </row>
    <row r="1400" spans="1:28" x14ac:dyDescent="0.2">
      <c r="A1400">
        <v>1832</v>
      </c>
      <c r="B1400" t="s">
        <v>1869</v>
      </c>
      <c r="C1400" t="s">
        <v>18</v>
      </c>
      <c r="D1400" t="s">
        <v>19</v>
      </c>
      <c r="E1400" t="s">
        <v>47</v>
      </c>
      <c r="F1400" t="s">
        <v>27</v>
      </c>
      <c r="G1400" t="s">
        <v>22</v>
      </c>
      <c r="H1400" s="1">
        <v>109670</v>
      </c>
      <c r="I1400" s="3">
        <v>740</v>
      </c>
      <c r="J1400" s="3">
        <v>852359</v>
      </c>
      <c r="K1400" s="3">
        <v>22303.15</v>
      </c>
      <c r="L1400" s="2">
        <v>35.5</v>
      </c>
      <c r="M1400" s="11">
        <v>35.265240640000002</v>
      </c>
      <c r="N1400" s="3">
        <v>16</v>
      </c>
      <c r="O1400" s="3">
        <v>110181</v>
      </c>
      <c r="P1400" s="3">
        <v>302302</v>
      </c>
      <c r="Q1400" s="10">
        <v>1</v>
      </c>
      <c r="R1400" s="3">
        <f>(Таблица1[Размер кредита]-$AA$2)/$AA$3</f>
        <v>-1.1382264769154964</v>
      </c>
      <c r="S1400" s="3">
        <f>(Таблица1[Кредитный рейтинг]-$AA$7)/($AA$8-$AA$7)</f>
        <v>0.98535286284953394</v>
      </c>
      <c r="T1400" s="3">
        <f>(Таблица1[Срок с последнего нарушения кредитного договора (мес,)]-$AA$12)/($AA$13-$AA$12)</f>
        <v>0.40074137090909095</v>
      </c>
      <c r="U1400" s="3">
        <f>(Таблица1[Количество кредитных карт]-$AA$18)/($AA$19-$AA$18)</f>
        <v>0.35714285714285715</v>
      </c>
      <c r="V1400" s="3">
        <f>(Таблица1[Число нарушений кредитных договоров]-$AA$23)/($AA$24-$AA$23)</f>
        <v>0.14285714285714285</v>
      </c>
      <c r="W1400" s="3">
        <f>Таблица1[[#This Row],[Годовой доход]]/12</f>
        <v>71029.916666666672</v>
      </c>
      <c r="X1400" s="3">
        <f>Таблица1[[#This Row],[Ежемесячный платеж]]/Таблица1[[#This Row],[Ежем доход]]</f>
        <v>0.31399656717416019</v>
      </c>
      <c r="Y1400" s="3"/>
      <c r="Z1400" s="3"/>
      <c r="AA1400" s="3"/>
      <c r="AB1400" s="3"/>
    </row>
    <row r="1401" spans="1:28" x14ac:dyDescent="0.2">
      <c r="A1401">
        <v>227</v>
      </c>
      <c r="B1401" t="s">
        <v>269</v>
      </c>
      <c r="C1401" t="s">
        <v>35</v>
      </c>
      <c r="D1401" t="s">
        <v>19</v>
      </c>
      <c r="E1401" t="s">
        <v>63</v>
      </c>
      <c r="F1401" t="s">
        <v>33</v>
      </c>
      <c r="G1401" t="s">
        <v>25</v>
      </c>
      <c r="H1401" s="1">
        <v>223850</v>
      </c>
      <c r="I1401" s="3">
        <v>0</v>
      </c>
      <c r="J1401" s="3">
        <v>1168044</v>
      </c>
      <c r="K1401" s="3">
        <v>7684.74</v>
      </c>
      <c r="L1401" s="2">
        <v>17.3</v>
      </c>
      <c r="M1401" s="11">
        <v>35.265240640000002</v>
      </c>
      <c r="N1401" s="3">
        <v>8</v>
      </c>
      <c r="O1401" s="3">
        <v>87609</v>
      </c>
      <c r="P1401" s="3">
        <v>301928</v>
      </c>
      <c r="Q1401" s="10">
        <v>0</v>
      </c>
      <c r="R1401" s="3">
        <f>(Таблица1[Размер кредита]-$AA$2)/$AA$3</f>
        <v>-0.48816766342037538</v>
      </c>
      <c r="S1401" s="3">
        <f>(Таблица1[Кредитный рейтинг]-$AA$7)/($AA$8-$AA$7)</f>
        <v>0</v>
      </c>
      <c r="T1401" s="3">
        <f>(Таблица1[Срок с последнего нарушения кредитного договора (мес,)]-$AA$12)/($AA$13-$AA$12)</f>
        <v>0.40074137090909095</v>
      </c>
      <c r="U1401" s="3">
        <f>(Таблица1[Количество кредитных карт]-$AA$18)/($AA$19-$AA$18)</f>
        <v>0.16666666666666666</v>
      </c>
      <c r="V1401" s="3">
        <f>(Таблица1[Число нарушений кредитных договоров]-$AA$23)/($AA$24-$AA$23)</f>
        <v>0</v>
      </c>
      <c r="W1401" s="3">
        <f>Таблица1[[#This Row],[Годовой доход]]/12</f>
        <v>97337</v>
      </c>
      <c r="X1401" s="3">
        <f>Таблица1[[#This Row],[Ежемесячный платеж]]/Таблица1[[#This Row],[Ежем доход]]</f>
        <v>7.8949834081592812E-2</v>
      </c>
      <c r="Y1401" s="3"/>
      <c r="Z1401" s="3"/>
      <c r="AA1401" s="3"/>
      <c r="AB1401" s="3"/>
    </row>
    <row r="1402" spans="1:28" x14ac:dyDescent="0.2">
      <c r="A1402">
        <v>1478</v>
      </c>
      <c r="B1402" t="s">
        <v>1517</v>
      </c>
      <c r="C1402" t="s">
        <v>18</v>
      </c>
      <c r="D1402" t="s">
        <v>19</v>
      </c>
      <c r="E1402" t="s">
        <v>63</v>
      </c>
      <c r="F1402" t="s">
        <v>27</v>
      </c>
      <c r="G1402" t="s">
        <v>25</v>
      </c>
      <c r="H1402" s="1">
        <v>309594.52439999999</v>
      </c>
      <c r="I1402" s="3">
        <v>733</v>
      </c>
      <c r="J1402" s="3">
        <v>971660</v>
      </c>
      <c r="K1402" s="3">
        <v>15465.43</v>
      </c>
      <c r="L1402" s="2">
        <v>19.100000000000001</v>
      </c>
      <c r="M1402" s="11">
        <v>35.265240640000002</v>
      </c>
      <c r="N1402" s="3">
        <v>8</v>
      </c>
      <c r="O1402" s="3">
        <v>249375</v>
      </c>
      <c r="P1402" s="3">
        <v>301400</v>
      </c>
      <c r="Q1402" s="10">
        <v>0</v>
      </c>
      <c r="R1402" s="3">
        <f>(Таблица1[Размер кредита]-$AA$2)/$AA$3</f>
        <v>-1.2411115481956205E-10</v>
      </c>
      <c r="S1402" s="3">
        <f>(Таблица1[Кредитный рейтинг]-$AA$7)/($AA$8-$AA$7)</f>
        <v>0.97603195739014648</v>
      </c>
      <c r="T1402" s="3">
        <f>(Таблица1[Срок с последнего нарушения кредитного договора (мес,)]-$AA$12)/($AA$13-$AA$12)</f>
        <v>0.40074137090909095</v>
      </c>
      <c r="U1402" s="3">
        <f>(Таблица1[Количество кредитных карт]-$AA$18)/($AA$19-$AA$18)</f>
        <v>0.16666666666666666</v>
      </c>
      <c r="V1402" s="3">
        <f>(Таблица1[Число нарушений кредитных договоров]-$AA$23)/($AA$24-$AA$23)</f>
        <v>0</v>
      </c>
      <c r="W1402" s="3">
        <f>Таблица1[[#This Row],[Годовой доход]]/12</f>
        <v>80971.666666666672</v>
      </c>
      <c r="X1402" s="3">
        <f>Таблица1[[#This Row],[Ежемесячный платеж]]/Таблица1[[#This Row],[Ежем доход]]</f>
        <v>0.19099804458349628</v>
      </c>
      <c r="Y1402" s="3"/>
      <c r="Z1402" s="3"/>
      <c r="AA1402" s="3"/>
      <c r="AB1402" s="3"/>
    </row>
    <row r="1403" spans="1:28" x14ac:dyDescent="0.2">
      <c r="A1403">
        <v>471</v>
      </c>
      <c r="B1403" t="s">
        <v>512</v>
      </c>
      <c r="C1403" t="s">
        <v>18</v>
      </c>
      <c r="D1403" t="s">
        <v>29</v>
      </c>
      <c r="E1403" t="s">
        <v>24</v>
      </c>
      <c r="F1403" t="s">
        <v>21</v>
      </c>
      <c r="G1403" t="s">
        <v>22</v>
      </c>
      <c r="H1403" s="1">
        <v>260216</v>
      </c>
      <c r="I1403" s="3">
        <v>664</v>
      </c>
      <c r="J1403" s="3">
        <v>1685547</v>
      </c>
      <c r="K1403" s="3">
        <v>17698.310000000001</v>
      </c>
      <c r="L1403" s="2">
        <v>14.8</v>
      </c>
      <c r="M1403" s="11">
        <v>35.265240640000002</v>
      </c>
      <c r="N1403" s="3">
        <v>12</v>
      </c>
      <c r="O1403" s="3">
        <v>71041</v>
      </c>
      <c r="P1403" s="3">
        <v>301290</v>
      </c>
      <c r="Q1403" s="10">
        <v>1</v>
      </c>
      <c r="R1403" s="3">
        <f>(Таблица1[Размер кредита]-$AA$2)/$AA$3</f>
        <v>-0.28112581010487731</v>
      </c>
      <c r="S1403" s="3">
        <f>(Таблица1[Кредитный рейтинг]-$AA$7)/($AA$8-$AA$7)</f>
        <v>0.88415446071904125</v>
      </c>
      <c r="T1403" s="3">
        <f>(Таблица1[Срок с последнего нарушения кредитного договора (мес,)]-$AA$12)/($AA$13-$AA$12)</f>
        <v>0.40074137090909095</v>
      </c>
      <c r="U1403" s="3">
        <f>(Таблица1[Количество кредитных карт]-$AA$18)/($AA$19-$AA$18)</f>
        <v>0.26190476190476192</v>
      </c>
      <c r="V1403" s="3">
        <f>(Таблица1[Число нарушений кредитных договоров]-$AA$23)/($AA$24-$AA$23)</f>
        <v>0.14285714285714285</v>
      </c>
      <c r="W1403" s="3">
        <f>Таблица1[[#This Row],[Годовой доход]]/12</f>
        <v>140462.25</v>
      </c>
      <c r="X1403" s="3">
        <f>Таблица1[[#This Row],[Ежемесячный платеж]]/Таблица1[[#This Row],[Ежем доход]]</f>
        <v>0.12600047343681312</v>
      </c>
      <c r="Y1403" s="3"/>
      <c r="Z1403" s="3"/>
      <c r="AA1403" s="3"/>
      <c r="AB1403" s="3"/>
    </row>
    <row r="1404" spans="1:28" x14ac:dyDescent="0.2">
      <c r="A1404">
        <v>533</v>
      </c>
      <c r="B1404" t="s">
        <v>574</v>
      </c>
      <c r="C1404" t="s">
        <v>18</v>
      </c>
      <c r="D1404" t="s">
        <v>19</v>
      </c>
      <c r="E1404" t="s">
        <v>47</v>
      </c>
      <c r="F1404" t="s">
        <v>21</v>
      </c>
      <c r="G1404" t="s">
        <v>25</v>
      </c>
      <c r="H1404" s="1">
        <v>132000</v>
      </c>
      <c r="I1404" s="3">
        <v>713</v>
      </c>
      <c r="J1404" s="3">
        <v>440895</v>
      </c>
      <c r="K1404" s="3">
        <v>6797.06</v>
      </c>
      <c r="L1404" s="2">
        <v>11.9</v>
      </c>
      <c r="M1404" s="11">
        <v>35.265240640000002</v>
      </c>
      <c r="N1404" s="3">
        <v>11</v>
      </c>
      <c r="O1404" s="3">
        <v>207347</v>
      </c>
      <c r="P1404" s="3">
        <v>301246</v>
      </c>
      <c r="Q1404" s="10">
        <v>0</v>
      </c>
      <c r="R1404" s="3">
        <f>(Таблица1[Размер кредита]-$AA$2)/$AA$3</f>
        <v>-1.0110955143533484</v>
      </c>
      <c r="S1404" s="3">
        <f>(Таблица1[Кредитный рейтинг]-$AA$7)/($AA$8-$AA$7)</f>
        <v>0.94940079893475371</v>
      </c>
      <c r="T1404" s="3">
        <f>(Таблица1[Срок с последнего нарушения кредитного договора (мес,)]-$AA$12)/($AA$13-$AA$12)</f>
        <v>0.40074137090909095</v>
      </c>
      <c r="U1404" s="3">
        <f>(Таблица1[Количество кредитных карт]-$AA$18)/($AA$19-$AA$18)</f>
        <v>0.23809523809523808</v>
      </c>
      <c r="V1404" s="3">
        <f>(Таблица1[Число нарушений кредитных договоров]-$AA$23)/($AA$24-$AA$23)</f>
        <v>0</v>
      </c>
      <c r="W1404" s="3">
        <f>Таблица1[[#This Row],[Годовой доход]]/12</f>
        <v>36741.25</v>
      </c>
      <c r="X1404" s="3">
        <f>Таблица1[[#This Row],[Ежемесячный платеж]]/Таблица1[[#This Row],[Ежем доход]]</f>
        <v>0.18499806076276665</v>
      </c>
      <c r="Y1404" s="3"/>
      <c r="Z1404" s="3"/>
      <c r="AA1404" s="3"/>
      <c r="AB1404" s="3"/>
    </row>
    <row r="1405" spans="1:28" x14ac:dyDescent="0.2">
      <c r="A1405">
        <v>1264</v>
      </c>
      <c r="B1405" t="s">
        <v>1303</v>
      </c>
      <c r="C1405" t="s">
        <v>35</v>
      </c>
      <c r="D1405" t="s">
        <v>19</v>
      </c>
      <c r="E1405" t="s">
        <v>41</v>
      </c>
      <c r="F1405" t="s">
        <v>33</v>
      </c>
      <c r="G1405" t="s">
        <v>25</v>
      </c>
      <c r="H1405" s="1">
        <v>142912</v>
      </c>
      <c r="I1405" s="3">
        <v>0</v>
      </c>
      <c r="J1405" s="3">
        <v>1168044</v>
      </c>
      <c r="K1405" s="3">
        <v>6147.64</v>
      </c>
      <c r="L1405" s="2">
        <v>9.5</v>
      </c>
      <c r="M1405" s="11">
        <v>37</v>
      </c>
      <c r="N1405" s="3">
        <v>7</v>
      </c>
      <c r="O1405" s="3">
        <v>123291</v>
      </c>
      <c r="P1405" s="3">
        <v>301158</v>
      </c>
      <c r="Q1405" s="10">
        <v>0</v>
      </c>
      <c r="R1405" s="3">
        <f>(Таблица1[Размер кредита]-$AA$2)/$AA$3</f>
        <v>-0.94897043314071261</v>
      </c>
      <c r="S1405" s="3">
        <f>(Таблица1[Кредитный рейтинг]-$AA$7)/($AA$8-$AA$7)</f>
        <v>0</v>
      </c>
      <c r="T1405" s="3">
        <f>(Таблица1[Срок с последнего нарушения кредитного договора (мес,)]-$AA$12)/($AA$13-$AA$12)</f>
        <v>0.42045454545454547</v>
      </c>
      <c r="U1405" s="3">
        <f>(Таблица1[Количество кредитных карт]-$AA$18)/($AA$19-$AA$18)</f>
        <v>0.14285714285714285</v>
      </c>
      <c r="V1405" s="3">
        <f>(Таблица1[Число нарушений кредитных договоров]-$AA$23)/($AA$24-$AA$23)</f>
        <v>0</v>
      </c>
      <c r="W1405" s="3">
        <f>Таблица1[[#This Row],[Годовой доход]]/12</f>
        <v>97337</v>
      </c>
      <c r="X1405" s="3">
        <f>Таблица1[[#This Row],[Ежемесячный платеж]]/Таблица1[[#This Row],[Ежем доход]]</f>
        <v>6.3158305680265467E-2</v>
      </c>
      <c r="Y1405" s="3"/>
      <c r="Z1405" s="3"/>
      <c r="AA1405" s="3"/>
      <c r="AB1405" s="3"/>
    </row>
    <row r="1406" spans="1:28" x14ac:dyDescent="0.2">
      <c r="A1406">
        <v>161</v>
      </c>
      <c r="B1406" t="s">
        <v>203</v>
      </c>
      <c r="C1406" t="s">
        <v>35</v>
      </c>
      <c r="D1406" t="s">
        <v>19</v>
      </c>
      <c r="E1406" t="s">
        <v>24</v>
      </c>
      <c r="F1406" t="s">
        <v>33</v>
      </c>
      <c r="G1406" t="s">
        <v>25</v>
      </c>
      <c r="H1406" s="1">
        <v>87912</v>
      </c>
      <c r="I1406" s="3">
        <v>750</v>
      </c>
      <c r="J1406" s="3">
        <v>960184</v>
      </c>
      <c r="K1406" s="3">
        <v>3432.73</v>
      </c>
      <c r="L1406" s="2">
        <v>43.3</v>
      </c>
      <c r="M1406" s="11">
        <v>42</v>
      </c>
      <c r="N1406" s="3">
        <v>9</v>
      </c>
      <c r="O1406" s="3">
        <v>86051</v>
      </c>
      <c r="P1406" s="3">
        <v>301026</v>
      </c>
      <c r="Q1406" s="10">
        <v>0</v>
      </c>
      <c r="R1406" s="3">
        <f>(Таблица1[Размер кредита]-$AA$2)/$AA$3</f>
        <v>-1.2621008828011755</v>
      </c>
      <c r="S1406" s="3">
        <f>(Таблица1[Кредитный рейтинг]-$AA$7)/($AA$8-$AA$7)</f>
        <v>0.99866844207723038</v>
      </c>
      <c r="T1406" s="3">
        <f>(Таблица1[Срок с последнего нарушения кредитного договора (мес,)]-$AA$12)/($AA$13-$AA$12)</f>
        <v>0.47727272727272729</v>
      </c>
      <c r="U1406" s="3">
        <f>(Таблица1[Количество кредитных карт]-$AA$18)/($AA$19-$AA$18)</f>
        <v>0.19047619047619047</v>
      </c>
      <c r="V1406" s="3">
        <f>(Таблица1[Число нарушений кредитных договоров]-$AA$23)/($AA$24-$AA$23)</f>
        <v>0</v>
      </c>
      <c r="W1406" s="3">
        <f>Таблица1[[#This Row],[Годовой доход]]/12</f>
        <v>80015.333333333328</v>
      </c>
      <c r="X1406" s="3">
        <f>Таблица1[[#This Row],[Ежемесячный платеж]]/Таблица1[[#This Row],[Ежем доход]]</f>
        <v>4.2900902327053986E-2</v>
      </c>
      <c r="Y1406" s="3"/>
      <c r="Z1406" s="3"/>
      <c r="AA1406" s="3"/>
      <c r="AB1406" s="3"/>
    </row>
    <row r="1407" spans="1:28" x14ac:dyDescent="0.2">
      <c r="A1407">
        <v>1107</v>
      </c>
      <c r="B1407" t="s">
        <v>1146</v>
      </c>
      <c r="C1407" t="s">
        <v>18</v>
      </c>
      <c r="D1407" t="s">
        <v>19</v>
      </c>
      <c r="E1407" t="s">
        <v>47</v>
      </c>
      <c r="F1407" t="s">
        <v>33</v>
      </c>
      <c r="G1407" t="s">
        <v>25</v>
      </c>
      <c r="H1407" s="1">
        <v>234740</v>
      </c>
      <c r="I1407" s="3">
        <v>0</v>
      </c>
      <c r="J1407" s="3">
        <v>1168044</v>
      </c>
      <c r="K1407" s="3">
        <v>14366.09</v>
      </c>
      <c r="L1407" s="2">
        <v>12.3</v>
      </c>
      <c r="M1407" s="11">
        <v>35.265240640000002</v>
      </c>
      <c r="N1407" s="3">
        <v>6</v>
      </c>
      <c r="O1407" s="3">
        <v>120004</v>
      </c>
      <c r="P1407" s="3">
        <v>300124</v>
      </c>
      <c r="Q1407" s="10">
        <v>0</v>
      </c>
      <c r="R1407" s="3">
        <f>(Таблица1[Размер кредита]-$AA$2)/$AA$3</f>
        <v>-0.42616783438760369</v>
      </c>
      <c r="S1407" s="3">
        <f>(Таблица1[Кредитный рейтинг]-$AA$7)/($AA$8-$AA$7)</f>
        <v>0</v>
      </c>
      <c r="T1407" s="3">
        <f>(Таблица1[Срок с последнего нарушения кредитного договора (мес,)]-$AA$12)/($AA$13-$AA$12)</f>
        <v>0.40074137090909095</v>
      </c>
      <c r="U1407" s="3">
        <f>(Таблица1[Количество кредитных карт]-$AA$18)/($AA$19-$AA$18)</f>
        <v>0.11904761904761904</v>
      </c>
      <c r="V1407" s="3">
        <f>(Таблица1[Число нарушений кредитных договоров]-$AA$23)/($AA$24-$AA$23)</f>
        <v>0</v>
      </c>
      <c r="W1407" s="3">
        <f>Таблица1[[#This Row],[Годовой доход]]/12</f>
        <v>97337</v>
      </c>
      <c r="X1407" s="3">
        <f>Таблица1[[#This Row],[Ежемесячный платеж]]/Таблица1[[#This Row],[Ежем доход]]</f>
        <v>0.1475912551239508</v>
      </c>
      <c r="Y1407" s="3"/>
      <c r="Z1407" s="3"/>
      <c r="AA1407" s="3"/>
      <c r="AB1407" s="3"/>
    </row>
    <row r="1408" spans="1:28" x14ac:dyDescent="0.2">
      <c r="A1408">
        <v>947</v>
      </c>
      <c r="B1408" t="s">
        <v>988</v>
      </c>
      <c r="C1408" t="s">
        <v>18</v>
      </c>
      <c r="D1408" t="s">
        <v>19</v>
      </c>
      <c r="E1408" t="s">
        <v>69</v>
      </c>
      <c r="F1408" t="s">
        <v>21</v>
      </c>
      <c r="G1408" t="s">
        <v>22</v>
      </c>
      <c r="H1408" s="1">
        <v>162932</v>
      </c>
      <c r="I1408" s="3">
        <v>748</v>
      </c>
      <c r="J1408" s="3">
        <v>844227</v>
      </c>
      <c r="K1408" s="3">
        <v>13380.94</v>
      </c>
      <c r="L1408" s="2">
        <v>19.399999999999999</v>
      </c>
      <c r="M1408" s="11">
        <v>35.265240640000002</v>
      </c>
      <c r="N1408" s="3">
        <v>8</v>
      </c>
      <c r="O1408" s="3">
        <v>139555</v>
      </c>
      <c r="P1408" s="3">
        <v>299244</v>
      </c>
      <c r="Q1408" s="10">
        <v>0</v>
      </c>
      <c r="R1408" s="3">
        <f>(Таблица1[Размер кредита]-$AA$2)/$AA$3</f>
        <v>-0.83499094946430408</v>
      </c>
      <c r="S1408" s="3">
        <f>(Таблица1[Кредитный рейтинг]-$AA$7)/($AA$8-$AA$7)</f>
        <v>0.99600532623169102</v>
      </c>
      <c r="T1408" s="3">
        <f>(Таблица1[Срок с последнего нарушения кредитного договора (мес,)]-$AA$12)/($AA$13-$AA$12)</f>
        <v>0.40074137090909095</v>
      </c>
      <c r="U1408" s="3">
        <f>(Таблица1[Количество кредитных карт]-$AA$18)/($AA$19-$AA$18)</f>
        <v>0.16666666666666666</v>
      </c>
      <c r="V1408" s="3">
        <f>(Таблица1[Число нарушений кредитных договоров]-$AA$23)/($AA$24-$AA$23)</f>
        <v>0</v>
      </c>
      <c r="W1408" s="3">
        <f>Таблица1[[#This Row],[Годовой доход]]/12</f>
        <v>70352.25</v>
      </c>
      <c r="X1408" s="3">
        <f>Таблица1[[#This Row],[Ежемесячный платеж]]/Таблица1[[#This Row],[Ежем доход]]</f>
        <v>0.19019917628789415</v>
      </c>
      <c r="Y1408" s="3"/>
      <c r="Z1408" s="3"/>
      <c r="AA1408" s="3"/>
      <c r="AB1408" s="3"/>
    </row>
    <row r="1409" spans="1:28" x14ac:dyDescent="0.2">
      <c r="A1409">
        <v>173</v>
      </c>
      <c r="B1409" t="s">
        <v>215</v>
      </c>
      <c r="C1409" t="s">
        <v>18</v>
      </c>
      <c r="D1409" t="s">
        <v>19</v>
      </c>
      <c r="E1409" t="s">
        <v>24</v>
      </c>
      <c r="F1409" t="s">
        <v>33</v>
      </c>
      <c r="G1409" t="s">
        <v>25</v>
      </c>
      <c r="H1409" s="1">
        <v>309594.52439999999</v>
      </c>
      <c r="I1409" s="3">
        <v>725</v>
      </c>
      <c r="J1409" s="3">
        <v>1048363</v>
      </c>
      <c r="K1409" s="3">
        <v>14152.91</v>
      </c>
      <c r="L1409" s="2">
        <v>21</v>
      </c>
      <c r="M1409" s="11">
        <v>35.265240640000002</v>
      </c>
      <c r="N1409" s="3">
        <v>11</v>
      </c>
      <c r="O1409" s="3">
        <v>210045</v>
      </c>
      <c r="P1409" s="3">
        <v>299156</v>
      </c>
      <c r="Q1409" s="10">
        <v>1</v>
      </c>
      <c r="R1409" s="3">
        <f>(Таблица1[Размер кредита]-$AA$2)/$AA$3</f>
        <v>-1.2411115481956205E-10</v>
      </c>
      <c r="S1409" s="3">
        <f>(Таблица1[Кредитный рейтинг]-$AA$7)/($AA$8-$AA$7)</f>
        <v>0.96537949400798939</v>
      </c>
      <c r="T1409" s="3">
        <f>(Таблица1[Срок с последнего нарушения кредитного договора (мес,)]-$AA$12)/($AA$13-$AA$12)</f>
        <v>0.40074137090909095</v>
      </c>
      <c r="U1409" s="3">
        <f>(Таблица1[Количество кредитных карт]-$AA$18)/($AA$19-$AA$18)</f>
        <v>0.23809523809523808</v>
      </c>
      <c r="V1409" s="3">
        <f>(Таблица1[Число нарушений кредитных договоров]-$AA$23)/($AA$24-$AA$23)</f>
        <v>0.14285714285714285</v>
      </c>
      <c r="W1409" s="3">
        <f>Таблица1[[#This Row],[Годовой доход]]/12</f>
        <v>87363.583333333328</v>
      </c>
      <c r="X1409" s="3">
        <f>Таблица1[[#This Row],[Ежемесячный платеж]]/Таблица1[[#This Row],[Ежем доход]]</f>
        <v>0.16200010874096091</v>
      </c>
      <c r="Y1409" s="3"/>
      <c r="Z1409" s="3"/>
      <c r="AA1409" s="3"/>
      <c r="AB1409" s="3"/>
    </row>
    <row r="1410" spans="1:28" x14ac:dyDescent="0.2">
      <c r="A1410">
        <v>529</v>
      </c>
      <c r="B1410" t="s">
        <v>570</v>
      </c>
      <c r="C1410" t="s">
        <v>18</v>
      </c>
      <c r="D1410" t="s">
        <v>19</v>
      </c>
      <c r="E1410" t="s">
        <v>47</v>
      </c>
      <c r="F1410" t="s">
        <v>33</v>
      </c>
      <c r="G1410" t="s">
        <v>25</v>
      </c>
      <c r="H1410" s="1">
        <v>223102</v>
      </c>
      <c r="I1410" s="3">
        <v>724</v>
      </c>
      <c r="J1410" s="3">
        <v>1965322</v>
      </c>
      <c r="K1410" s="3">
        <v>20799.68</v>
      </c>
      <c r="L1410" s="2">
        <v>31</v>
      </c>
      <c r="M1410" s="11">
        <v>35.265240640000002</v>
      </c>
      <c r="N1410" s="3">
        <v>4</v>
      </c>
      <c r="O1410" s="3">
        <v>233472</v>
      </c>
      <c r="P1410" s="3">
        <v>299046</v>
      </c>
      <c r="Q1410" s="10">
        <v>0</v>
      </c>
      <c r="R1410" s="3">
        <f>(Таблица1[Размер кредита]-$AA$2)/$AA$3</f>
        <v>-0.49242623753575765</v>
      </c>
      <c r="S1410" s="3">
        <f>(Таблица1[Кредитный рейтинг]-$AA$7)/($AA$8-$AA$7)</f>
        <v>0.96404793608521966</v>
      </c>
      <c r="T1410" s="3">
        <f>(Таблица1[Срок с последнего нарушения кредитного договора (мес,)]-$AA$12)/($AA$13-$AA$12)</f>
        <v>0.40074137090909095</v>
      </c>
      <c r="U1410" s="3">
        <f>(Таблица1[Количество кредитных карт]-$AA$18)/($AA$19-$AA$18)</f>
        <v>7.1428571428571425E-2</v>
      </c>
      <c r="V1410" s="3">
        <f>(Таблица1[Число нарушений кредитных договоров]-$AA$23)/($AA$24-$AA$23)</f>
        <v>0</v>
      </c>
      <c r="W1410" s="3">
        <f>Таблица1[[#This Row],[Годовой доход]]/12</f>
        <v>163776.83333333334</v>
      </c>
      <c r="X1410" s="3">
        <f>Таблица1[[#This Row],[Ежемесячный платеж]]/Таблица1[[#This Row],[Ежем доход]]</f>
        <v>0.12700013534677779</v>
      </c>
      <c r="Y1410" s="3"/>
      <c r="Z1410" s="3"/>
      <c r="AA1410" s="3"/>
      <c r="AB1410" s="3"/>
    </row>
    <row r="1411" spans="1:28" x14ac:dyDescent="0.2">
      <c r="A1411">
        <v>1611</v>
      </c>
      <c r="B1411" t="s">
        <v>1650</v>
      </c>
      <c r="C1411" t="s">
        <v>18</v>
      </c>
      <c r="D1411" t="s">
        <v>19</v>
      </c>
      <c r="E1411" t="s">
        <v>52</v>
      </c>
      <c r="F1411" t="s">
        <v>21</v>
      </c>
      <c r="G1411" t="s">
        <v>25</v>
      </c>
      <c r="H1411" s="1">
        <v>137610</v>
      </c>
      <c r="I1411" s="3">
        <v>735</v>
      </c>
      <c r="J1411" s="3">
        <v>1114122</v>
      </c>
      <c r="K1411" s="3">
        <v>8615.93</v>
      </c>
      <c r="L1411" s="2">
        <v>10.7</v>
      </c>
      <c r="M1411" s="11">
        <v>35.265240640000002</v>
      </c>
      <c r="N1411" s="3">
        <v>10</v>
      </c>
      <c r="O1411" s="3">
        <v>119738</v>
      </c>
      <c r="P1411" s="3">
        <v>298804</v>
      </c>
      <c r="Q1411" s="10">
        <v>0</v>
      </c>
      <c r="R1411" s="3">
        <f>(Таблица1[Размер кредита]-$AA$2)/$AA$3</f>
        <v>-0.97915620848798124</v>
      </c>
      <c r="S1411" s="3">
        <f>(Таблица1[Кредитный рейтинг]-$AA$7)/($AA$8-$AA$7)</f>
        <v>0.97869507323568572</v>
      </c>
      <c r="T1411" s="3">
        <f>(Таблица1[Срок с последнего нарушения кредитного договора (мес,)]-$AA$12)/($AA$13-$AA$12)</f>
        <v>0.40074137090909095</v>
      </c>
      <c r="U1411" s="3">
        <f>(Таблица1[Количество кредитных карт]-$AA$18)/($AA$19-$AA$18)</f>
        <v>0.21428571428571427</v>
      </c>
      <c r="V1411" s="3">
        <f>(Таблица1[Число нарушений кредитных договоров]-$AA$23)/($AA$24-$AA$23)</f>
        <v>0</v>
      </c>
      <c r="W1411" s="3">
        <f>Таблица1[[#This Row],[Годовой доход]]/12</f>
        <v>92843.5</v>
      </c>
      <c r="X1411" s="3">
        <f>Таблица1[[#This Row],[Ежемесячный платеж]]/Таблица1[[#This Row],[Ежем доход]]</f>
        <v>9.2800573007264922E-2</v>
      </c>
      <c r="Y1411" s="3"/>
      <c r="Z1411" s="3"/>
      <c r="AA1411" s="3"/>
      <c r="AB1411" s="3"/>
    </row>
    <row r="1412" spans="1:28" x14ac:dyDescent="0.2">
      <c r="A1412">
        <v>474</v>
      </c>
      <c r="B1412" t="s">
        <v>515</v>
      </c>
      <c r="C1412" t="s">
        <v>18</v>
      </c>
      <c r="D1412" t="s">
        <v>19</v>
      </c>
      <c r="E1412" t="s">
        <v>63</v>
      </c>
      <c r="F1412" t="s">
        <v>33</v>
      </c>
      <c r="G1412" t="s">
        <v>25</v>
      </c>
      <c r="H1412" s="1">
        <v>309594.52439999999</v>
      </c>
      <c r="I1412" s="3">
        <v>737</v>
      </c>
      <c r="J1412" s="3">
        <v>1324452</v>
      </c>
      <c r="K1412" s="3">
        <v>23619.47</v>
      </c>
      <c r="L1412" s="2">
        <v>12.8</v>
      </c>
      <c r="M1412" s="11">
        <v>25</v>
      </c>
      <c r="N1412" s="3">
        <v>30</v>
      </c>
      <c r="O1412" s="3">
        <v>108908</v>
      </c>
      <c r="P1412" s="3">
        <v>298100</v>
      </c>
      <c r="Q1412" s="10">
        <v>0</v>
      </c>
      <c r="R1412" s="3">
        <f>(Таблица1[Размер кредита]-$AA$2)/$AA$3</f>
        <v>-1.2411115481956205E-10</v>
      </c>
      <c r="S1412" s="3">
        <f>(Таблица1[Кредитный рейтинг]-$AA$7)/($AA$8-$AA$7)</f>
        <v>0.98135818908122507</v>
      </c>
      <c r="T1412" s="3">
        <f>(Таблица1[Срок с последнего нарушения кредитного договора (мес,)]-$AA$12)/($AA$13-$AA$12)</f>
        <v>0.28409090909090912</v>
      </c>
      <c r="U1412" s="3">
        <f>(Таблица1[Количество кредитных карт]-$AA$18)/($AA$19-$AA$18)</f>
        <v>0.69047619047619047</v>
      </c>
      <c r="V1412" s="3">
        <f>(Таблица1[Число нарушений кредитных договоров]-$AA$23)/($AA$24-$AA$23)</f>
        <v>0</v>
      </c>
      <c r="W1412" s="3">
        <f>Таблица1[[#This Row],[Годовой доход]]/12</f>
        <v>110371</v>
      </c>
      <c r="X1412" s="3">
        <f>Таблица1[[#This Row],[Ежемесячный платеж]]/Таблица1[[#This Row],[Ежем доход]]</f>
        <v>0.21400068858667587</v>
      </c>
      <c r="Y1412" s="3"/>
      <c r="Z1412" s="3"/>
      <c r="AA1412" s="3"/>
      <c r="AB1412" s="3"/>
    </row>
    <row r="1413" spans="1:28" x14ac:dyDescent="0.2">
      <c r="A1413">
        <v>1544</v>
      </c>
      <c r="B1413" t="s">
        <v>1583</v>
      </c>
      <c r="C1413" t="s">
        <v>18</v>
      </c>
      <c r="D1413" t="s">
        <v>19</v>
      </c>
      <c r="E1413" t="s">
        <v>47</v>
      </c>
      <c r="F1413" t="s">
        <v>21</v>
      </c>
      <c r="G1413" t="s">
        <v>25</v>
      </c>
      <c r="H1413" s="1">
        <v>351296</v>
      </c>
      <c r="I1413" s="3">
        <v>0</v>
      </c>
      <c r="J1413" s="3">
        <v>1168044</v>
      </c>
      <c r="K1413" s="3">
        <v>45129.56</v>
      </c>
      <c r="L1413" s="2">
        <v>12.1</v>
      </c>
      <c r="M1413" s="11">
        <v>35.265240640000002</v>
      </c>
      <c r="N1413" s="3">
        <v>22</v>
      </c>
      <c r="O1413" s="3">
        <v>149264</v>
      </c>
      <c r="P1413" s="3">
        <v>297990</v>
      </c>
      <c r="Q1413" s="10">
        <v>0</v>
      </c>
      <c r="R1413" s="3">
        <f>(Таблица1[Размер кредита]-$AA$2)/$AA$3</f>
        <v>0.23741821453284928</v>
      </c>
      <c r="S1413" s="3">
        <f>(Таблица1[Кредитный рейтинг]-$AA$7)/($AA$8-$AA$7)</f>
        <v>0</v>
      </c>
      <c r="T1413" s="3">
        <f>(Таблица1[Срок с последнего нарушения кредитного договора (мес,)]-$AA$12)/($AA$13-$AA$12)</f>
        <v>0.40074137090909095</v>
      </c>
      <c r="U1413" s="3">
        <f>(Таблица1[Количество кредитных карт]-$AA$18)/($AA$19-$AA$18)</f>
        <v>0.5</v>
      </c>
      <c r="V1413" s="3">
        <f>(Таблица1[Число нарушений кредитных договоров]-$AA$23)/($AA$24-$AA$23)</f>
        <v>0</v>
      </c>
      <c r="W1413" s="3">
        <f>Таблица1[[#This Row],[Годовой доход]]/12</f>
        <v>97337</v>
      </c>
      <c r="X1413" s="3">
        <f>Таблица1[[#This Row],[Ежемесячный платеж]]/Таблица1[[#This Row],[Ежем доход]]</f>
        <v>0.46364239703298848</v>
      </c>
      <c r="Y1413" s="3"/>
      <c r="Z1413" s="3"/>
      <c r="AA1413" s="3"/>
      <c r="AB1413" s="3"/>
    </row>
    <row r="1414" spans="1:28" x14ac:dyDescent="0.2">
      <c r="A1414">
        <v>881</v>
      </c>
      <c r="B1414" t="s">
        <v>922</v>
      </c>
      <c r="C1414" t="s">
        <v>18</v>
      </c>
      <c r="D1414" t="s">
        <v>19</v>
      </c>
      <c r="E1414" t="s">
        <v>63</v>
      </c>
      <c r="F1414" t="s">
        <v>21</v>
      </c>
      <c r="G1414" t="s">
        <v>25</v>
      </c>
      <c r="H1414" s="1">
        <v>134332</v>
      </c>
      <c r="I1414" s="3">
        <v>0</v>
      </c>
      <c r="J1414" s="3">
        <v>1168044</v>
      </c>
      <c r="K1414" s="3">
        <v>12567.36</v>
      </c>
      <c r="L1414" s="2">
        <v>7</v>
      </c>
      <c r="M1414" s="11">
        <v>29</v>
      </c>
      <c r="N1414" s="3">
        <v>11</v>
      </c>
      <c r="O1414" s="3">
        <v>128383</v>
      </c>
      <c r="P1414" s="3">
        <v>297902</v>
      </c>
      <c r="Q1414" s="10">
        <v>0</v>
      </c>
      <c r="R1414" s="3">
        <f>(Таблица1[Размер кредита]-$AA$2)/$AA$3</f>
        <v>-0.99781878328774476</v>
      </c>
      <c r="S1414" s="3">
        <f>(Таблица1[Кредитный рейтинг]-$AA$7)/($AA$8-$AA$7)</f>
        <v>0</v>
      </c>
      <c r="T1414" s="3">
        <f>(Таблица1[Срок с последнего нарушения кредитного договора (мес,)]-$AA$12)/($AA$13-$AA$12)</f>
        <v>0.32954545454545453</v>
      </c>
      <c r="U1414" s="3">
        <f>(Таблица1[Количество кредитных карт]-$AA$18)/($AA$19-$AA$18)</f>
        <v>0.23809523809523808</v>
      </c>
      <c r="V1414" s="3">
        <f>(Таблица1[Число нарушений кредитных договоров]-$AA$23)/($AA$24-$AA$23)</f>
        <v>0</v>
      </c>
      <c r="W1414" s="3">
        <f>Таблица1[[#This Row],[Годовой доход]]/12</f>
        <v>97337</v>
      </c>
      <c r="X1414" s="3">
        <f>Таблица1[[#This Row],[Ежемесячный платеж]]/Таблица1[[#This Row],[Ежем доход]]</f>
        <v>0.12911184852625415</v>
      </c>
      <c r="Y1414" s="3"/>
      <c r="Z1414" s="3"/>
      <c r="AA1414" s="3"/>
      <c r="AB1414" s="3"/>
    </row>
    <row r="1415" spans="1:28" x14ac:dyDescent="0.2">
      <c r="A1415">
        <v>816</v>
      </c>
      <c r="B1415" t="s">
        <v>857</v>
      </c>
      <c r="C1415" t="s">
        <v>35</v>
      </c>
      <c r="D1415" t="s">
        <v>19</v>
      </c>
      <c r="E1415" t="s">
        <v>47</v>
      </c>
      <c r="F1415" t="s">
        <v>27</v>
      </c>
      <c r="G1415" t="s">
        <v>25</v>
      </c>
      <c r="H1415" s="1">
        <v>110814</v>
      </c>
      <c r="I1415" s="3">
        <v>742</v>
      </c>
      <c r="J1415" s="3">
        <v>459325</v>
      </c>
      <c r="K1415" s="3">
        <v>8306.23</v>
      </c>
      <c r="L1415" s="2">
        <v>7.9</v>
      </c>
      <c r="M1415" s="11">
        <v>43</v>
      </c>
      <c r="N1415" s="3">
        <v>15</v>
      </c>
      <c r="O1415" s="3">
        <v>125153</v>
      </c>
      <c r="P1415" s="3">
        <v>296956</v>
      </c>
      <c r="Q1415" s="10">
        <v>0</v>
      </c>
      <c r="R1415" s="3">
        <f>(Таблица1[Размер кредита]-$AA$2)/$AA$3</f>
        <v>-1.1317133635625587</v>
      </c>
      <c r="S1415" s="3">
        <f>(Таблица1[Кредитный рейтинг]-$AA$7)/($AA$8-$AA$7)</f>
        <v>0.98801597869507318</v>
      </c>
      <c r="T1415" s="3">
        <f>(Таблица1[Срок с последнего нарушения кредитного договора (мес,)]-$AA$12)/($AA$13-$AA$12)</f>
        <v>0.48863636363636365</v>
      </c>
      <c r="U1415" s="3">
        <f>(Таблица1[Количество кредитных карт]-$AA$18)/($AA$19-$AA$18)</f>
        <v>0.33333333333333331</v>
      </c>
      <c r="V1415" s="3">
        <f>(Таблица1[Число нарушений кредитных договоров]-$AA$23)/($AA$24-$AA$23)</f>
        <v>0</v>
      </c>
      <c r="W1415" s="3">
        <f>Таблица1[[#This Row],[Годовой доход]]/12</f>
        <v>38277.083333333336</v>
      </c>
      <c r="X1415" s="3">
        <f>Таблица1[[#This Row],[Ежемесячный платеж]]/Таблица1[[#This Row],[Ежем доход]]</f>
        <v>0.21700268872802481</v>
      </c>
      <c r="Y1415" s="3"/>
      <c r="Z1415" s="3"/>
      <c r="AA1415" s="3"/>
      <c r="AB1415" s="3"/>
    </row>
    <row r="1416" spans="1:28" x14ac:dyDescent="0.2">
      <c r="A1416">
        <v>279</v>
      </c>
      <c r="B1416" t="s">
        <v>321</v>
      </c>
      <c r="C1416" t="s">
        <v>35</v>
      </c>
      <c r="D1416" t="s">
        <v>19</v>
      </c>
      <c r="E1416" t="s">
        <v>63</v>
      </c>
      <c r="F1416" t="s">
        <v>27</v>
      </c>
      <c r="G1416" t="s">
        <v>70</v>
      </c>
      <c r="H1416" s="1">
        <v>224796</v>
      </c>
      <c r="I1416" s="3">
        <v>681</v>
      </c>
      <c r="J1416" s="3">
        <v>573819</v>
      </c>
      <c r="K1416" s="3">
        <v>4925.37</v>
      </c>
      <c r="L1416" s="2">
        <v>11.4</v>
      </c>
      <c r="M1416" s="11">
        <v>20</v>
      </c>
      <c r="N1416" s="3">
        <v>6</v>
      </c>
      <c r="O1416" s="3">
        <v>115862</v>
      </c>
      <c r="P1416" s="3">
        <v>296780</v>
      </c>
      <c r="Q1416" s="10">
        <v>0</v>
      </c>
      <c r="R1416" s="3">
        <f>(Таблица1[Размер кредита]-$AA$2)/$AA$3</f>
        <v>-0.48278181968621542</v>
      </c>
      <c r="S1416" s="3">
        <f>(Таблица1[Кредитный рейтинг]-$AA$7)/($AA$8-$AA$7)</f>
        <v>0.90679094540612515</v>
      </c>
      <c r="T1416" s="3">
        <f>(Таблица1[Срок с последнего нарушения кредитного договора (мес,)]-$AA$12)/($AA$13-$AA$12)</f>
        <v>0.22727272727272727</v>
      </c>
      <c r="U1416" s="3">
        <f>(Таблица1[Количество кредитных карт]-$AA$18)/($AA$19-$AA$18)</f>
        <v>0.11904761904761904</v>
      </c>
      <c r="V1416" s="3">
        <f>(Таблица1[Число нарушений кредитных договоров]-$AA$23)/($AA$24-$AA$23)</f>
        <v>0</v>
      </c>
      <c r="W1416" s="3">
        <f>Таблица1[[#This Row],[Годовой доход]]/12</f>
        <v>47818.25</v>
      </c>
      <c r="X1416" s="3">
        <f>Таблица1[[#This Row],[Ежемесячный платеж]]/Таблица1[[#This Row],[Ежем доход]]</f>
        <v>0.10300188735472335</v>
      </c>
      <c r="Y1416" s="3"/>
      <c r="Z1416" s="3"/>
      <c r="AA1416" s="3"/>
      <c r="AB1416" s="3"/>
    </row>
    <row r="1417" spans="1:28" x14ac:dyDescent="0.2">
      <c r="A1417">
        <v>114</v>
      </c>
      <c r="B1417" t="s">
        <v>156</v>
      </c>
      <c r="C1417" t="s">
        <v>18</v>
      </c>
      <c r="D1417" t="s">
        <v>19</v>
      </c>
      <c r="E1417" t="s">
        <v>52</v>
      </c>
      <c r="F1417" t="s">
        <v>33</v>
      </c>
      <c r="G1417" t="s">
        <v>25</v>
      </c>
      <c r="H1417" s="1">
        <v>545886</v>
      </c>
      <c r="I1417" s="3">
        <v>718</v>
      </c>
      <c r="J1417" s="3">
        <v>1565182</v>
      </c>
      <c r="K1417" s="3">
        <v>41477</v>
      </c>
      <c r="L1417" s="2">
        <v>15</v>
      </c>
      <c r="M1417" s="11">
        <v>6</v>
      </c>
      <c r="N1417" s="3">
        <v>16</v>
      </c>
      <c r="O1417" s="3">
        <v>80465</v>
      </c>
      <c r="P1417" s="3">
        <v>296714</v>
      </c>
      <c r="Q1417" s="10">
        <v>0</v>
      </c>
      <c r="R1417" s="3">
        <f>(Таблица1[Размер кредита]-$AA$2)/$AA$3</f>
        <v>1.3452737454315671</v>
      </c>
      <c r="S1417" s="3">
        <f>(Таблица1[Кредитный рейтинг]-$AA$7)/($AA$8-$AA$7)</f>
        <v>0.95605858854860182</v>
      </c>
      <c r="T1417" s="3">
        <f>(Таблица1[Срок с последнего нарушения кредитного договора (мес,)]-$AA$12)/($AA$13-$AA$12)</f>
        <v>6.8181818181818177E-2</v>
      </c>
      <c r="U1417" s="3">
        <f>(Таблица1[Количество кредитных карт]-$AA$18)/($AA$19-$AA$18)</f>
        <v>0.35714285714285715</v>
      </c>
      <c r="V1417" s="3">
        <f>(Таблица1[Число нарушений кредитных договоров]-$AA$23)/($AA$24-$AA$23)</f>
        <v>0</v>
      </c>
      <c r="W1417" s="3">
        <f>Таблица1[[#This Row],[Годовой доход]]/12</f>
        <v>130431.83333333333</v>
      </c>
      <c r="X1417" s="3">
        <f>Таблица1[[#This Row],[Ежемесячный платеж]]/Таблица1[[#This Row],[Ежем доход]]</f>
        <v>0.31799752361067274</v>
      </c>
      <c r="Y1417" s="3"/>
      <c r="Z1417" s="3"/>
      <c r="AA1417" s="3"/>
      <c r="AB1417" s="3"/>
    </row>
    <row r="1418" spans="1:28" x14ac:dyDescent="0.2">
      <c r="A1418">
        <v>1251</v>
      </c>
      <c r="B1418" t="s">
        <v>1290</v>
      </c>
      <c r="C1418" t="s">
        <v>18</v>
      </c>
      <c r="D1418" t="s">
        <v>19</v>
      </c>
      <c r="E1418" t="s">
        <v>50</v>
      </c>
      <c r="F1418" t="s">
        <v>33</v>
      </c>
      <c r="G1418" t="s">
        <v>25</v>
      </c>
      <c r="H1418" s="1">
        <v>195096</v>
      </c>
      <c r="I1418" s="3">
        <v>717</v>
      </c>
      <c r="J1418" s="3">
        <v>664468</v>
      </c>
      <c r="K1418" s="3">
        <v>14950.53</v>
      </c>
      <c r="L1418" s="2">
        <v>28.6</v>
      </c>
      <c r="M1418" s="11">
        <v>35.265240640000002</v>
      </c>
      <c r="N1418" s="3">
        <v>15</v>
      </c>
      <c r="O1418" s="3">
        <v>179094</v>
      </c>
      <c r="P1418" s="3">
        <v>296670</v>
      </c>
      <c r="Q1418" s="10">
        <v>0</v>
      </c>
      <c r="R1418" s="3">
        <f>(Таблица1[Размер кредита]-$AA$2)/$AA$3</f>
        <v>-0.65187226250286534</v>
      </c>
      <c r="S1418" s="3">
        <f>(Таблица1[Кредитный рейтинг]-$AA$7)/($AA$8-$AA$7)</f>
        <v>0.9547270306258322</v>
      </c>
      <c r="T1418" s="3">
        <f>(Таблица1[Срок с последнего нарушения кредитного договора (мес,)]-$AA$12)/($AA$13-$AA$12)</f>
        <v>0.40074137090909095</v>
      </c>
      <c r="U1418" s="3">
        <f>(Таблица1[Количество кредитных карт]-$AA$18)/($AA$19-$AA$18)</f>
        <v>0.33333333333333331</v>
      </c>
      <c r="V1418" s="3">
        <f>(Таблица1[Число нарушений кредитных договоров]-$AA$23)/($AA$24-$AA$23)</f>
        <v>0</v>
      </c>
      <c r="W1418" s="3">
        <f>Таблица1[[#This Row],[Годовой доход]]/12</f>
        <v>55372.333333333336</v>
      </c>
      <c r="X1418" s="3">
        <f>Таблица1[[#This Row],[Ежемесячный платеж]]/Таблица1[[#This Row],[Ежем доход]]</f>
        <v>0.27</v>
      </c>
      <c r="Y1418" s="3"/>
      <c r="Z1418" s="3"/>
      <c r="AA1418" s="3"/>
      <c r="AB1418" s="3"/>
    </row>
    <row r="1419" spans="1:28" x14ac:dyDescent="0.2">
      <c r="A1419">
        <v>1762</v>
      </c>
      <c r="B1419" t="s">
        <v>1800</v>
      </c>
      <c r="C1419" t="s">
        <v>18</v>
      </c>
      <c r="D1419" t="s">
        <v>19</v>
      </c>
      <c r="E1419" t="s">
        <v>47</v>
      </c>
      <c r="F1419" t="s">
        <v>33</v>
      </c>
      <c r="G1419" t="s">
        <v>25</v>
      </c>
      <c r="H1419" s="1">
        <v>54868</v>
      </c>
      <c r="I1419" s="3">
        <v>701</v>
      </c>
      <c r="J1419" s="3">
        <v>473822</v>
      </c>
      <c r="K1419" s="3">
        <v>3987.91</v>
      </c>
      <c r="L1419" s="2">
        <v>6.6</v>
      </c>
      <c r="M1419" s="11">
        <v>35.265240640000002</v>
      </c>
      <c r="N1419" s="3">
        <v>8</v>
      </c>
      <c r="O1419" s="3">
        <v>155572</v>
      </c>
      <c r="P1419" s="3">
        <v>296296</v>
      </c>
      <c r="Q1419" s="10">
        <v>0</v>
      </c>
      <c r="R1419" s="3">
        <f>(Таблица1[Размер кредита]-$AA$2)/$AA$3</f>
        <v>-1.4502296569571815</v>
      </c>
      <c r="S1419" s="3">
        <f>(Таблица1[Кредитный рейтинг]-$AA$7)/($AA$8-$AA$7)</f>
        <v>0.93342210386151803</v>
      </c>
      <c r="T1419" s="3">
        <f>(Таблица1[Срок с последнего нарушения кредитного договора (мес,)]-$AA$12)/($AA$13-$AA$12)</f>
        <v>0.40074137090909095</v>
      </c>
      <c r="U1419" s="3">
        <f>(Таблица1[Количество кредитных карт]-$AA$18)/($AA$19-$AA$18)</f>
        <v>0.16666666666666666</v>
      </c>
      <c r="V1419" s="3">
        <f>(Таблица1[Число нарушений кредитных договоров]-$AA$23)/($AA$24-$AA$23)</f>
        <v>0</v>
      </c>
      <c r="W1419" s="3">
        <f>Таблица1[[#This Row],[Годовой доход]]/12</f>
        <v>39485.166666666664</v>
      </c>
      <c r="X1419" s="3">
        <f>Таблица1[[#This Row],[Ежемесячный платеж]]/Таблица1[[#This Row],[Ежем доход]]</f>
        <v>0.1009976742320956</v>
      </c>
      <c r="Y1419" s="3"/>
      <c r="Z1419" s="3"/>
      <c r="AA1419" s="3"/>
      <c r="AB1419" s="3"/>
    </row>
    <row r="1420" spans="1:28" x14ac:dyDescent="0.2">
      <c r="A1420">
        <v>29</v>
      </c>
      <c r="B1420" t="s">
        <v>65</v>
      </c>
      <c r="C1420" t="s">
        <v>18</v>
      </c>
      <c r="D1420" t="s">
        <v>19</v>
      </c>
      <c r="E1420" t="s">
        <v>24</v>
      </c>
      <c r="F1420" t="s">
        <v>21</v>
      </c>
      <c r="G1420" t="s">
        <v>25</v>
      </c>
      <c r="H1420" s="1">
        <v>309594.52439999999</v>
      </c>
      <c r="I1420" s="3">
        <v>746</v>
      </c>
      <c r="J1420" s="3">
        <v>1749748</v>
      </c>
      <c r="K1420" s="3">
        <v>19247.189999999999</v>
      </c>
      <c r="L1420" s="2">
        <v>20</v>
      </c>
      <c r="M1420" s="11">
        <v>32</v>
      </c>
      <c r="N1420" s="3">
        <v>17</v>
      </c>
      <c r="O1420" s="3">
        <v>224390</v>
      </c>
      <c r="P1420" s="3">
        <v>295240</v>
      </c>
      <c r="Q1420" s="10">
        <v>0</v>
      </c>
      <c r="R1420" s="3">
        <f>(Таблица1[Размер кредита]-$AA$2)/$AA$3</f>
        <v>-1.2411115481956205E-10</v>
      </c>
      <c r="S1420" s="3">
        <f>(Таблица1[Кредитный рейтинг]-$AA$7)/($AA$8-$AA$7)</f>
        <v>0.99334221038615178</v>
      </c>
      <c r="T1420" s="3">
        <f>(Таблица1[Срок с последнего нарушения кредитного договора (мес,)]-$AA$12)/($AA$13-$AA$12)</f>
        <v>0.36363636363636365</v>
      </c>
      <c r="U1420" s="3">
        <f>(Таблица1[Количество кредитных карт]-$AA$18)/($AA$19-$AA$18)</f>
        <v>0.38095238095238093</v>
      </c>
      <c r="V1420" s="3">
        <f>(Таблица1[Число нарушений кредитных договоров]-$AA$23)/($AA$24-$AA$23)</f>
        <v>0</v>
      </c>
      <c r="W1420" s="3">
        <f>Таблица1[[#This Row],[Годовой доход]]/12</f>
        <v>145812.33333333334</v>
      </c>
      <c r="X1420" s="3">
        <f>Таблица1[[#This Row],[Ежемесячный платеж]]/Таблица1[[#This Row],[Ежем доход]]</f>
        <v>0.13199973939104373</v>
      </c>
      <c r="Y1420" s="3"/>
      <c r="Z1420" s="3"/>
      <c r="AA1420" s="3"/>
      <c r="AB1420" s="3"/>
    </row>
    <row r="1421" spans="1:28" x14ac:dyDescent="0.2">
      <c r="A1421">
        <v>1250</v>
      </c>
      <c r="B1421" t="s">
        <v>1289</v>
      </c>
      <c r="C1421" t="s">
        <v>18</v>
      </c>
      <c r="D1421" t="s">
        <v>19</v>
      </c>
      <c r="E1421" t="s">
        <v>41</v>
      </c>
      <c r="F1421" t="s">
        <v>21</v>
      </c>
      <c r="G1421" t="s">
        <v>22</v>
      </c>
      <c r="H1421" s="1">
        <v>327294</v>
      </c>
      <c r="I1421" s="3">
        <v>738</v>
      </c>
      <c r="J1421" s="3">
        <v>1224873</v>
      </c>
      <c r="K1421" s="3">
        <v>19189.62</v>
      </c>
      <c r="L1421" s="2">
        <v>11.3</v>
      </c>
      <c r="M1421" s="11">
        <v>35.265240640000002</v>
      </c>
      <c r="N1421" s="3">
        <v>8</v>
      </c>
      <c r="O1421" s="3">
        <v>127775</v>
      </c>
      <c r="P1421" s="3">
        <v>294734</v>
      </c>
      <c r="Q1421" s="10">
        <v>0</v>
      </c>
      <c r="R1421" s="3">
        <f>(Таблица1[Размер кредита]-$AA$2)/$AA$3</f>
        <v>0.10076808630102327</v>
      </c>
      <c r="S1421" s="3">
        <f>(Таблица1[Кредитный рейтинг]-$AA$7)/($AA$8-$AA$7)</f>
        <v>0.9826897470039947</v>
      </c>
      <c r="T1421" s="3">
        <f>(Таблица1[Срок с последнего нарушения кредитного договора (мес,)]-$AA$12)/($AA$13-$AA$12)</f>
        <v>0.40074137090909095</v>
      </c>
      <c r="U1421" s="3">
        <f>(Таблица1[Количество кредитных карт]-$AA$18)/($AA$19-$AA$18)</f>
        <v>0.16666666666666666</v>
      </c>
      <c r="V1421" s="3">
        <f>(Таблица1[Число нарушений кредитных договоров]-$AA$23)/($AA$24-$AA$23)</f>
        <v>0</v>
      </c>
      <c r="W1421" s="3">
        <f>Таблица1[[#This Row],[Годовой доход]]/12</f>
        <v>102072.75</v>
      </c>
      <c r="X1421" s="3">
        <f>Таблица1[[#This Row],[Ежемесячный платеж]]/Таблица1[[#This Row],[Ежем доход]]</f>
        <v>0.18799944157475917</v>
      </c>
      <c r="Y1421" s="3"/>
      <c r="Z1421" s="3"/>
      <c r="AA1421" s="3"/>
      <c r="AB1421" s="3"/>
    </row>
    <row r="1422" spans="1:28" x14ac:dyDescent="0.2">
      <c r="A1422">
        <v>634</v>
      </c>
      <c r="B1422" t="s">
        <v>675</v>
      </c>
      <c r="C1422" t="s">
        <v>18</v>
      </c>
      <c r="D1422" t="s">
        <v>19</v>
      </c>
      <c r="E1422" t="s">
        <v>30</v>
      </c>
      <c r="F1422" t="s">
        <v>21</v>
      </c>
      <c r="G1422" t="s">
        <v>25</v>
      </c>
      <c r="H1422" s="1">
        <v>329142</v>
      </c>
      <c r="I1422" s="3">
        <v>0</v>
      </c>
      <c r="J1422" s="3">
        <v>1168044</v>
      </c>
      <c r="K1422" s="3">
        <v>17811.36</v>
      </c>
      <c r="L1422" s="2">
        <v>19.8</v>
      </c>
      <c r="M1422" s="11">
        <v>74</v>
      </c>
      <c r="N1422" s="3">
        <v>8</v>
      </c>
      <c r="O1422" s="3">
        <v>234308</v>
      </c>
      <c r="P1422" s="3">
        <v>293920</v>
      </c>
      <c r="Q1422" s="10">
        <v>0</v>
      </c>
      <c r="R1422" s="3">
        <f>(Таблица1[Размер кредита]-$AA$2)/$AA$3</f>
        <v>0.11128926940961482</v>
      </c>
      <c r="S1422" s="3">
        <f>(Таблица1[Кредитный рейтинг]-$AA$7)/($AA$8-$AA$7)</f>
        <v>0</v>
      </c>
      <c r="T1422" s="3">
        <f>(Таблица1[Срок с последнего нарушения кредитного договора (мес,)]-$AA$12)/($AA$13-$AA$12)</f>
        <v>0.84090909090909094</v>
      </c>
      <c r="U1422" s="3">
        <f>(Таблица1[Количество кредитных карт]-$AA$18)/($AA$19-$AA$18)</f>
        <v>0.16666666666666666</v>
      </c>
      <c r="V1422" s="3">
        <f>(Таблица1[Число нарушений кредитных договоров]-$AA$23)/($AA$24-$AA$23)</f>
        <v>0</v>
      </c>
      <c r="W1422" s="3">
        <f>Таблица1[[#This Row],[Годовой доход]]/12</f>
        <v>97337</v>
      </c>
      <c r="X1422" s="3">
        <f>Таблица1[[#This Row],[Ежемесячный платеж]]/Таблица1[[#This Row],[Ежем доход]]</f>
        <v>0.18298653132929923</v>
      </c>
      <c r="Y1422" s="3"/>
      <c r="Z1422" s="3"/>
      <c r="AA1422" s="3"/>
      <c r="AB1422" s="3"/>
    </row>
    <row r="1423" spans="1:28" x14ac:dyDescent="0.2">
      <c r="A1423">
        <v>1088</v>
      </c>
      <c r="B1423" t="s">
        <v>1127</v>
      </c>
      <c r="C1423" t="s">
        <v>18</v>
      </c>
      <c r="D1423" t="s">
        <v>19</v>
      </c>
      <c r="E1423" t="s">
        <v>30</v>
      </c>
      <c r="F1423" t="s">
        <v>21</v>
      </c>
      <c r="G1423" t="s">
        <v>22</v>
      </c>
      <c r="H1423" s="1">
        <v>48246</v>
      </c>
      <c r="I1423" s="3">
        <v>655</v>
      </c>
      <c r="J1423" s="3">
        <v>787797</v>
      </c>
      <c r="K1423" s="3">
        <v>2934.55</v>
      </c>
      <c r="L1423" s="2">
        <v>10</v>
      </c>
      <c r="M1423" s="11">
        <v>35.265240640000002</v>
      </c>
      <c r="N1423" s="3">
        <v>14</v>
      </c>
      <c r="O1423" s="3">
        <v>117686</v>
      </c>
      <c r="P1423" s="3">
        <v>293700</v>
      </c>
      <c r="Q1423" s="10">
        <v>0</v>
      </c>
      <c r="R1423" s="3">
        <f>(Таблица1[Размер кредита]-$AA$2)/$AA$3</f>
        <v>-1.4879305630963013</v>
      </c>
      <c r="S1423" s="3">
        <f>(Таблица1[Кредитный рейтинг]-$AA$7)/($AA$8-$AA$7)</f>
        <v>0.87217043941411454</v>
      </c>
      <c r="T1423" s="3">
        <f>(Таблица1[Срок с последнего нарушения кредитного договора (мес,)]-$AA$12)/($AA$13-$AA$12)</f>
        <v>0.40074137090909095</v>
      </c>
      <c r="U1423" s="3">
        <f>(Таблица1[Количество кредитных карт]-$AA$18)/($AA$19-$AA$18)</f>
        <v>0.30952380952380953</v>
      </c>
      <c r="V1423" s="3">
        <f>(Таблица1[Число нарушений кредитных договоров]-$AA$23)/($AA$24-$AA$23)</f>
        <v>0</v>
      </c>
      <c r="W1423" s="3">
        <f>Таблица1[[#This Row],[Годовой доход]]/12</f>
        <v>65649.75</v>
      </c>
      <c r="X1423" s="3">
        <f>Таблица1[[#This Row],[Ежемесячный платеж]]/Таблица1[[#This Row],[Ежем доход]]</f>
        <v>4.4700094059764127E-2</v>
      </c>
      <c r="Y1423" s="3"/>
      <c r="Z1423" s="3"/>
      <c r="AA1423" s="3"/>
      <c r="AB1423" s="3"/>
    </row>
    <row r="1424" spans="1:28" x14ac:dyDescent="0.2">
      <c r="A1424">
        <v>1167</v>
      </c>
      <c r="B1424" t="s">
        <v>1206</v>
      </c>
      <c r="C1424" t="s">
        <v>35</v>
      </c>
      <c r="D1424" t="s">
        <v>19</v>
      </c>
      <c r="E1424" t="s">
        <v>47</v>
      </c>
      <c r="F1424" t="s">
        <v>33</v>
      </c>
      <c r="G1424" t="s">
        <v>25</v>
      </c>
      <c r="H1424" s="1">
        <v>184690</v>
      </c>
      <c r="I1424" s="3">
        <v>736</v>
      </c>
      <c r="J1424" s="3">
        <v>945535</v>
      </c>
      <c r="K1424" s="3">
        <v>8903.9699999999993</v>
      </c>
      <c r="L1424" s="2">
        <v>16.100000000000001</v>
      </c>
      <c r="M1424" s="11">
        <v>46</v>
      </c>
      <c r="N1424" s="3">
        <v>7</v>
      </c>
      <c r="O1424" s="3">
        <v>57038</v>
      </c>
      <c r="P1424" s="3">
        <v>293546</v>
      </c>
      <c r="Q1424" s="10">
        <v>0</v>
      </c>
      <c r="R1424" s="3">
        <f>(Таблица1[Размер кредита]-$AA$2)/$AA$3</f>
        <v>-0.71111654357862497</v>
      </c>
      <c r="S1424" s="3">
        <f>(Таблица1[Кредитный рейтинг]-$AA$7)/($AA$8-$AA$7)</f>
        <v>0.98002663115845534</v>
      </c>
      <c r="T1424" s="3">
        <f>(Таблица1[Срок с последнего нарушения кредитного договора (мес,)]-$AA$12)/($AA$13-$AA$12)</f>
        <v>0.52272727272727271</v>
      </c>
      <c r="U1424" s="3">
        <f>(Таблица1[Количество кредитных карт]-$AA$18)/($AA$19-$AA$18)</f>
        <v>0.14285714285714285</v>
      </c>
      <c r="V1424" s="3">
        <f>(Таблица1[Число нарушений кредитных договоров]-$AA$23)/($AA$24-$AA$23)</f>
        <v>0</v>
      </c>
      <c r="W1424" s="3">
        <f>Таблица1[[#This Row],[Годовой доход]]/12</f>
        <v>78794.583333333328</v>
      </c>
      <c r="X1424" s="3">
        <f>Таблица1[[#This Row],[Ежемесячный платеж]]/Таблица1[[#This Row],[Ежем доход]]</f>
        <v>0.11300231086104692</v>
      </c>
      <c r="Y1424" s="3"/>
      <c r="Z1424" s="3"/>
      <c r="AA1424" s="3"/>
      <c r="AB1424" s="3"/>
    </row>
    <row r="1425" spans="1:28" x14ac:dyDescent="0.2">
      <c r="A1425">
        <v>1342</v>
      </c>
      <c r="B1425" t="s">
        <v>1381</v>
      </c>
      <c r="C1425" t="s">
        <v>35</v>
      </c>
      <c r="D1425" t="s">
        <v>29</v>
      </c>
      <c r="E1425" t="s">
        <v>52</v>
      </c>
      <c r="F1425" t="s">
        <v>33</v>
      </c>
      <c r="G1425" t="s">
        <v>25</v>
      </c>
      <c r="H1425" s="1">
        <v>238854</v>
      </c>
      <c r="I1425" s="3">
        <v>703</v>
      </c>
      <c r="J1425" s="3">
        <v>693861</v>
      </c>
      <c r="K1425" s="3">
        <v>16652.740000000002</v>
      </c>
      <c r="L1425" s="2">
        <v>14</v>
      </c>
      <c r="M1425" s="11">
        <v>39</v>
      </c>
      <c r="N1425" s="3">
        <v>13</v>
      </c>
      <c r="O1425" s="3">
        <v>132240</v>
      </c>
      <c r="P1425" s="3">
        <v>293348</v>
      </c>
      <c r="Q1425" s="10">
        <v>0</v>
      </c>
      <c r="R1425" s="3">
        <f>(Таблица1[Размер кредита]-$AA$2)/$AA$3</f>
        <v>-0.4027456767530011</v>
      </c>
      <c r="S1425" s="3">
        <f>(Таблица1[Кредитный рейтинг]-$AA$7)/($AA$8-$AA$7)</f>
        <v>0.93608521970705727</v>
      </c>
      <c r="T1425" s="3">
        <f>(Таблица1[Срок с последнего нарушения кредитного договора (мес,)]-$AA$12)/($AA$13-$AA$12)</f>
        <v>0.44318181818181818</v>
      </c>
      <c r="U1425" s="3">
        <f>(Таблица1[Количество кредитных карт]-$AA$18)/($AA$19-$AA$18)</f>
        <v>0.2857142857142857</v>
      </c>
      <c r="V1425" s="3">
        <f>(Таблица1[Число нарушений кредитных договоров]-$AA$23)/($AA$24-$AA$23)</f>
        <v>0</v>
      </c>
      <c r="W1425" s="3">
        <f>Таблица1[[#This Row],[Годовой доход]]/12</f>
        <v>57821.75</v>
      </c>
      <c r="X1425" s="3">
        <f>Таблица1[[#This Row],[Ежемесячный платеж]]/Таблица1[[#This Row],[Ежем доход]]</f>
        <v>0.28800131438429316</v>
      </c>
      <c r="Y1425" s="3"/>
      <c r="Z1425" s="3"/>
      <c r="AA1425" s="3"/>
      <c r="AB1425" s="3"/>
    </row>
    <row r="1426" spans="1:28" x14ac:dyDescent="0.2">
      <c r="A1426">
        <v>1551</v>
      </c>
      <c r="B1426" t="s">
        <v>1590</v>
      </c>
      <c r="C1426" t="s">
        <v>18</v>
      </c>
      <c r="D1426" t="s">
        <v>19</v>
      </c>
      <c r="E1426" t="s">
        <v>24</v>
      </c>
      <c r="F1426" t="s">
        <v>21</v>
      </c>
      <c r="G1426" t="s">
        <v>25</v>
      </c>
      <c r="H1426" s="1">
        <v>69982</v>
      </c>
      <c r="I1426" s="3">
        <v>0</v>
      </c>
      <c r="J1426" s="3">
        <v>1168044</v>
      </c>
      <c r="K1426" s="3">
        <v>4362.59</v>
      </c>
      <c r="L1426" s="2">
        <v>15.9</v>
      </c>
      <c r="M1426" s="11">
        <v>72</v>
      </c>
      <c r="N1426" s="3">
        <v>9</v>
      </c>
      <c r="O1426" s="3">
        <v>121220</v>
      </c>
      <c r="P1426" s="3">
        <v>293040</v>
      </c>
      <c r="Q1426" s="10">
        <v>1</v>
      </c>
      <c r="R1426" s="3">
        <f>(Таблица1[Размер кредита]-$AA$2)/$AA$3</f>
        <v>-1.3641814093904865</v>
      </c>
      <c r="S1426" s="3">
        <f>(Таблица1[Кредитный рейтинг]-$AA$7)/($AA$8-$AA$7)</f>
        <v>0</v>
      </c>
      <c r="T1426" s="3">
        <f>(Таблица1[Срок с последнего нарушения кредитного договора (мес,)]-$AA$12)/($AA$13-$AA$12)</f>
        <v>0.81818181818181823</v>
      </c>
      <c r="U1426" s="3">
        <f>(Таблица1[Количество кредитных карт]-$AA$18)/($AA$19-$AA$18)</f>
        <v>0.19047619047619047</v>
      </c>
      <c r="V1426" s="3">
        <f>(Таблица1[Число нарушений кредитных договоров]-$AA$23)/($AA$24-$AA$23)</f>
        <v>0.14285714285714285</v>
      </c>
      <c r="W1426" s="3">
        <f>Таблица1[[#This Row],[Годовой доход]]/12</f>
        <v>97337</v>
      </c>
      <c r="X1426" s="3">
        <f>Таблица1[[#This Row],[Ежемесячный платеж]]/Таблица1[[#This Row],[Ежем доход]]</f>
        <v>4.4819441733359361E-2</v>
      </c>
      <c r="Y1426" s="3"/>
      <c r="Z1426" s="3"/>
      <c r="AA1426" s="3"/>
      <c r="AB1426" s="3"/>
    </row>
    <row r="1427" spans="1:28" x14ac:dyDescent="0.2">
      <c r="A1427">
        <v>1836</v>
      </c>
      <c r="B1427" t="s">
        <v>1873</v>
      </c>
      <c r="C1427" t="s">
        <v>35</v>
      </c>
      <c r="D1427" t="s">
        <v>29</v>
      </c>
      <c r="E1427" t="s">
        <v>24</v>
      </c>
      <c r="F1427" t="s">
        <v>33</v>
      </c>
      <c r="G1427" t="s">
        <v>75</v>
      </c>
      <c r="H1427" s="1">
        <v>650826</v>
      </c>
      <c r="I1427" s="3">
        <v>648</v>
      </c>
      <c r="J1427" s="3">
        <v>1592561</v>
      </c>
      <c r="K1427" s="3">
        <v>26409.81</v>
      </c>
      <c r="L1427" s="2">
        <v>22.2</v>
      </c>
      <c r="M1427" s="11">
        <v>5</v>
      </c>
      <c r="N1427" s="3">
        <v>8</v>
      </c>
      <c r="O1427" s="3">
        <v>221939</v>
      </c>
      <c r="P1427" s="3">
        <v>293018</v>
      </c>
      <c r="Q1427" s="10">
        <v>0</v>
      </c>
      <c r="R1427" s="3">
        <f>(Таблица1[Размер кредита]-$AA$2)/$AA$3</f>
        <v>1.9427266433837302</v>
      </c>
      <c r="S1427" s="3">
        <f>(Таблица1[Кредитный рейтинг]-$AA$7)/($AA$8-$AA$7)</f>
        <v>0.86284953395472708</v>
      </c>
      <c r="T1427" s="3">
        <f>(Таблица1[Срок с последнего нарушения кредитного договора (мес,)]-$AA$12)/($AA$13-$AA$12)</f>
        <v>5.6818181818181816E-2</v>
      </c>
      <c r="U1427" s="3">
        <f>(Таблица1[Количество кредитных карт]-$AA$18)/($AA$19-$AA$18)</f>
        <v>0.16666666666666666</v>
      </c>
      <c r="V1427" s="3">
        <f>(Таблица1[Число нарушений кредитных договоров]-$AA$23)/($AA$24-$AA$23)</f>
        <v>0</v>
      </c>
      <c r="W1427" s="3">
        <f>Таблица1[[#This Row],[Годовой доход]]/12</f>
        <v>132713.41666666666</v>
      </c>
      <c r="X1427" s="3">
        <f>Таблица1[[#This Row],[Ежемесячный платеж]]/Таблица1[[#This Row],[Ежем доход]]</f>
        <v>0.19899879502260825</v>
      </c>
      <c r="Y1427" s="3"/>
      <c r="Z1427" s="3"/>
      <c r="AA1427" s="3"/>
      <c r="AB1427" s="3"/>
    </row>
    <row r="1428" spans="1:28" x14ac:dyDescent="0.2">
      <c r="A1428">
        <v>1500</v>
      </c>
      <c r="B1428" t="s">
        <v>1539</v>
      </c>
      <c r="C1428" t="s">
        <v>18</v>
      </c>
      <c r="D1428" t="s">
        <v>19</v>
      </c>
      <c r="E1428" t="s">
        <v>47</v>
      </c>
      <c r="F1428" t="s">
        <v>33</v>
      </c>
      <c r="G1428" t="s">
        <v>25</v>
      </c>
      <c r="H1428" s="1">
        <v>140096</v>
      </c>
      <c r="I1428" s="3">
        <v>0</v>
      </c>
      <c r="J1428" s="3">
        <v>1168044</v>
      </c>
      <c r="K1428" s="3">
        <v>12406.43</v>
      </c>
      <c r="L1428" s="2">
        <v>8.6999999999999993</v>
      </c>
      <c r="M1428" s="11">
        <v>35.265240640000002</v>
      </c>
      <c r="N1428" s="3">
        <v>10</v>
      </c>
      <c r="O1428" s="3">
        <v>155078</v>
      </c>
      <c r="P1428" s="3">
        <v>292930</v>
      </c>
      <c r="Q1428" s="10">
        <v>0</v>
      </c>
      <c r="R1428" s="3">
        <f>(Таблица1[Размер кредита]-$AA$2)/$AA$3</f>
        <v>-0.96500271216332834</v>
      </c>
      <c r="S1428" s="3">
        <f>(Таблица1[Кредитный рейтинг]-$AA$7)/($AA$8-$AA$7)</f>
        <v>0</v>
      </c>
      <c r="T1428" s="3">
        <f>(Таблица1[Срок с последнего нарушения кредитного договора (мес,)]-$AA$12)/($AA$13-$AA$12)</f>
        <v>0.40074137090909095</v>
      </c>
      <c r="U1428" s="3">
        <f>(Таблица1[Количество кредитных карт]-$AA$18)/($AA$19-$AA$18)</f>
        <v>0.21428571428571427</v>
      </c>
      <c r="V1428" s="3">
        <f>(Таблица1[Число нарушений кредитных договоров]-$AA$23)/($AA$24-$AA$23)</f>
        <v>0</v>
      </c>
      <c r="W1428" s="3">
        <f>Таблица1[[#This Row],[Годовой доход]]/12</f>
        <v>97337</v>
      </c>
      <c r="X1428" s="3">
        <f>Таблица1[[#This Row],[Ежемесячный платеж]]/Таблица1[[#This Row],[Ежем доход]]</f>
        <v>0.12745852039820418</v>
      </c>
      <c r="Y1428" s="3"/>
      <c r="Z1428" s="3"/>
      <c r="AA1428" s="3"/>
      <c r="AB1428" s="3"/>
    </row>
    <row r="1429" spans="1:28" x14ac:dyDescent="0.2">
      <c r="A1429">
        <v>186</v>
      </c>
      <c r="B1429" t="s">
        <v>228</v>
      </c>
      <c r="C1429" t="s">
        <v>18</v>
      </c>
      <c r="D1429" t="s">
        <v>19</v>
      </c>
      <c r="E1429" t="s">
        <v>32</v>
      </c>
      <c r="F1429" t="s">
        <v>33</v>
      </c>
      <c r="G1429" t="s">
        <v>25</v>
      </c>
      <c r="H1429" s="1">
        <v>327756</v>
      </c>
      <c r="I1429" s="3">
        <v>707</v>
      </c>
      <c r="J1429" s="3">
        <v>830319</v>
      </c>
      <c r="K1429" s="3">
        <v>9271.81</v>
      </c>
      <c r="L1429" s="2">
        <v>15.8</v>
      </c>
      <c r="M1429" s="11">
        <v>35.265240640000002</v>
      </c>
      <c r="N1429" s="3">
        <v>6</v>
      </c>
      <c r="O1429" s="3">
        <v>245727</v>
      </c>
      <c r="P1429" s="3">
        <v>292732</v>
      </c>
      <c r="Q1429" s="10">
        <v>0</v>
      </c>
      <c r="R1429" s="3">
        <f>(Таблица1[Размер кредита]-$AA$2)/$AA$3</f>
        <v>0.10339838207817116</v>
      </c>
      <c r="S1429" s="3">
        <f>(Таблица1[Кредитный рейтинг]-$AA$7)/($AA$8-$AA$7)</f>
        <v>0.94141145139813587</v>
      </c>
      <c r="T1429" s="3">
        <f>(Таблица1[Срок с последнего нарушения кредитного договора (мес,)]-$AA$12)/($AA$13-$AA$12)</f>
        <v>0.40074137090909095</v>
      </c>
      <c r="U1429" s="3">
        <f>(Таблица1[Количество кредитных карт]-$AA$18)/($AA$19-$AA$18)</f>
        <v>0.11904761904761904</v>
      </c>
      <c r="V1429" s="3">
        <f>(Таблица1[Число нарушений кредитных договоров]-$AA$23)/($AA$24-$AA$23)</f>
        <v>0</v>
      </c>
      <c r="W1429" s="3">
        <f>Таблица1[[#This Row],[Годовой доход]]/12</f>
        <v>69193.25</v>
      </c>
      <c r="X1429" s="3">
        <f>Таблица1[[#This Row],[Ежемесячный платеж]]/Таблица1[[#This Row],[Ежем доход]]</f>
        <v>0.1339987643303357</v>
      </c>
      <c r="Y1429" s="3"/>
      <c r="Z1429" s="3"/>
      <c r="AA1429" s="3"/>
      <c r="AB1429" s="3"/>
    </row>
    <row r="1430" spans="1:28" x14ac:dyDescent="0.2">
      <c r="A1430">
        <v>1354</v>
      </c>
      <c r="B1430" t="s">
        <v>1393</v>
      </c>
      <c r="C1430" t="s">
        <v>18</v>
      </c>
      <c r="D1430" t="s">
        <v>29</v>
      </c>
      <c r="E1430" t="s">
        <v>20</v>
      </c>
      <c r="F1430" t="s">
        <v>21</v>
      </c>
      <c r="G1430" t="s">
        <v>25</v>
      </c>
      <c r="H1430" s="1">
        <v>245278</v>
      </c>
      <c r="I1430" s="3">
        <v>683</v>
      </c>
      <c r="J1430" s="3">
        <v>916009</v>
      </c>
      <c r="K1430" s="3">
        <v>15648.59</v>
      </c>
      <c r="L1430" s="2">
        <v>9.5</v>
      </c>
      <c r="M1430" s="11">
        <v>73</v>
      </c>
      <c r="N1430" s="3">
        <v>7</v>
      </c>
      <c r="O1430" s="3">
        <v>75886</v>
      </c>
      <c r="P1430" s="3">
        <v>291962</v>
      </c>
      <c r="Q1430" s="10">
        <v>0</v>
      </c>
      <c r="R1430" s="3">
        <f>(Таблица1[Размер кредита]-$AA$2)/$AA$3</f>
        <v>-0.36617204023265904</v>
      </c>
      <c r="S1430" s="3">
        <f>(Таблица1[Кредитный рейтинг]-$AA$7)/($AA$8-$AA$7)</f>
        <v>0.9094540612516645</v>
      </c>
      <c r="T1430" s="3">
        <f>(Таблица1[Срок с последнего нарушения кредитного договора (мес,)]-$AA$12)/($AA$13-$AA$12)</f>
        <v>0.82954545454545459</v>
      </c>
      <c r="U1430" s="3">
        <f>(Таблица1[Количество кредитных карт]-$AA$18)/($AA$19-$AA$18)</f>
        <v>0.14285714285714285</v>
      </c>
      <c r="V1430" s="3">
        <f>(Таблица1[Число нарушений кредитных договоров]-$AA$23)/($AA$24-$AA$23)</f>
        <v>0</v>
      </c>
      <c r="W1430" s="3">
        <f>Таблица1[[#This Row],[Годовой доход]]/12</f>
        <v>76334.083333333328</v>
      </c>
      <c r="X1430" s="3">
        <f>Таблица1[[#This Row],[Ежемесячный платеж]]/Таблица1[[#This Row],[Ежем доход]]</f>
        <v>0.20500134824002822</v>
      </c>
      <c r="Y1430" s="3"/>
      <c r="Z1430" s="3"/>
      <c r="AA1430" s="3"/>
      <c r="AB1430" s="3"/>
    </row>
    <row r="1431" spans="1:28" x14ac:dyDescent="0.2">
      <c r="A1431">
        <v>1874</v>
      </c>
      <c r="B1431" t="s">
        <v>1910</v>
      </c>
      <c r="C1431" t="s">
        <v>18</v>
      </c>
      <c r="D1431" t="s">
        <v>19</v>
      </c>
      <c r="E1431" t="s">
        <v>30</v>
      </c>
      <c r="F1431" t="s">
        <v>21</v>
      </c>
      <c r="G1431" t="s">
        <v>67</v>
      </c>
      <c r="H1431" s="1">
        <v>182358</v>
      </c>
      <c r="I1431" s="3">
        <v>724</v>
      </c>
      <c r="J1431" s="3">
        <v>648508</v>
      </c>
      <c r="K1431" s="3">
        <v>7133.55</v>
      </c>
      <c r="L1431" s="2">
        <v>35.4</v>
      </c>
      <c r="M1431" s="11">
        <v>35.265240640000002</v>
      </c>
      <c r="N1431" s="3">
        <v>14</v>
      </c>
      <c r="O1431" s="3">
        <v>74860</v>
      </c>
      <c r="P1431" s="3">
        <v>291852</v>
      </c>
      <c r="Q1431" s="10">
        <v>0</v>
      </c>
      <c r="R1431" s="3">
        <f>(Таблица1[Размер кредита]-$AA$2)/$AA$3</f>
        <v>-0.72439327464422865</v>
      </c>
      <c r="S1431" s="3">
        <f>(Таблица1[Кредитный рейтинг]-$AA$7)/($AA$8-$AA$7)</f>
        <v>0.96404793608521966</v>
      </c>
      <c r="T1431" s="3">
        <f>(Таблица1[Срок с последнего нарушения кредитного договора (мес,)]-$AA$12)/($AA$13-$AA$12)</f>
        <v>0.40074137090909095</v>
      </c>
      <c r="U1431" s="3">
        <f>(Таблица1[Количество кредитных карт]-$AA$18)/($AA$19-$AA$18)</f>
        <v>0.30952380952380953</v>
      </c>
      <c r="V1431" s="3">
        <f>(Таблица1[Число нарушений кредитных договоров]-$AA$23)/($AA$24-$AA$23)</f>
        <v>0</v>
      </c>
      <c r="W1431" s="3">
        <f>Таблица1[[#This Row],[Годовой доход]]/12</f>
        <v>54042.333333333336</v>
      </c>
      <c r="X1431" s="3">
        <f>Таблица1[[#This Row],[Ежемесячный платеж]]/Таблица1[[#This Row],[Ежем доход]]</f>
        <v>0.13199929684753312</v>
      </c>
      <c r="Y1431" s="3"/>
      <c r="Z1431" s="3"/>
      <c r="AA1431" s="3"/>
      <c r="AB1431" s="3"/>
    </row>
    <row r="1432" spans="1:28" x14ac:dyDescent="0.2">
      <c r="A1432">
        <v>590</v>
      </c>
      <c r="B1432" t="s">
        <v>631</v>
      </c>
      <c r="C1432" t="s">
        <v>18</v>
      </c>
      <c r="D1432" t="s">
        <v>19</v>
      </c>
      <c r="E1432" t="s">
        <v>24</v>
      </c>
      <c r="F1432" t="s">
        <v>33</v>
      </c>
      <c r="G1432" t="s">
        <v>25</v>
      </c>
      <c r="H1432" s="1">
        <v>178640</v>
      </c>
      <c r="I1432" s="3">
        <v>705</v>
      </c>
      <c r="J1432" s="3">
        <v>1292095</v>
      </c>
      <c r="K1432" s="3">
        <v>12274.95</v>
      </c>
      <c r="L1432" s="2">
        <v>20.100000000000001</v>
      </c>
      <c r="M1432" s="11">
        <v>35.265240640000002</v>
      </c>
      <c r="N1432" s="3">
        <v>4</v>
      </c>
      <c r="O1432" s="3">
        <v>140885</v>
      </c>
      <c r="P1432" s="3">
        <v>290246</v>
      </c>
      <c r="Q1432" s="10">
        <v>2</v>
      </c>
      <c r="R1432" s="3">
        <f>(Таблица1[Размер кредита]-$AA$2)/$AA$3</f>
        <v>-0.74556089304127593</v>
      </c>
      <c r="S1432" s="3">
        <f>(Таблица1[Кредитный рейтинг]-$AA$7)/($AA$8-$AA$7)</f>
        <v>0.93874833555259651</v>
      </c>
      <c r="T1432" s="3">
        <f>(Таблица1[Срок с последнего нарушения кредитного договора (мес,)]-$AA$12)/($AA$13-$AA$12)</f>
        <v>0.40074137090909095</v>
      </c>
      <c r="U1432" s="3">
        <f>(Таблица1[Количество кредитных карт]-$AA$18)/($AA$19-$AA$18)</f>
        <v>7.1428571428571425E-2</v>
      </c>
      <c r="V1432" s="3">
        <f>(Таблица1[Число нарушений кредитных договоров]-$AA$23)/($AA$24-$AA$23)</f>
        <v>0.2857142857142857</v>
      </c>
      <c r="W1432" s="3">
        <f>Таблица1[[#This Row],[Годовой доход]]/12</f>
        <v>107674.58333333333</v>
      </c>
      <c r="X1432" s="3">
        <f>Таблица1[[#This Row],[Ежемесячный платеж]]/Таблица1[[#This Row],[Ежем доход]]</f>
        <v>0.11400044114403354</v>
      </c>
      <c r="Y1432" s="3"/>
      <c r="Z1432" s="3"/>
      <c r="AA1432" s="3"/>
      <c r="AB1432" s="3"/>
    </row>
    <row r="1433" spans="1:28" x14ac:dyDescent="0.2">
      <c r="A1433">
        <v>11</v>
      </c>
      <c r="B1433" t="s">
        <v>43</v>
      </c>
      <c r="C1433" t="s">
        <v>18</v>
      </c>
      <c r="D1433" t="s">
        <v>19</v>
      </c>
      <c r="E1433" t="s">
        <v>30</v>
      </c>
      <c r="F1433" t="s">
        <v>33</v>
      </c>
      <c r="G1433" t="s">
        <v>25</v>
      </c>
      <c r="H1433" s="1">
        <v>309594.52439999999</v>
      </c>
      <c r="I1433" s="3">
        <v>728</v>
      </c>
      <c r="J1433" s="3">
        <v>714628</v>
      </c>
      <c r="K1433" s="3">
        <v>11851.06</v>
      </c>
      <c r="L1433" s="2">
        <v>16</v>
      </c>
      <c r="M1433" s="11">
        <v>76</v>
      </c>
      <c r="N1433" s="3">
        <v>16</v>
      </c>
      <c r="O1433" s="3">
        <v>203965</v>
      </c>
      <c r="P1433" s="3">
        <v>289784</v>
      </c>
      <c r="Q1433" s="10">
        <v>0</v>
      </c>
      <c r="R1433" s="3">
        <f>(Таблица1[Размер кредита]-$AA$2)/$AA$3</f>
        <v>-1.2411115481956205E-10</v>
      </c>
      <c r="S1433" s="3">
        <f>(Таблица1[Кредитный рейтинг]-$AA$7)/($AA$8-$AA$7)</f>
        <v>0.96937416777629826</v>
      </c>
      <c r="T1433" s="3">
        <f>(Таблица1[Срок с последнего нарушения кредитного договора (мес,)]-$AA$12)/($AA$13-$AA$12)</f>
        <v>0.86363636363636365</v>
      </c>
      <c r="U1433" s="3">
        <f>(Таблица1[Количество кредитных карт]-$AA$18)/($AA$19-$AA$18)</f>
        <v>0.35714285714285715</v>
      </c>
      <c r="V1433" s="3">
        <f>(Таблица1[Число нарушений кредитных договоров]-$AA$23)/($AA$24-$AA$23)</f>
        <v>0</v>
      </c>
      <c r="W1433" s="3">
        <f>Таблица1[[#This Row],[Годовой доход]]/12</f>
        <v>59552.333333333336</v>
      </c>
      <c r="X1433" s="3">
        <f>Таблица1[[#This Row],[Ежемесячный платеж]]/Таблица1[[#This Row],[Ежем доход]]</f>
        <v>0.19900244602786343</v>
      </c>
      <c r="Y1433" s="3"/>
      <c r="Z1433" s="3"/>
      <c r="AA1433" s="3"/>
      <c r="AB1433" s="3"/>
    </row>
    <row r="1434" spans="1:28" x14ac:dyDescent="0.2">
      <c r="A1434">
        <v>1358</v>
      </c>
      <c r="B1434" t="s">
        <v>1397</v>
      </c>
      <c r="C1434" t="s">
        <v>35</v>
      </c>
      <c r="D1434" t="s">
        <v>29</v>
      </c>
      <c r="E1434" t="s">
        <v>24</v>
      </c>
      <c r="F1434" t="s">
        <v>21</v>
      </c>
      <c r="G1434" t="s">
        <v>25</v>
      </c>
      <c r="H1434" s="1">
        <v>308858</v>
      </c>
      <c r="I1434" s="3">
        <v>733</v>
      </c>
      <c r="J1434" s="3">
        <v>1095559</v>
      </c>
      <c r="K1434" s="3">
        <v>11868.54</v>
      </c>
      <c r="L1434" s="2">
        <v>16</v>
      </c>
      <c r="M1434" s="11">
        <v>35.265240640000002</v>
      </c>
      <c r="N1434" s="3">
        <v>4</v>
      </c>
      <c r="O1434" s="3">
        <v>1995</v>
      </c>
      <c r="P1434" s="3">
        <v>289564</v>
      </c>
      <c r="Q1434" s="10">
        <v>0</v>
      </c>
      <c r="R1434" s="3">
        <f>(Таблица1[Размер кредита]-$AA$2)/$AA$3</f>
        <v>-4.1932404251639006E-3</v>
      </c>
      <c r="S1434" s="3">
        <f>(Таблица1[Кредитный рейтинг]-$AA$7)/($AA$8-$AA$7)</f>
        <v>0.97603195739014648</v>
      </c>
      <c r="T1434" s="3">
        <f>(Таблица1[Срок с последнего нарушения кредитного договора (мес,)]-$AA$12)/($AA$13-$AA$12)</f>
        <v>0.40074137090909095</v>
      </c>
      <c r="U1434" s="3">
        <f>(Таблица1[Количество кредитных карт]-$AA$18)/($AA$19-$AA$18)</f>
        <v>7.1428571428571425E-2</v>
      </c>
      <c r="V1434" s="3">
        <f>(Таблица1[Число нарушений кредитных договоров]-$AA$23)/($AA$24-$AA$23)</f>
        <v>0</v>
      </c>
      <c r="W1434" s="3">
        <f>Таблица1[[#This Row],[Годовой доход]]/12</f>
        <v>91296.583333333328</v>
      </c>
      <c r="X1434" s="3">
        <f>Таблица1[[#This Row],[Ежемесячный платеж]]/Таблица1[[#This Row],[Ежем доход]]</f>
        <v>0.12999982657255338</v>
      </c>
      <c r="Y1434" s="3"/>
      <c r="Z1434" s="3"/>
      <c r="AA1434" s="3"/>
      <c r="AB1434" s="3"/>
    </row>
    <row r="1435" spans="1:28" x14ac:dyDescent="0.2">
      <c r="A1435">
        <v>1615</v>
      </c>
      <c r="B1435" t="s">
        <v>1654</v>
      </c>
      <c r="C1435" t="s">
        <v>35</v>
      </c>
      <c r="D1435" t="s">
        <v>29</v>
      </c>
      <c r="E1435" t="s">
        <v>20</v>
      </c>
      <c r="F1435" t="s">
        <v>21</v>
      </c>
      <c r="G1435" t="s">
        <v>25</v>
      </c>
      <c r="H1435" s="1">
        <v>347688</v>
      </c>
      <c r="I1435" s="3">
        <v>703</v>
      </c>
      <c r="J1435" s="3">
        <v>1058699</v>
      </c>
      <c r="K1435" s="3">
        <v>9439.9599999999991</v>
      </c>
      <c r="L1435" s="2">
        <v>15.2</v>
      </c>
      <c r="M1435" s="11">
        <v>48</v>
      </c>
      <c r="N1435" s="3">
        <v>8</v>
      </c>
      <c r="O1435" s="3">
        <v>100111</v>
      </c>
      <c r="P1435" s="3">
        <v>287650</v>
      </c>
      <c r="Q1435" s="10">
        <v>2</v>
      </c>
      <c r="R1435" s="3">
        <f>(Таблица1[Размер кредита]-$AA$2)/$AA$3</f>
        <v>0.21687685703512291</v>
      </c>
      <c r="S1435" s="3">
        <f>(Таблица1[Кредитный рейтинг]-$AA$7)/($AA$8-$AA$7)</f>
        <v>0.93608521970705727</v>
      </c>
      <c r="T1435" s="3">
        <f>(Таблица1[Срок с последнего нарушения кредитного договора (мес,)]-$AA$12)/($AA$13-$AA$12)</f>
        <v>0.54545454545454541</v>
      </c>
      <c r="U1435" s="3">
        <f>(Таблица1[Количество кредитных карт]-$AA$18)/($AA$19-$AA$18)</f>
        <v>0.16666666666666666</v>
      </c>
      <c r="V1435" s="3">
        <f>(Таблица1[Число нарушений кредитных договоров]-$AA$23)/($AA$24-$AA$23)</f>
        <v>0.2857142857142857</v>
      </c>
      <c r="W1435" s="3">
        <f>Таблица1[[#This Row],[Годовой доход]]/12</f>
        <v>88224.916666666672</v>
      </c>
      <c r="X1435" s="3">
        <f>Таблица1[[#This Row],[Ежемесячный платеж]]/Таблица1[[#This Row],[Ежем доход]]</f>
        <v>0.10699879758080436</v>
      </c>
      <c r="Y1435" s="3"/>
      <c r="Z1435" s="3"/>
      <c r="AA1435" s="3"/>
      <c r="AB1435" s="3"/>
    </row>
    <row r="1436" spans="1:28" x14ac:dyDescent="0.2">
      <c r="A1436">
        <v>1991</v>
      </c>
      <c r="B1436" t="s">
        <v>2027</v>
      </c>
      <c r="C1436" t="s">
        <v>18</v>
      </c>
      <c r="D1436" t="s">
        <v>19</v>
      </c>
      <c r="E1436" t="s">
        <v>41</v>
      </c>
      <c r="F1436" t="s">
        <v>21</v>
      </c>
      <c r="G1436" t="s">
        <v>25</v>
      </c>
      <c r="H1436" s="1">
        <v>132660</v>
      </c>
      <c r="I1436" s="3">
        <v>720</v>
      </c>
      <c r="J1436" s="3">
        <v>553755</v>
      </c>
      <c r="K1436" s="3">
        <v>4203.9399999999996</v>
      </c>
      <c r="L1436" s="2">
        <v>6.8</v>
      </c>
      <c r="M1436" s="11">
        <v>35.265240640000002</v>
      </c>
      <c r="N1436" s="3">
        <v>5</v>
      </c>
      <c r="O1436" s="3">
        <v>171456</v>
      </c>
      <c r="P1436" s="3">
        <v>287298</v>
      </c>
      <c r="Q1436" s="10">
        <v>0</v>
      </c>
      <c r="R1436" s="3">
        <f>(Таблица1[Размер кредита]-$AA$2)/$AA$3</f>
        <v>-1.0073379489574228</v>
      </c>
      <c r="S1436" s="3">
        <f>(Таблица1[Кредитный рейтинг]-$AA$7)/($AA$8-$AA$7)</f>
        <v>0.95872170439414117</v>
      </c>
      <c r="T1436" s="3">
        <f>(Таблица1[Срок с последнего нарушения кредитного договора (мес,)]-$AA$12)/($AA$13-$AA$12)</f>
        <v>0.40074137090909095</v>
      </c>
      <c r="U1436" s="3">
        <f>(Таблица1[Количество кредитных карт]-$AA$18)/($AA$19-$AA$18)</f>
        <v>9.5238095238095233E-2</v>
      </c>
      <c r="V1436" s="3">
        <f>(Таблица1[Число нарушений кредитных договоров]-$AA$23)/($AA$24-$AA$23)</f>
        <v>0</v>
      </c>
      <c r="W1436" s="3">
        <f>Таблица1[[#This Row],[Годовой доход]]/12</f>
        <v>46146.25</v>
      </c>
      <c r="X1436" s="3">
        <f>Таблица1[[#This Row],[Ежемесячный платеж]]/Таблица1[[#This Row],[Ежем доход]]</f>
        <v>9.110036026762737E-2</v>
      </c>
      <c r="Y1436" s="3"/>
      <c r="Z1436" s="3"/>
      <c r="AA1436" s="3"/>
      <c r="AB1436" s="3"/>
    </row>
    <row r="1437" spans="1:28" x14ac:dyDescent="0.2">
      <c r="A1437">
        <v>874</v>
      </c>
      <c r="B1437" t="s">
        <v>915</v>
      </c>
      <c r="C1437" t="s">
        <v>18</v>
      </c>
      <c r="D1437" t="s">
        <v>19</v>
      </c>
      <c r="E1437" t="s">
        <v>69</v>
      </c>
      <c r="F1437" t="s">
        <v>21</v>
      </c>
      <c r="G1437" t="s">
        <v>25</v>
      </c>
      <c r="H1437" s="1">
        <v>447920</v>
      </c>
      <c r="I1437" s="3">
        <v>683</v>
      </c>
      <c r="J1437" s="3">
        <v>1005784</v>
      </c>
      <c r="K1437" s="3">
        <v>7870.18</v>
      </c>
      <c r="L1437" s="2">
        <v>15.1</v>
      </c>
      <c r="M1437" s="11">
        <v>35.265240640000002</v>
      </c>
      <c r="N1437" s="3">
        <v>10</v>
      </c>
      <c r="O1437" s="3">
        <v>230888</v>
      </c>
      <c r="P1437" s="3">
        <v>286528</v>
      </c>
      <c r="Q1437" s="10">
        <v>0</v>
      </c>
      <c r="R1437" s="3">
        <f>(Таблица1[Размер кредита]-$AA$2)/$AA$3</f>
        <v>0.78752578849635058</v>
      </c>
      <c r="S1437" s="3">
        <f>(Таблица1[Кредитный рейтинг]-$AA$7)/($AA$8-$AA$7)</f>
        <v>0.9094540612516645</v>
      </c>
      <c r="T1437" s="3">
        <f>(Таблица1[Срок с последнего нарушения кредитного договора (мес,)]-$AA$12)/($AA$13-$AA$12)</f>
        <v>0.40074137090909095</v>
      </c>
      <c r="U1437" s="3">
        <f>(Таблица1[Количество кредитных карт]-$AA$18)/($AA$19-$AA$18)</f>
        <v>0.21428571428571427</v>
      </c>
      <c r="V1437" s="3">
        <f>(Таблица1[Число нарушений кредитных договоров]-$AA$23)/($AA$24-$AA$23)</f>
        <v>0</v>
      </c>
      <c r="W1437" s="3">
        <f>Таблица1[[#This Row],[Годовой доход]]/12</f>
        <v>83815.333333333328</v>
      </c>
      <c r="X1437" s="3">
        <f>Таблица1[[#This Row],[Ежемесячный платеж]]/Таблица1[[#This Row],[Ежем доход]]</f>
        <v>9.3899047906906466E-2</v>
      </c>
      <c r="Y1437" s="3"/>
      <c r="Z1437" s="3"/>
      <c r="AA1437" s="3"/>
      <c r="AB1437" s="3"/>
    </row>
    <row r="1438" spans="1:28" x14ac:dyDescent="0.2">
      <c r="A1438">
        <v>686</v>
      </c>
      <c r="B1438" t="s">
        <v>727</v>
      </c>
      <c r="C1438" t="s">
        <v>35</v>
      </c>
      <c r="D1438" t="s">
        <v>19</v>
      </c>
      <c r="E1438" t="s">
        <v>63</v>
      </c>
      <c r="F1438" t="s">
        <v>33</v>
      </c>
      <c r="G1438" t="s">
        <v>25</v>
      </c>
      <c r="H1438" s="1">
        <v>279862</v>
      </c>
      <c r="I1438" s="3">
        <v>680</v>
      </c>
      <c r="J1438" s="3">
        <v>929575</v>
      </c>
      <c r="K1438" s="3">
        <v>6600.03</v>
      </c>
      <c r="L1438" s="2">
        <v>13.6</v>
      </c>
      <c r="M1438" s="11">
        <v>18</v>
      </c>
      <c r="N1438" s="3">
        <v>5</v>
      </c>
      <c r="O1438" s="3">
        <v>224143</v>
      </c>
      <c r="P1438" s="3">
        <v>286462</v>
      </c>
      <c r="Q1438" s="10">
        <v>0</v>
      </c>
      <c r="R1438" s="3">
        <f>(Таблица1[Размер кредита]-$AA$2)/$AA$3</f>
        <v>-0.16927561348615994</v>
      </c>
      <c r="S1438" s="3">
        <f>(Таблица1[Кредитный рейтинг]-$AA$7)/($AA$8-$AA$7)</f>
        <v>0.90545938748335553</v>
      </c>
      <c r="T1438" s="3">
        <f>(Таблица1[Срок с последнего нарушения кредитного договора (мес,)]-$AA$12)/($AA$13-$AA$12)</f>
        <v>0.20454545454545456</v>
      </c>
      <c r="U1438" s="3">
        <f>(Таблица1[Количество кредитных карт]-$AA$18)/($AA$19-$AA$18)</f>
        <v>9.5238095238095233E-2</v>
      </c>
      <c r="V1438" s="3">
        <f>(Таблица1[Число нарушений кредитных договоров]-$AA$23)/($AA$24-$AA$23)</f>
        <v>0</v>
      </c>
      <c r="W1438" s="3">
        <f>Таблица1[[#This Row],[Годовой доход]]/12</f>
        <v>77464.583333333328</v>
      </c>
      <c r="X1438" s="3">
        <f>Таблица1[[#This Row],[Ежемесячный платеж]]/Таблица1[[#This Row],[Ежем доход]]</f>
        <v>8.5200613183444046E-2</v>
      </c>
      <c r="Y1438" s="3"/>
      <c r="Z1438" s="3"/>
      <c r="AA1438" s="3"/>
      <c r="AB1438" s="3"/>
    </row>
    <row r="1439" spans="1:28" x14ac:dyDescent="0.2">
      <c r="A1439">
        <v>159</v>
      </c>
      <c r="B1439" t="s">
        <v>201</v>
      </c>
      <c r="C1439" t="s">
        <v>18</v>
      </c>
      <c r="D1439" t="s">
        <v>19</v>
      </c>
      <c r="E1439" t="s">
        <v>37</v>
      </c>
      <c r="F1439" t="s">
        <v>33</v>
      </c>
      <c r="G1439" t="s">
        <v>25</v>
      </c>
      <c r="H1439" s="1">
        <v>309594.52439999999</v>
      </c>
      <c r="I1439" s="3">
        <v>726</v>
      </c>
      <c r="J1439" s="3">
        <v>1153851</v>
      </c>
      <c r="K1439" s="3">
        <v>7125</v>
      </c>
      <c r="L1439" s="2">
        <v>13.5</v>
      </c>
      <c r="M1439" s="11">
        <v>39</v>
      </c>
      <c r="N1439" s="3">
        <v>7</v>
      </c>
      <c r="O1439" s="3">
        <v>165984</v>
      </c>
      <c r="P1439" s="3">
        <v>286440</v>
      </c>
      <c r="Q1439" s="10">
        <v>0</v>
      </c>
      <c r="R1439" s="3">
        <f>(Таблица1[Размер кредита]-$AA$2)/$AA$3</f>
        <v>-1.2411115481956205E-10</v>
      </c>
      <c r="S1439" s="3">
        <f>(Таблица1[Кредитный рейтинг]-$AA$7)/($AA$8-$AA$7)</f>
        <v>0.96671105193075901</v>
      </c>
      <c r="T1439" s="3">
        <f>(Таблица1[Срок с последнего нарушения кредитного договора (мес,)]-$AA$12)/($AA$13-$AA$12)</f>
        <v>0.44318181818181818</v>
      </c>
      <c r="U1439" s="3">
        <f>(Таблица1[Количество кредитных карт]-$AA$18)/($AA$19-$AA$18)</f>
        <v>0.14285714285714285</v>
      </c>
      <c r="V1439" s="3">
        <f>(Таблица1[Число нарушений кредитных договоров]-$AA$23)/($AA$24-$AA$23)</f>
        <v>0</v>
      </c>
      <c r="W1439" s="3">
        <f>Таблица1[[#This Row],[Годовой доход]]/12</f>
        <v>96154.25</v>
      </c>
      <c r="X1439" s="3">
        <f>Таблица1[[#This Row],[Ежемесячный платеж]]/Таблица1[[#This Row],[Ежем доход]]</f>
        <v>7.4099688781307113E-2</v>
      </c>
      <c r="Y1439" s="3"/>
      <c r="Z1439" s="3"/>
      <c r="AA1439" s="3"/>
      <c r="AB1439" s="3"/>
    </row>
    <row r="1440" spans="1:28" x14ac:dyDescent="0.2">
      <c r="A1440">
        <v>1810</v>
      </c>
      <c r="B1440" t="s">
        <v>1848</v>
      </c>
      <c r="C1440" t="s">
        <v>35</v>
      </c>
      <c r="D1440" t="s">
        <v>19</v>
      </c>
      <c r="E1440" t="s">
        <v>20</v>
      </c>
      <c r="F1440" t="s">
        <v>21</v>
      </c>
      <c r="G1440" t="s">
        <v>25</v>
      </c>
      <c r="H1440" s="1">
        <v>135102</v>
      </c>
      <c r="I1440" s="3">
        <v>727</v>
      </c>
      <c r="J1440" s="3">
        <v>795511</v>
      </c>
      <c r="K1440" s="3">
        <v>18562.240000000002</v>
      </c>
      <c r="L1440" s="2">
        <v>15</v>
      </c>
      <c r="M1440" s="11">
        <v>35.265240640000002</v>
      </c>
      <c r="N1440" s="3">
        <v>12</v>
      </c>
      <c r="O1440" s="3">
        <v>155572</v>
      </c>
      <c r="P1440" s="3">
        <v>286374</v>
      </c>
      <c r="Q1440" s="10">
        <v>1</v>
      </c>
      <c r="R1440" s="3">
        <f>(Таблица1[Размер кредита]-$AA$2)/$AA$3</f>
        <v>-0.99343495699249829</v>
      </c>
      <c r="S1440" s="3">
        <f>(Таблица1[Кредитный рейтинг]-$AA$7)/($AA$8-$AA$7)</f>
        <v>0.96804260985352863</v>
      </c>
      <c r="T1440" s="3">
        <f>(Таблица1[Срок с последнего нарушения кредитного договора (мес,)]-$AA$12)/($AA$13-$AA$12)</f>
        <v>0.40074137090909095</v>
      </c>
      <c r="U1440" s="3">
        <f>(Таблица1[Количество кредитных карт]-$AA$18)/($AA$19-$AA$18)</f>
        <v>0.26190476190476192</v>
      </c>
      <c r="V1440" s="3">
        <f>(Таблица1[Число нарушений кредитных договоров]-$AA$23)/($AA$24-$AA$23)</f>
        <v>0.14285714285714285</v>
      </c>
      <c r="W1440" s="3">
        <f>Таблица1[[#This Row],[Годовой доход]]/12</f>
        <v>66292.583333333328</v>
      </c>
      <c r="X1440" s="3">
        <f>Таблица1[[#This Row],[Ежемесячный платеж]]/Таблица1[[#This Row],[Ежем доход]]</f>
        <v>0.28000477680384062</v>
      </c>
      <c r="Y1440" s="3"/>
      <c r="Z1440" s="3"/>
      <c r="AA1440" s="3"/>
      <c r="AB1440" s="3"/>
    </row>
    <row r="1441" spans="1:28" x14ac:dyDescent="0.2">
      <c r="A1441">
        <v>1102</v>
      </c>
      <c r="B1441" t="s">
        <v>1141</v>
      </c>
      <c r="C1441" t="s">
        <v>18</v>
      </c>
      <c r="D1441" t="s">
        <v>19</v>
      </c>
      <c r="E1441" t="s">
        <v>24</v>
      </c>
      <c r="F1441" t="s">
        <v>21</v>
      </c>
      <c r="G1441" t="s">
        <v>22</v>
      </c>
      <c r="H1441" s="1">
        <v>268598</v>
      </c>
      <c r="I1441" s="3">
        <v>0</v>
      </c>
      <c r="J1441" s="3">
        <v>1168044</v>
      </c>
      <c r="K1441" s="3">
        <v>1997.47</v>
      </c>
      <c r="L1441" s="2">
        <v>14.5</v>
      </c>
      <c r="M1441" s="11">
        <v>35</v>
      </c>
      <c r="N1441" s="3">
        <v>6</v>
      </c>
      <c r="O1441" s="3">
        <v>56620</v>
      </c>
      <c r="P1441" s="3">
        <v>286286</v>
      </c>
      <c r="Q1441" s="10">
        <v>1</v>
      </c>
      <c r="R1441" s="3">
        <f>(Таблица1[Размер кредита]-$AA$2)/$AA$3</f>
        <v>-0.23340472957662275</v>
      </c>
      <c r="S1441" s="3">
        <f>(Таблица1[Кредитный рейтинг]-$AA$7)/($AA$8-$AA$7)</f>
        <v>0</v>
      </c>
      <c r="T1441" s="3">
        <f>(Таблица1[Срок с последнего нарушения кредитного договора (мес,)]-$AA$12)/($AA$13-$AA$12)</f>
        <v>0.39772727272727271</v>
      </c>
      <c r="U1441" s="3">
        <f>(Таблица1[Количество кредитных карт]-$AA$18)/($AA$19-$AA$18)</f>
        <v>0.11904761904761904</v>
      </c>
      <c r="V1441" s="3">
        <f>(Таблица1[Число нарушений кредитных договоров]-$AA$23)/($AA$24-$AA$23)</f>
        <v>0.14285714285714285</v>
      </c>
      <c r="W1441" s="3">
        <f>Таблица1[[#This Row],[Годовой доход]]/12</f>
        <v>97337</v>
      </c>
      <c r="X1441" s="3">
        <f>Таблица1[[#This Row],[Ежемесячный платеж]]/Таблица1[[#This Row],[Ежем доход]]</f>
        <v>2.0521178996681631E-2</v>
      </c>
      <c r="Y1441" s="3"/>
      <c r="Z1441" s="3"/>
      <c r="AA1441" s="3"/>
      <c r="AB1441" s="3"/>
    </row>
    <row r="1442" spans="1:28" x14ac:dyDescent="0.2">
      <c r="A1442">
        <v>615</v>
      </c>
      <c r="B1442" t="s">
        <v>656</v>
      </c>
      <c r="C1442" t="s">
        <v>18</v>
      </c>
      <c r="D1442" t="s">
        <v>19</v>
      </c>
      <c r="E1442" t="s">
        <v>47</v>
      </c>
      <c r="F1442" t="s">
        <v>27</v>
      </c>
      <c r="G1442" t="s">
        <v>67</v>
      </c>
      <c r="H1442" s="1">
        <v>177628</v>
      </c>
      <c r="I1442" s="3">
        <v>0</v>
      </c>
      <c r="J1442" s="3">
        <v>1168044</v>
      </c>
      <c r="K1442" s="3">
        <v>4314.33</v>
      </c>
      <c r="L1442" s="2">
        <v>10.3</v>
      </c>
      <c r="M1442" s="11">
        <v>35.265240640000002</v>
      </c>
      <c r="N1442" s="3">
        <v>7</v>
      </c>
      <c r="O1442" s="3">
        <v>136724</v>
      </c>
      <c r="P1442" s="3">
        <v>286264</v>
      </c>
      <c r="Q1442" s="10">
        <v>0</v>
      </c>
      <c r="R1442" s="3">
        <f>(Таблица1[Размер кредита]-$AA$2)/$AA$3</f>
        <v>-0.75132249331502843</v>
      </c>
      <c r="S1442" s="3">
        <f>(Таблица1[Кредитный рейтинг]-$AA$7)/($AA$8-$AA$7)</f>
        <v>0</v>
      </c>
      <c r="T1442" s="3">
        <f>(Таблица1[Срок с последнего нарушения кредитного договора (мес,)]-$AA$12)/($AA$13-$AA$12)</f>
        <v>0.40074137090909095</v>
      </c>
      <c r="U1442" s="3">
        <f>(Таблица1[Количество кредитных карт]-$AA$18)/($AA$19-$AA$18)</f>
        <v>0.14285714285714285</v>
      </c>
      <c r="V1442" s="3">
        <f>(Таблица1[Число нарушений кредитных договоров]-$AA$23)/($AA$24-$AA$23)</f>
        <v>0</v>
      </c>
      <c r="W1442" s="3">
        <f>Таблица1[[#This Row],[Годовой доход]]/12</f>
        <v>97337</v>
      </c>
      <c r="X1442" s="3">
        <f>Таблица1[[#This Row],[Ежемесячный платеж]]/Таблица1[[#This Row],[Ежем доход]]</f>
        <v>4.4323638493070465E-2</v>
      </c>
      <c r="Y1442" s="3"/>
      <c r="Z1442" s="3"/>
      <c r="AA1442" s="3"/>
      <c r="AB1442" s="3"/>
    </row>
    <row r="1443" spans="1:28" x14ac:dyDescent="0.2">
      <c r="A1443">
        <v>1946</v>
      </c>
      <c r="B1443" t="s">
        <v>1982</v>
      </c>
      <c r="C1443" t="s">
        <v>18</v>
      </c>
      <c r="D1443" t="s">
        <v>29</v>
      </c>
      <c r="E1443" t="s">
        <v>30</v>
      </c>
      <c r="F1443" t="s">
        <v>33</v>
      </c>
      <c r="G1443" t="s">
        <v>25</v>
      </c>
      <c r="H1443" s="1">
        <v>332486</v>
      </c>
      <c r="I1443" s="3">
        <v>657</v>
      </c>
      <c r="J1443" s="3">
        <v>593427</v>
      </c>
      <c r="K1443" s="3">
        <v>5533.75</v>
      </c>
      <c r="L1443" s="2">
        <v>13.7</v>
      </c>
      <c r="M1443" s="11">
        <v>43</v>
      </c>
      <c r="N1443" s="3">
        <v>2</v>
      </c>
      <c r="O1443" s="3">
        <v>198360</v>
      </c>
      <c r="P1443" s="3">
        <v>286022</v>
      </c>
      <c r="Q1443" s="10">
        <v>0</v>
      </c>
      <c r="R1443" s="3">
        <f>(Таблица1[Размер кредита]-$AA$2)/$AA$3</f>
        <v>0.13032760074897096</v>
      </c>
      <c r="S1443" s="3">
        <f>(Таблица1[Кредитный рейтинг]-$AA$7)/($AA$8-$AA$7)</f>
        <v>0.87483355525965378</v>
      </c>
      <c r="T1443" s="3">
        <f>(Таблица1[Срок с последнего нарушения кредитного договора (мес,)]-$AA$12)/($AA$13-$AA$12)</f>
        <v>0.48863636363636365</v>
      </c>
      <c r="U1443" s="3">
        <f>(Таблица1[Количество кредитных карт]-$AA$18)/($AA$19-$AA$18)</f>
        <v>2.3809523809523808E-2</v>
      </c>
      <c r="V1443" s="3">
        <f>(Таблица1[Число нарушений кредитных договоров]-$AA$23)/($AA$24-$AA$23)</f>
        <v>0</v>
      </c>
      <c r="W1443" s="3">
        <f>Таблица1[[#This Row],[Годовой доход]]/12</f>
        <v>49452.25</v>
      </c>
      <c r="X1443" s="3">
        <f>Таблица1[[#This Row],[Ежемесячный платеж]]/Таблица1[[#This Row],[Ежем доход]]</f>
        <v>0.11190087407549706</v>
      </c>
      <c r="Y1443" s="3"/>
      <c r="Z1443" s="3"/>
      <c r="AA1443" s="3"/>
      <c r="AB1443" s="3"/>
    </row>
    <row r="1444" spans="1:28" x14ac:dyDescent="0.2">
      <c r="A1444">
        <v>1575</v>
      </c>
      <c r="B1444" t="s">
        <v>1614</v>
      </c>
      <c r="C1444" t="s">
        <v>18</v>
      </c>
      <c r="D1444" t="s">
        <v>19</v>
      </c>
      <c r="E1444" t="s">
        <v>32</v>
      </c>
      <c r="F1444" t="s">
        <v>21</v>
      </c>
      <c r="G1444" t="s">
        <v>67</v>
      </c>
      <c r="H1444" s="1">
        <v>343486</v>
      </c>
      <c r="I1444" s="3">
        <v>751</v>
      </c>
      <c r="J1444" s="3">
        <v>6489070</v>
      </c>
      <c r="K1444" s="3">
        <v>3785.37</v>
      </c>
      <c r="L1444" s="2">
        <v>15.4</v>
      </c>
      <c r="M1444" s="11">
        <v>35.265240640000002</v>
      </c>
      <c r="N1444" s="3">
        <v>11</v>
      </c>
      <c r="O1444" s="3">
        <v>38019</v>
      </c>
      <c r="P1444" s="3">
        <v>285912</v>
      </c>
      <c r="Q1444" s="10">
        <v>0</v>
      </c>
      <c r="R1444" s="3">
        <f>(Таблица1[Размер кредита]-$AA$2)/$AA$3</f>
        <v>0.19295369068106355</v>
      </c>
      <c r="S1444" s="3">
        <f>(Таблица1[Кредитный рейтинг]-$AA$7)/($AA$8-$AA$7)</f>
        <v>1</v>
      </c>
      <c r="T1444" s="3">
        <f>(Таблица1[Срок с последнего нарушения кредитного договора (мес,)]-$AA$12)/($AA$13-$AA$12)</f>
        <v>0.40074137090909095</v>
      </c>
      <c r="U1444" s="3">
        <f>(Таблица1[Количество кредитных карт]-$AA$18)/($AA$19-$AA$18)</f>
        <v>0.23809523809523808</v>
      </c>
      <c r="V1444" s="3">
        <f>(Таблица1[Число нарушений кредитных договоров]-$AA$23)/($AA$24-$AA$23)</f>
        <v>0</v>
      </c>
      <c r="W1444" s="3">
        <f>Таблица1[[#This Row],[Годовой доход]]/12</f>
        <v>540755.83333333337</v>
      </c>
      <c r="X1444" s="3">
        <f>Таблица1[[#This Row],[Ежемесячный платеж]]/Таблица1[[#This Row],[Ежем доход]]</f>
        <v>7.0001464000234229E-3</v>
      </c>
      <c r="Y1444" s="3"/>
      <c r="Z1444" s="3"/>
      <c r="AA1444" s="3"/>
      <c r="AB1444" s="3"/>
    </row>
    <row r="1445" spans="1:28" x14ac:dyDescent="0.2">
      <c r="A1445">
        <v>327</v>
      </c>
      <c r="B1445" t="s">
        <v>369</v>
      </c>
      <c r="C1445" t="s">
        <v>35</v>
      </c>
      <c r="D1445" t="s">
        <v>19</v>
      </c>
      <c r="E1445" t="s">
        <v>41</v>
      </c>
      <c r="F1445" t="s">
        <v>33</v>
      </c>
      <c r="G1445" t="s">
        <v>25</v>
      </c>
      <c r="H1445" s="1">
        <v>215006</v>
      </c>
      <c r="I1445" s="3">
        <v>0</v>
      </c>
      <c r="J1445" s="3">
        <v>1168044</v>
      </c>
      <c r="K1445" s="3">
        <v>20639.13</v>
      </c>
      <c r="L1445" s="2">
        <v>11.9</v>
      </c>
      <c r="M1445" s="11">
        <v>74</v>
      </c>
      <c r="N1445" s="3">
        <v>9</v>
      </c>
      <c r="O1445" s="3">
        <v>76551</v>
      </c>
      <c r="P1445" s="3">
        <v>284130</v>
      </c>
      <c r="Q1445" s="10">
        <v>0</v>
      </c>
      <c r="R1445" s="3">
        <f>(Таблица1[Размер кредита]-$AA$2)/$AA$3</f>
        <v>-0.53851903972577786</v>
      </c>
      <c r="S1445" s="3">
        <f>(Таблица1[Кредитный рейтинг]-$AA$7)/($AA$8-$AA$7)</f>
        <v>0</v>
      </c>
      <c r="T1445" s="3">
        <f>(Таблица1[Срок с последнего нарушения кредитного договора (мес,)]-$AA$12)/($AA$13-$AA$12)</f>
        <v>0.84090909090909094</v>
      </c>
      <c r="U1445" s="3">
        <f>(Таблица1[Количество кредитных карт]-$AA$18)/($AA$19-$AA$18)</f>
        <v>0.19047619047619047</v>
      </c>
      <c r="V1445" s="3">
        <f>(Таблица1[Число нарушений кредитных договоров]-$AA$23)/($AA$24-$AA$23)</f>
        <v>0</v>
      </c>
      <c r="W1445" s="3">
        <f>Таблица1[[#This Row],[Годовой доход]]/12</f>
        <v>97337</v>
      </c>
      <c r="X1445" s="3">
        <f>Таблица1[[#This Row],[Ежемесячный платеж]]/Таблица1[[#This Row],[Ежем доход]]</f>
        <v>0.21203786843646302</v>
      </c>
      <c r="Y1445" s="3"/>
      <c r="Z1445" s="3"/>
      <c r="AA1445" s="3"/>
      <c r="AB1445" s="3"/>
    </row>
    <row r="1446" spans="1:28" x14ac:dyDescent="0.2">
      <c r="A1446">
        <v>476</v>
      </c>
      <c r="B1446" t="s">
        <v>517</v>
      </c>
      <c r="C1446" t="s">
        <v>18</v>
      </c>
      <c r="D1446" t="s">
        <v>19</v>
      </c>
      <c r="E1446" t="s">
        <v>24</v>
      </c>
      <c r="F1446" t="s">
        <v>27</v>
      </c>
      <c r="G1446" t="s">
        <v>25</v>
      </c>
      <c r="H1446" s="1">
        <v>176220</v>
      </c>
      <c r="I1446" s="3">
        <v>717</v>
      </c>
      <c r="J1446" s="3">
        <v>1027235</v>
      </c>
      <c r="K1446" s="3">
        <v>9330.7099999999991</v>
      </c>
      <c r="L1446" s="2">
        <v>25.5</v>
      </c>
      <c r="M1446" s="11">
        <v>35.265240640000002</v>
      </c>
      <c r="N1446" s="3">
        <v>7</v>
      </c>
      <c r="O1446" s="3">
        <v>99294</v>
      </c>
      <c r="P1446" s="3">
        <v>283888</v>
      </c>
      <c r="Q1446" s="10">
        <v>1</v>
      </c>
      <c r="R1446" s="3">
        <f>(Таблица1[Размер кредита]-$AA$2)/$AA$3</f>
        <v>-0.75933863282633629</v>
      </c>
      <c r="S1446" s="3">
        <f>(Таблица1[Кредитный рейтинг]-$AA$7)/($AA$8-$AA$7)</f>
        <v>0.9547270306258322</v>
      </c>
      <c r="T1446" s="3">
        <f>(Таблица1[Срок с последнего нарушения кредитного договора (мес,)]-$AA$12)/($AA$13-$AA$12)</f>
        <v>0.40074137090909095</v>
      </c>
      <c r="U1446" s="3">
        <f>(Таблица1[Количество кредитных карт]-$AA$18)/($AA$19-$AA$18)</f>
        <v>0.14285714285714285</v>
      </c>
      <c r="V1446" s="3">
        <f>(Таблица1[Число нарушений кредитных договоров]-$AA$23)/($AA$24-$AA$23)</f>
        <v>0.14285714285714285</v>
      </c>
      <c r="W1446" s="3">
        <f>Таблица1[[#This Row],[Годовой доход]]/12</f>
        <v>85602.916666666672</v>
      </c>
      <c r="X1446" s="3">
        <f>Таблица1[[#This Row],[Ежемесячный платеж]]/Таблица1[[#This Row],[Ежем доход]]</f>
        <v>0.10899990751872744</v>
      </c>
      <c r="Y1446" s="3"/>
      <c r="Z1446" s="3"/>
      <c r="AA1446" s="3"/>
      <c r="AB1446" s="3"/>
    </row>
    <row r="1447" spans="1:28" x14ac:dyDescent="0.2">
      <c r="A1447">
        <v>1805</v>
      </c>
      <c r="B1447" t="s">
        <v>1843</v>
      </c>
      <c r="C1447" t="s">
        <v>18</v>
      </c>
      <c r="D1447" t="s">
        <v>29</v>
      </c>
      <c r="E1447" t="s">
        <v>41</v>
      </c>
      <c r="F1447" t="s">
        <v>33</v>
      </c>
      <c r="G1447" t="s">
        <v>25</v>
      </c>
      <c r="H1447" s="1">
        <v>269852</v>
      </c>
      <c r="I1447" s="3">
        <v>709</v>
      </c>
      <c r="J1447" s="3">
        <v>1495471</v>
      </c>
      <c r="K1447" s="3">
        <v>10505.86</v>
      </c>
      <c r="L1447" s="2">
        <v>19.3</v>
      </c>
      <c r="M1447" s="11">
        <v>35.265240640000002</v>
      </c>
      <c r="N1447" s="3">
        <v>6</v>
      </c>
      <c r="O1447" s="3">
        <v>178505</v>
      </c>
      <c r="P1447" s="3">
        <v>283536</v>
      </c>
      <c r="Q1447" s="10">
        <v>1</v>
      </c>
      <c r="R1447" s="3">
        <f>(Таблица1[Размер кредита]-$AA$2)/$AA$3</f>
        <v>-0.2262653553243642</v>
      </c>
      <c r="S1447" s="3">
        <f>(Таблица1[Кредитный рейтинг]-$AA$7)/($AA$8-$AA$7)</f>
        <v>0.94407456724367511</v>
      </c>
      <c r="T1447" s="3">
        <f>(Таблица1[Срок с последнего нарушения кредитного договора (мес,)]-$AA$12)/($AA$13-$AA$12)</f>
        <v>0.40074137090909095</v>
      </c>
      <c r="U1447" s="3">
        <f>(Таблица1[Количество кредитных карт]-$AA$18)/($AA$19-$AA$18)</f>
        <v>0.11904761904761904</v>
      </c>
      <c r="V1447" s="3">
        <f>(Таблица1[Число нарушений кредитных договоров]-$AA$23)/($AA$24-$AA$23)</f>
        <v>0.14285714285714285</v>
      </c>
      <c r="W1447" s="3">
        <f>Таблица1[[#This Row],[Годовой доход]]/12</f>
        <v>124622.58333333333</v>
      </c>
      <c r="X1447" s="3">
        <f>Таблица1[[#This Row],[Ежемесячный платеж]]/Таблица1[[#This Row],[Ежем доход]]</f>
        <v>8.4301414069547331E-2</v>
      </c>
      <c r="Y1447" s="3"/>
      <c r="Z1447" s="3"/>
      <c r="AA1447" s="3"/>
      <c r="AB1447" s="3"/>
    </row>
    <row r="1448" spans="1:28" x14ac:dyDescent="0.2">
      <c r="A1448">
        <v>1973</v>
      </c>
      <c r="B1448" t="s">
        <v>2009</v>
      </c>
      <c r="C1448" t="s">
        <v>18</v>
      </c>
      <c r="D1448" t="s">
        <v>19</v>
      </c>
      <c r="E1448" t="s">
        <v>24</v>
      </c>
      <c r="F1448" t="s">
        <v>33</v>
      </c>
      <c r="G1448" t="s">
        <v>25</v>
      </c>
      <c r="H1448" s="1">
        <v>157080</v>
      </c>
      <c r="I1448" s="3">
        <v>720</v>
      </c>
      <c r="J1448" s="3">
        <v>1280125</v>
      </c>
      <c r="K1448" s="3">
        <v>20588.59</v>
      </c>
      <c r="L1448" s="2">
        <v>22.7</v>
      </c>
      <c r="M1448" s="11">
        <v>5</v>
      </c>
      <c r="N1448" s="3">
        <v>10</v>
      </c>
      <c r="O1448" s="3">
        <v>127756</v>
      </c>
      <c r="P1448" s="3">
        <v>283404</v>
      </c>
      <c r="Q1448" s="10">
        <v>0</v>
      </c>
      <c r="R1448" s="3">
        <f>(Таблица1[Размер кредита]-$AA$2)/$AA$3</f>
        <v>-0.8683080293081773</v>
      </c>
      <c r="S1448" s="3">
        <f>(Таблица1[Кредитный рейтинг]-$AA$7)/($AA$8-$AA$7)</f>
        <v>0.95872170439414117</v>
      </c>
      <c r="T1448" s="3">
        <f>(Таблица1[Срок с последнего нарушения кредитного договора (мес,)]-$AA$12)/($AA$13-$AA$12)</f>
        <v>5.6818181818181816E-2</v>
      </c>
      <c r="U1448" s="3">
        <f>(Таблица1[Количество кредитных карт]-$AA$18)/($AA$19-$AA$18)</f>
        <v>0.21428571428571427</v>
      </c>
      <c r="V1448" s="3">
        <f>(Таблица1[Число нарушений кредитных договоров]-$AA$23)/($AA$24-$AA$23)</f>
        <v>0</v>
      </c>
      <c r="W1448" s="3">
        <f>Таблица1[[#This Row],[Годовой доход]]/12</f>
        <v>106677.08333333333</v>
      </c>
      <c r="X1448" s="3">
        <f>Таблица1[[#This Row],[Ежемесячный платеж]]/Таблица1[[#This Row],[Ежем доход]]</f>
        <v>0.19299918367346941</v>
      </c>
      <c r="Y1448" s="3"/>
      <c r="Z1448" s="3"/>
      <c r="AA1448" s="3"/>
      <c r="AB1448" s="3"/>
    </row>
    <row r="1449" spans="1:28" x14ac:dyDescent="0.2">
      <c r="A1449">
        <v>1887</v>
      </c>
      <c r="B1449" t="s">
        <v>1923</v>
      </c>
      <c r="C1449" t="s">
        <v>35</v>
      </c>
      <c r="D1449" t="s">
        <v>19</v>
      </c>
      <c r="E1449" t="s">
        <v>63</v>
      </c>
      <c r="F1449" t="s">
        <v>33</v>
      </c>
      <c r="G1449" t="s">
        <v>25</v>
      </c>
      <c r="H1449" s="1">
        <v>68662</v>
      </c>
      <c r="I1449" s="3">
        <v>720</v>
      </c>
      <c r="J1449" s="3">
        <v>807595</v>
      </c>
      <c r="K1449" s="3">
        <v>26179.91</v>
      </c>
      <c r="L1449" s="2">
        <v>9.5</v>
      </c>
      <c r="M1449" s="11">
        <v>35.265240640000002</v>
      </c>
      <c r="N1449" s="3">
        <v>15</v>
      </c>
      <c r="O1449" s="3">
        <v>204079</v>
      </c>
      <c r="P1449" s="3">
        <v>283338</v>
      </c>
      <c r="Q1449" s="10">
        <v>0</v>
      </c>
      <c r="R1449" s="3">
        <f>(Таблица1[Размер кредита]-$AA$2)/$AA$3</f>
        <v>-1.3716965401823376</v>
      </c>
      <c r="S1449" s="3">
        <f>(Таблица1[Кредитный рейтинг]-$AA$7)/($AA$8-$AA$7)</f>
        <v>0.95872170439414117</v>
      </c>
      <c r="T1449" s="3">
        <f>(Таблица1[Срок с последнего нарушения кредитного договора (мес,)]-$AA$12)/($AA$13-$AA$12)</f>
        <v>0.40074137090909095</v>
      </c>
      <c r="U1449" s="3">
        <f>(Таблица1[Количество кредитных карт]-$AA$18)/($AA$19-$AA$18)</f>
        <v>0.33333333333333331</v>
      </c>
      <c r="V1449" s="3">
        <f>(Таблица1[Число нарушений кредитных договоров]-$AA$23)/($AA$24-$AA$23)</f>
        <v>0</v>
      </c>
      <c r="W1449" s="3">
        <f>Таблица1[[#This Row],[Годовой доход]]/12</f>
        <v>67299.583333333328</v>
      </c>
      <c r="X1449" s="3">
        <f>Таблица1[[#This Row],[Ежемесячный платеж]]/Таблица1[[#This Row],[Ежем доход]]</f>
        <v>0.38900552876132222</v>
      </c>
      <c r="Y1449" s="3"/>
      <c r="Z1449" s="3"/>
      <c r="AA1449" s="3"/>
      <c r="AB1449" s="3"/>
    </row>
    <row r="1450" spans="1:28" x14ac:dyDescent="0.2">
      <c r="A1450">
        <v>1871</v>
      </c>
      <c r="B1450" t="s">
        <v>1908</v>
      </c>
      <c r="C1450" t="s">
        <v>35</v>
      </c>
      <c r="D1450" t="s">
        <v>19</v>
      </c>
      <c r="E1450" t="s">
        <v>41</v>
      </c>
      <c r="F1450" t="s">
        <v>33</v>
      </c>
      <c r="G1450" t="s">
        <v>25</v>
      </c>
      <c r="H1450" s="1">
        <v>26708</v>
      </c>
      <c r="I1450" s="3">
        <v>715</v>
      </c>
      <c r="J1450" s="3">
        <v>192166</v>
      </c>
      <c r="K1450" s="3">
        <v>1326.01</v>
      </c>
      <c r="L1450" s="2">
        <v>12.7</v>
      </c>
      <c r="M1450" s="11">
        <v>6</v>
      </c>
      <c r="N1450" s="3">
        <v>4</v>
      </c>
      <c r="O1450" s="3">
        <v>15409</v>
      </c>
      <c r="P1450" s="3">
        <v>283250</v>
      </c>
      <c r="Q1450" s="10">
        <v>0</v>
      </c>
      <c r="R1450" s="3">
        <f>(Таблица1[Размер кредита]-$AA$2)/$AA$3</f>
        <v>-1.6105524471833386</v>
      </c>
      <c r="S1450" s="3">
        <f>(Таблица1[Кредитный рейтинг]-$AA$7)/($AA$8-$AA$7)</f>
        <v>0.95206391478029295</v>
      </c>
      <c r="T1450" s="3">
        <f>(Таблица1[Срок с последнего нарушения кредитного договора (мес,)]-$AA$12)/($AA$13-$AA$12)</f>
        <v>6.8181818181818177E-2</v>
      </c>
      <c r="U1450" s="3">
        <f>(Таблица1[Количество кредитных карт]-$AA$18)/($AA$19-$AA$18)</f>
        <v>7.1428571428571425E-2</v>
      </c>
      <c r="V1450" s="3">
        <f>(Таблица1[Число нарушений кредитных договоров]-$AA$23)/($AA$24-$AA$23)</f>
        <v>0</v>
      </c>
      <c r="W1450" s="3">
        <f>Таблица1[[#This Row],[Годовой доход]]/12</f>
        <v>16013.833333333334</v>
      </c>
      <c r="X1450" s="3">
        <f>Таблица1[[#This Row],[Ежемесячный платеж]]/Таблица1[[#This Row],[Ежем доход]]</f>
        <v>8.2804034012260233E-2</v>
      </c>
      <c r="Y1450" s="3"/>
      <c r="Z1450" s="3"/>
      <c r="AA1450" s="3"/>
      <c r="AB1450" s="3"/>
    </row>
    <row r="1451" spans="1:28" x14ac:dyDescent="0.2">
      <c r="A1451">
        <v>601</v>
      </c>
      <c r="B1451" t="s">
        <v>642</v>
      </c>
      <c r="C1451" t="s">
        <v>35</v>
      </c>
      <c r="D1451" t="s">
        <v>19</v>
      </c>
      <c r="E1451" t="s">
        <v>63</v>
      </c>
      <c r="F1451" t="s">
        <v>33</v>
      </c>
      <c r="G1451" t="s">
        <v>25</v>
      </c>
      <c r="H1451" s="1">
        <v>78298</v>
      </c>
      <c r="I1451" s="3">
        <v>0</v>
      </c>
      <c r="J1451" s="3">
        <v>1168044</v>
      </c>
      <c r="K1451" s="3">
        <v>16590.23</v>
      </c>
      <c r="L1451" s="2">
        <v>9.4</v>
      </c>
      <c r="M1451" s="11">
        <v>35.265240640000002</v>
      </c>
      <c r="N1451" s="3">
        <v>8</v>
      </c>
      <c r="O1451" s="3">
        <v>237272</v>
      </c>
      <c r="P1451" s="3">
        <v>282656</v>
      </c>
      <c r="Q1451" s="10">
        <v>0</v>
      </c>
      <c r="R1451" s="3">
        <f>(Таблица1[Размер кредита]-$AA$2)/$AA$3</f>
        <v>-1.3168360854018244</v>
      </c>
      <c r="S1451" s="3">
        <f>(Таблица1[Кредитный рейтинг]-$AA$7)/($AA$8-$AA$7)</f>
        <v>0</v>
      </c>
      <c r="T1451" s="3">
        <f>(Таблица1[Срок с последнего нарушения кредитного договора (мес,)]-$AA$12)/($AA$13-$AA$12)</f>
        <v>0.40074137090909095</v>
      </c>
      <c r="U1451" s="3">
        <f>(Таблица1[Количество кредитных карт]-$AA$18)/($AA$19-$AA$18)</f>
        <v>0.16666666666666666</v>
      </c>
      <c r="V1451" s="3">
        <f>(Таблица1[Число нарушений кредитных договоров]-$AA$23)/($AA$24-$AA$23)</f>
        <v>0</v>
      </c>
      <c r="W1451" s="3">
        <f>Таблица1[[#This Row],[Годовой доход]]/12</f>
        <v>97337</v>
      </c>
      <c r="X1451" s="3">
        <f>Таблица1[[#This Row],[Ежемесячный платеж]]/Таблица1[[#This Row],[Ежем доход]]</f>
        <v>0.17044114776498145</v>
      </c>
      <c r="Y1451" s="3"/>
      <c r="Z1451" s="3"/>
      <c r="AA1451" s="3"/>
      <c r="AB1451" s="3"/>
    </row>
    <row r="1452" spans="1:28" x14ac:dyDescent="0.2">
      <c r="A1452">
        <v>134</v>
      </c>
      <c r="B1452" t="s">
        <v>176</v>
      </c>
      <c r="C1452" t="s">
        <v>18</v>
      </c>
      <c r="D1452" t="s">
        <v>19</v>
      </c>
      <c r="E1452" t="s">
        <v>63</v>
      </c>
      <c r="F1452" t="s">
        <v>33</v>
      </c>
      <c r="G1452" t="s">
        <v>25</v>
      </c>
      <c r="H1452" s="1">
        <v>54076</v>
      </c>
      <c r="I1452" s="3">
        <v>744</v>
      </c>
      <c r="J1452" s="3">
        <v>485697</v>
      </c>
      <c r="K1452" s="3">
        <v>2655.06</v>
      </c>
      <c r="L1452" s="2">
        <v>9</v>
      </c>
      <c r="M1452" s="11">
        <v>35.265240640000002</v>
      </c>
      <c r="N1452" s="3">
        <v>6</v>
      </c>
      <c r="O1452" s="3">
        <v>19988</v>
      </c>
      <c r="P1452" s="3">
        <v>282260</v>
      </c>
      <c r="Q1452" s="10">
        <v>0</v>
      </c>
      <c r="R1452" s="3">
        <f>(Таблица1[Размер кредита]-$AA$2)/$AA$3</f>
        <v>-1.4547387354322923</v>
      </c>
      <c r="S1452" s="3">
        <f>(Таблица1[Кредитный рейтинг]-$AA$7)/($AA$8-$AA$7)</f>
        <v>0.99067909454061254</v>
      </c>
      <c r="T1452" s="3">
        <f>(Таблица1[Срок с последнего нарушения кредитного договора (мес,)]-$AA$12)/($AA$13-$AA$12)</f>
        <v>0.40074137090909095</v>
      </c>
      <c r="U1452" s="3">
        <f>(Таблица1[Количество кредитных карт]-$AA$18)/($AA$19-$AA$18)</f>
        <v>0.11904761904761904</v>
      </c>
      <c r="V1452" s="3">
        <f>(Таблица1[Число нарушений кредитных договоров]-$AA$23)/($AA$24-$AA$23)</f>
        <v>0</v>
      </c>
      <c r="W1452" s="3">
        <f>Таблица1[[#This Row],[Годовой доход]]/12</f>
        <v>40474.75</v>
      </c>
      <c r="X1452" s="3">
        <f>Таблица1[[#This Row],[Ежемесячный платеж]]/Таблица1[[#This Row],[Ежем доход]]</f>
        <v>6.5597934514728312E-2</v>
      </c>
      <c r="Y1452" s="3"/>
      <c r="Z1452" s="3"/>
      <c r="AA1452" s="3"/>
      <c r="AB1452" s="3"/>
    </row>
    <row r="1453" spans="1:28" x14ac:dyDescent="0.2">
      <c r="A1453">
        <v>1793</v>
      </c>
      <c r="B1453" t="s">
        <v>1831</v>
      </c>
      <c r="C1453" t="s">
        <v>18</v>
      </c>
      <c r="D1453" t="s">
        <v>19</v>
      </c>
      <c r="E1453" t="s">
        <v>50</v>
      </c>
      <c r="F1453" t="s">
        <v>21</v>
      </c>
      <c r="G1453" t="s">
        <v>25</v>
      </c>
      <c r="H1453" s="1">
        <v>393778</v>
      </c>
      <c r="I1453" s="3">
        <v>710</v>
      </c>
      <c r="J1453" s="3">
        <v>1757101</v>
      </c>
      <c r="K1453" s="3">
        <v>15667.59</v>
      </c>
      <c r="L1453" s="2">
        <v>19.600000000000001</v>
      </c>
      <c r="M1453" s="11">
        <v>38</v>
      </c>
      <c r="N1453" s="3">
        <v>9</v>
      </c>
      <c r="O1453" s="3">
        <v>286539</v>
      </c>
      <c r="P1453" s="3">
        <v>282128</v>
      </c>
      <c r="Q1453" s="10">
        <v>0</v>
      </c>
      <c r="R1453" s="3">
        <f>(Таблица1[Размер кредита]-$AA$2)/$AA$3</f>
        <v>0.47928017385059085</v>
      </c>
      <c r="S1453" s="3">
        <f>(Таблица1[Кредитный рейтинг]-$AA$7)/($AA$8-$AA$7)</f>
        <v>0.94540612516644473</v>
      </c>
      <c r="T1453" s="3">
        <f>(Таблица1[Срок с последнего нарушения кредитного договора (мес,)]-$AA$12)/($AA$13-$AA$12)</f>
        <v>0.43181818181818182</v>
      </c>
      <c r="U1453" s="3">
        <f>(Таблица1[Количество кредитных карт]-$AA$18)/($AA$19-$AA$18)</f>
        <v>0.19047619047619047</v>
      </c>
      <c r="V1453" s="3">
        <f>(Таблица1[Число нарушений кредитных договоров]-$AA$23)/($AA$24-$AA$23)</f>
        <v>0</v>
      </c>
      <c r="W1453" s="3">
        <f>Таблица1[[#This Row],[Годовой доход]]/12</f>
        <v>146425.08333333334</v>
      </c>
      <c r="X1453" s="3">
        <f>Таблица1[[#This Row],[Ежемесячный платеж]]/Таблица1[[#This Row],[Ежем доход]]</f>
        <v>0.10700072448880285</v>
      </c>
      <c r="Y1453" s="3"/>
      <c r="Z1453" s="3"/>
      <c r="AA1453" s="3"/>
      <c r="AB1453" s="3"/>
    </row>
    <row r="1454" spans="1:28" x14ac:dyDescent="0.2">
      <c r="A1454">
        <v>1964</v>
      </c>
      <c r="B1454" t="s">
        <v>2000</v>
      </c>
      <c r="C1454" t="s">
        <v>18</v>
      </c>
      <c r="D1454" t="s">
        <v>29</v>
      </c>
      <c r="E1454" t="s">
        <v>32</v>
      </c>
      <c r="F1454" t="s">
        <v>33</v>
      </c>
      <c r="G1454" t="s">
        <v>39</v>
      </c>
      <c r="H1454" s="1">
        <v>268466</v>
      </c>
      <c r="I1454" s="3">
        <v>722</v>
      </c>
      <c r="J1454" s="3">
        <v>2318532</v>
      </c>
      <c r="K1454" s="3">
        <v>21639.67</v>
      </c>
      <c r="L1454" s="2">
        <v>14.5</v>
      </c>
      <c r="M1454" s="11">
        <v>35.265240640000002</v>
      </c>
      <c r="N1454" s="3">
        <v>9</v>
      </c>
      <c r="O1454" s="3">
        <v>121296</v>
      </c>
      <c r="P1454" s="3">
        <v>282018</v>
      </c>
      <c r="Q1454" s="10">
        <v>1</v>
      </c>
      <c r="R1454" s="3">
        <f>(Таблица1[Размер кредита]-$AA$2)/$AA$3</f>
        <v>-0.23415624265580787</v>
      </c>
      <c r="S1454" s="3">
        <f>(Таблица1[Кредитный рейтинг]-$AA$7)/($AA$8-$AA$7)</f>
        <v>0.96138482023968042</v>
      </c>
      <c r="T1454" s="3">
        <f>(Таблица1[Срок с последнего нарушения кредитного договора (мес,)]-$AA$12)/($AA$13-$AA$12)</f>
        <v>0.40074137090909095</v>
      </c>
      <c r="U1454" s="3">
        <f>(Таблица1[Количество кредитных карт]-$AA$18)/($AA$19-$AA$18)</f>
        <v>0.19047619047619047</v>
      </c>
      <c r="V1454" s="3">
        <f>(Таблица1[Число нарушений кредитных договоров]-$AA$23)/($AA$24-$AA$23)</f>
        <v>0.14285714285714285</v>
      </c>
      <c r="W1454" s="3">
        <f>Таблица1[[#This Row],[Годовой доход]]/12</f>
        <v>193211</v>
      </c>
      <c r="X1454" s="3">
        <f>Таблица1[[#This Row],[Ежемесячный платеж]]/Таблица1[[#This Row],[Ежем доход]]</f>
        <v>0.11200019667617267</v>
      </c>
      <c r="Y1454" s="3"/>
      <c r="Z1454" s="3"/>
      <c r="AA1454" s="3"/>
      <c r="AB1454" s="3"/>
    </row>
    <row r="1455" spans="1:28" x14ac:dyDescent="0.2">
      <c r="A1455">
        <v>292</v>
      </c>
      <c r="B1455" t="s">
        <v>334</v>
      </c>
      <c r="C1455" t="s">
        <v>18</v>
      </c>
      <c r="D1455" t="s">
        <v>19</v>
      </c>
      <c r="E1455" t="s">
        <v>41</v>
      </c>
      <c r="F1455" t="s">
        <v>33</v>
      </c>
      <c r="G1455" t="s">
        <v>25</v>
      </c>
      <c r="H1455" s="1">
        <v>178684</v>
      </c>
      <c r="I1455" s="3">
        <v>739</v>
      </c>
      <c r="J1455" s="3">
        <v>1176727</v>
      </c>
      <c r="K1455" s="3">
        <v>19514.14</v>
      </c>
      <c r="L1455" s="2">
        <v>20.7</v>
      </c>
      <c r="M1455" s="11">
        <v>45</v>
      </c>
      <c r="N1455" s="3">
        <v>11</v>
      </c>
      <c r="O1455" s="3">
        <v>192337</v>
      </c>
      <c r="P1455" s="3">
        <v>281534</v>
      </c>
      <c r="Q1455" s="10">
        <v>0</v>
      </c>
      <c r="R1455" s="3">
        <f>(Таблица1[Размер кредита]-$AA$2)/$AA$3</f>
        <v>-0.74531038868154753</v>
      </c>
      <c r="S1455" s="3">
        <f>(Таблица1[Кредитный рейтинг]-$AA$7)/($AA$8-$AA$7)</f>
        <v>0.98402130492676432</v>
      </c>
      <c r="T1455" s="3">
        <f>(Таблица1[Срок с последнего нарушения кредитного договора (мес,)]-$AA$12)/($AA$13-$AA$12)</f>
        <v>0.51136363636363635</v>
      </c>
      <c r="U1455" s="3">
        <f>(Таблица1[Количество кредитных карт]-$AA$18)/($AA$19-$AA$18)</f>
        <v>0.23809523809523808</v>
      </c>
      <c r="V1455" s="3">
        <f>(Таблица1[Число нарушений кредитных договоров]-$AA$23)/($AA$24-$AA$23)</f>
        <v>0</v>
      </c>
      <c r="W1455" s="3">
        <f>Таблица1[[#This Row],[Годовой доход]]/12</f>
        <v>98060.583333333328</v>
      </c>
      <c r="X1455" s="3">
        <f>Таблица1[[#This Row],[Ежемесячный платеж]]/Таблица1[[#This Row],[Ежем доход]]</f>
        <v>0.19900085576348636</v>
      </c>
      <c r="Y1455" s="3"/>
      <c r="Z1455" s="3"/>
      <c r="AA1455" s="3"/>
      <c r="AB1455" s="3"/>
    </row>
    <row r="1456" spans="1:28" x14ac:dyDescent="0.2">
      <c r="A1456">
        <v>1348</v>
      </c>
      <c r="B1456" t="s">
        <v>1387</v>
      </c>
      <c r="C1456" t="s">
        <v>18</v>
      </c>
      <c r="D1456" t="s">
        <v>19</v>
      </c>
      <c r="E1456" t="s">
        <v>32</v>
      </c>
      <c r="F1456" t="s">
        <v>21</v>
      </c>
      <c r="G1456" t="s">
        <v>25</v>
      </c>
      <c r="H1456" s="1">
        <v>112728</v>
      </c>
      <c r="I1456" s="3">
        <v>736</v>
      </c>
      <c r="J1456" s="3">
        <v>584079</v>
      </c>
      <c r="K1456" s="3">
        <v>8031.11</v>
      </c>
      <c r="L1456" s="2">
        <v>22.5</v>
      </c>
      <c r="M1456" s="11">
        <v>35.265240640000002</v>
      </c>
      <c r="N1456" s="3">
        <v>4</v>
      </c>
      <c r="O1456" s="3">
        <v>38893</v>
      </c>
      <c r="P1456" s="3">
        <v>281512</v>
      </c>
      <c r="Q1456" s="10">
        <v>1</v>
      </c>
      <c r="R1456" s="3">
        <f>(Таблица1[Размер кредита]-$AA$2)/$AA$3</f>
        <v>-1.1208164239143747</v>
      </c>
      <c r="S1456" s="3">
        <f>(Таблица1[Кредитный рейтинг]-$AA$7)/($AA$8-$AA$7)</f>
        <v>0.98002663115845534</v>
      </c>
      <c r="T1456" s="3">
        <f>(Таблица1[Срок с последнего нарушения кредитного договора (мес,)]-$AA$12)/($AA$13-$AA$12)</f>
        <v>0.40074137090909095</v>
      </c>
      <c r="U1456" s="3">
        <f>(Таблица1[Количество кредитных карт]-$AA$18)/($AA$19-$AA$18)</f>
        <v>7.1428571428571425E-2</v>
      </c>
      <c r="V1456" s="3">
        <f>(Таблица1[Число нарушений кредитных договоров]-$AA$23)/($AA$24-$AA$23)</f>
        <v>0.14285714285714285</v>
      </c>
      <c r="W1456" s="3">
        <f>Таблица1[[#This Row],[Годовой доход]]/12</f>
        <v>48673.25</v>
      </c>
      <c r="X1456" s="3">
        <f>Таблица1[[#This Row],[Ежемесячный платеж]]/Таблица1[[#This Row],[Ежем доход]]</f>
        <v>0.16500048794769201</v>
      </c>
      <c r="Y1456" s="3"/>
      <c r="Z1456" s="3"/>
      <c r="AA1456" s="3"/>
      <c r="AB1456" s="3"/>
    </row>
    <row r="1457" spans="1:28" x14ac:dyDescent="0.2">
      <c r="A1457">
        <v>488</v>
      </c>
      <c r="B1457" t="s">
        <v>529</v>
      </c>
      <c r="C1457" t="s">
        <v>35</v>
      </c>
      <c r="D1457" t="s">
        <v>19</v>
      </c>
      <c r="E1457" t="s">
        <v>32</v>
      </c>
      <c r="F1457" t="s">
        <v>33</v>
      </c>
      <c r="G1457" t="s">
        <v>67</v>
      </c>
      <c r="H1457" s="1">
        <v>261492</v>
      </c>
      <c r="I1457" s="3">
        <v>732</v>
      </c>
      <c r="J1457" s="3">
        <v>463258</v>
      </c>
      <c r="K1457" s="3">
        <v>8724.61</v>
      </c>
      <c r="L1457" s="2">
        <v>9.9</v>
      </c>
      <c r="M1457" s="11">
        <v>35.265240640000002</v>
      </c>
      <c r="N1457" s="3">
        <v>9</v>
      </c>
      <c r="O1457" s="3">
        <v>134862</v>
      </c>
      <c r="P1457" s="3">
        <v>281358</v>
      </c>
      <c r="Q1457" s="10">
        <v>0</v>
      </c>
      <c r="R1457" s="3">
        <f>(Таблица1[Размер кредита]-$AA$2)/$AA$3</f>
        <v>-0.27386118367275458</v>
      </c>
      <c r="S1457" s="3">
        <f>(Таблица1[Кредитный рейтинг]-$AA$7)/($AA$8-$AA$7)</f>
        <v>0.97470039946737685</v>
      </c>
      <c r="T1457" s="3">
        <f>(Таблица1[Срок с последнего нарушения кредитного договора (мес,)]-$AA$12)/($AA$13-$AA$12)</f>
        <v>0.40074137090909095</v>
      </c>
      <c r="U1457" s="3">
        <f>(Таблица1[Количество кредитных карт]-$AA$18)/($AA$19-$AA$18)</f>
        <v>0.19047619047619047</v>
      </c>
      <c r="V1457" s="3">
        <f>(Таблица1[Число нарушений кредитных договоров]-$AA$23)/($AA$24-$AA$23)</f>
        <v>0</v>
      </c>
      <c r="W1457" s="3">
        <f>Таблица1[[#This Row],[Годовой доход]]/12</f>
        <v>38604.833333333336</v>
      </c>
      <c r="X1457" s="3">
        <f>Таблица1[[#This Row],[Ежемесячный платеж]]/Таблица1[[#This Row],[Ежем доход]]</f>
        <v>0.22599786727914034</v>
      </c>
      <c r="Y1457" s="3"/>
      <c r="Z1457" s="3"/>
      <c r="AA1457" s="3"/>
      <c r="AB1457" s="3"/>
    </row>
    <row r="1458" spans="1:28" x14ac:dyDescent="0.2">
      <c r="A1458">
        <v>1903</v>
      </c>
      <c r="B1458" s="4" t="s">
        <v>1939</v>
      </c>
      <c r="C1458" t="s">
        <v>18</v>
      </c>
      <c r="D1458" t="s">
        <v>19</v>
      </c>
      <c r="E1458" t="s">
        <v>30</v>
      </c>
      <c r="F1458" t="s">
        <v>33</v>
      </c>
      <c r="G1458" t="s">
        <v>25</v>
      </c>
      <c r="H1458" s="1">
        <v>254034</v>
      </c>
      <c r="I1458" s="3">
        <v>674</v>
      </c>
      <c r="J1458" s="3">
        <v>1304198</v>
      </c>
      <c r="K1458" s="3">
        <v>35539.31</v>
      </c>
      <c r="L1458" s="2">
        <v>12.7</v>
      </c>
      <c r="M1458" s="11">
        <v>49</v>
      </c>
      <c r="N1458" s="3">
        <v>12</v>
      </c>
      <c r="O1458" s="3">
        <v>43852</v>
      </c>
      <c r="P1458" s="3">
        <v>280588</v>
      </c>
      <c r="Q1458" s="10">
        <v>0</v>
      </c>
      <c r="R1458" s="3">
        <f>(Таблица1[Размер кредита]-$AA$2)/$AA$3</f>
        <v>-0.31632167264671335</v>
      </c>
      <c r="S1458" s="3">
        <f>(Таблица1[Кредитный рейтинг]-$AA$7)/($AA$8-$AA$7)</f>
        <v>0.89747003994673769</v>
      </c>
      <c r="T1458" s="3">
        <f>(Таблица1[Срок с последнего нарушения кредитного договора (мес,)]-$AA$12)/($AA$13-$AA$12)</f>
        <v>0.55681818181818177</v>
      </c>
      <c r="U1458" s="3">
        <f>(Таблица1[Количество кредитных карт]-$AA$18)/($AA$19-$AA$18)</f>
        <v>0.26190476190476192</v>
      </c>
      <c r="V1458" s="3">
        <f>(Таблица1[Число нарушений кредитных договоров]-$AA$23)/($AA$24-$AA$23)</f>
        <v>0</v>
      </c>
      <c r="W1458" s="3">
        <f>Таблица1[[#This Row],[Годовой доход]]/12</f>
        <v>108683.16666666667</v>
      </c>
      <c r="X1458" s="3">
        <f>Таблица1[[#This Row],[Ежемесячный платеж]]/Таблица1[[#This Row],[Ежем доход]]</f>
        <v>0.32699921330963544</v>
      </c>
      <c r="Y1458" s="3"/>
      <c r="Z1458" s="3"/>
      <c r="AA1458" s="3"/>
      <c r="AB1458" s="3"/>
    </row>
    <row r="1459" spans="1:28" x14ac:dyDescent="0.2">
      <c r="A1459">
        <v>1114</v>
      </c>
      <c r="B1459" t="s">
        <v>1153</v>
      </c>
      <c r="C1459" t="s">
        <v>35</v>
      </c>
      <c r="D1459" t="s">
        <v>19</v>
      </c>
      <c r="E1459" t="s">
        <v>69</v>
      </c>
      <c r="F1459" t="s">
        <v>33</v>
      </c>
      <c r="G1459" t="s">
        <v>25</v>
      </c>
      <c r="H1459" s="1">
        <v>215314</v>
      </c>
      <c r="I1459" s="3">
        <v>732</v>
      </c>
      <c r="J1459" s="3">
        <v>843125</v>
      </c>
      <c r="K1459" s="3">
        <v>15667.97</v>
      </c>
      <c r="L1459" s="2">
        <v>18.3</v>
      </c>
      <c r="M1459" s="11">
        <v>69</v>
      </c>
      <c r="N1459" s="3">
        <v>14</v>
      </c>
      <c r="O1459" s="3">
        <v>192907</v>
      </c>
      <c r="P1459" s="3">
        <v>279906</v>
      </c>
      <c r="Q1459" s="10">
        <v>0</v>
      </c>
      <c r="R1459" s="3">
        <f>(Таблица1[Размер кредита]-$AA$2)/$AA$3</f>
        <v>-0.53676550920767918</v>
      </c>
      <c r="S1459" s="3">
        <f>(Таблица1[Кредитный рейтинг]-$AA$7)/($AA$8-$AA$7)</f>
        <v>0.97470039946737685</v>
      </c>
      <c r="T1459" s="3">
        <f>(Таблица1[Срок с последнего нарушения кредитного договора (мес,)]-$AA$12)/($AA$13-$AA$12)</f>
        <v>0.78409090909090906</v>
      </c>
      <c r="U1459" s="3">
        <f>(Таблица1[Количество кредитных карт]-$AA$18)/($AA$19-$AA$18)</f>
        <v>0.30952380952380953</v>
      </c>
      <c r="V1459" s="3">
        <f>(Таблица1[Число нарушений кредитных договоров]-$AA$23)/($AA$24-$AA$23)</f>
        <v>0</v>
      </c>
      <c r="W1459" s="3">
        <f>Таблица1[[#This Row],[Годовой доход]]/12</f>
        <v>70260.416666666672</v>
      </c>
      <c r="X1459" s="3">
        <f>Таблица1[[#This Row],[Ежемесячный платеж]]/Таблица1[[#This Row],[Ежем доход]]</f>
        <v>0.22299853521126758</v>
      </c>
      <c r="Y1459" s="3"/>
      <c r="Z1459" s="3"/>
      <c r="AA1459" s="3"/>
      <c r="AB1459" s="3"/>
    </row>
    <row r="1460" spans="1:28" x14ac:dyDescent="0.2">
      <c r="A1460">
        <v>1485</v>
      </c>
      <c r="B1460" t="s">
        <v>1524</v>
      </c>
      <c r="C1460" t="s">
        <v>18</v>
      </c>
      <c r="D1460" t="s">
        <v>29</v>
      </c>
      <c r="E1460" t="s">
        <v>52</v>
      </c>
      <c r="F1460" t="s">
        <v>33</v>
      </c>
      <c r="G1460" t="s">
        <v>25</v>
      </c>
      <c r="H1460" s="1">
        <v>670538</v>
      </c>
      <c r="I1460" s="3">
        <v>603</v>
      </c>
      <c r="J1460" s="3">
        <v>1302849</v>
      </c>
      <c r="K1460" s="3">
        <v>28120</v>
      </c>
      <c r="L1460" s="2">
        <v>17.5</v>
      </c>
      <c r="M1460" s="11">
        <v>35.265240640000002</v>
      </c>
      <c r="N1460" s="3">
        <v>8</v>
      </c>
      <c r="O1460" s="3">
        <v>195700</v>
      </c>
      <c r="P1460" s="3">
        <v>279400</v>
      </c>
      <c r="Q1460" s="10">
        <v>0</v>
      </c>
      <c r="R1460" s="3">
        <f>(Таблица1[Размер кредита]-$AA$2)/$AA$3</f>
        <v>2.0549525965420403</v>
      </c>
      <c r="S1460" s="3">
        <f>(Таблица1[Кредитный рейтинг]-$AA$7)/($AA$8-$AA$7)</f>
        <v>0.80292942743009321</v>
      </c>
      <c r="T1460" s="3">
        <f>(Таблица1[Срок с последнего нарушения кредитного договора (мес,)]-$AA$12)/($AA$13-$AA$12)</f>
        <v>0.40074137090909095</v>
      </c>
      <c r="U1460" s="3">
        <f>(Таблица1[Количество кредитных карт]-$AA$18)/($AA$19-$AA$18)</f>
        <v>0.16666666666666666</v>
      </c>
      <c r="V1460" s="3">
        <f>(Таблица1[Число нарушений кредитных договоров]-$AA$23)/($AA$24-$AA$23)</f>
        <v>0</v>
      </c>
      <c r="W1460" s="3">
        <f>Таблица1[[#This Row],[Годовой доход]]/12</f>
        <v>108570.75</v>
      </c>
      <c r="X1460" s="3">
        <f>Таблица1[[#This Row],[Ежемесячный платеж]]/Таблица1[[#This Row],[Ежем доход]]</f>
        <v>0.25900161876011724</v>
      </c>
      <c r="Y1460" s="3"/>
      <c r="Z1460" s="3"/>
      <c r="AA1460" s="3"/>
      <c r="AB1460" s="3"/>
    </row>
    <row r="1461" spans="1:28" x14ac:dyDescent="0.2">
      <c r="A1461">
        <v>961</v>
      </c>
      <c r="B1461" t="s">
        <v>1002</v>
      </c>
      <c r="C1461" t="s">
        <v>35</v>
      </c>
      <c r="D1461" t="s">
        <v>19</v>
      </c>
      <c r="E1461" t="s">
        <v>32</v>
      </c>
      <c r="F1461" t="s">
        <v>21</v>
      </c>
      <c r="G1461" t="s">
        <v>25</v>
      </c>
      <c r="H1461" s="1">
        <v>414414</v>
      </c>
      <c r="I1461" s="3">
        <v>740</v>
      </c>
      <c r="J1461" s="3">
        <v>813732</v>
      </c>
      <c r="K1461" s="3">
        <v>4428.1400000000003</v>
      </c>
      <c r="L1461" s="2">
        <v>9.1999999999999993</v>
      </c>
      <c r="M1461" s="11">
        <v>35.265240640000002</v>
      </c>
      <c r="N1461" s="3">
        <v>9</v>
      </c>
      <c r="O1461" s="3">
        <v>87286</v>
      </c>
      <c r="P1461" s="3">
        <v>279202</v>
      </c>
      <c r="Q1461" s="10">
        <v>0</v>
      </c>
      <c r="R1461" s="3">
        <f>(Таблица1[Размер кредита]-$AA$2)/$AA$3</f>
        <v>0.59676671856319652</v>
      </c>
      <c r="S1461" s="3">
        <f>(Таблица1[Кредитный рейтинг]-$AA$7)/($AA$8-$AA$7)</f>
        <v>0.98535286284953394</v>
      </c>
      <c r="T1461" s="3">
        <f>(Таблица1[Срок с последнего нарушения кредитного договора (мес,)]-$AA$12)/($AA$13-$AA$12)</f>
        <v>0.40074137090909095</v>
      </c>
      <c r="U1461" s="3">
        <f>(Таблица1[Количество кредитных карт]-$AA$18)/($AA$19-$AA$18)</f>
        <v>0.19047619047619047</v>
      </c>
      <c r="V1461" s="3">
        <f>(Таблица1[Число нарушений кредитных договоров]-$AA$23)/($AA$24-$AA$23)</f>
        <v>0</v>
      </c>
      <c r="W1461" s="3">
        <f>Таблица1[[#This Row],[Годовой доход]]/12</f>
        <v>67811</v>
      </c>
      <c r="X1461" s="3">
        <f>Таблица1[[#This Row],[Ежемесячный платеж]]/Таблица1[[#This Row],[Ежем доход]]</f>
        <v>6.530120481927712E-2</v>
      </c>
      <c r="Y1461" s="3"/>
      <c r="Z1461" s="3"/>
      <c r="AA1461" s="3"/>
      <c r="AB1461" s="3"/>
    </row>
    <row r="1462" spans="1:28" x14ac:dyDescent="0.2">
      <c r="A1462">
        <v>699</v>
      </c>
      <c r="B1462" t="s">
        <v>740</v>
      </c>
      <c r="C1462" t="s">
        <v>35</v>
      </c>
      <c r="D1462" t="s">
        <v>29</v>
      </c>
      <c r="E1462" t="s">
        <v>41</v>
      </c>
      <c r="F1462" t="s">
        <v>33</v>
      </c>
      <c r="G1462" t="s">
        <v>25</v>
      </c>
      <c r="H1462" s="1">
        <v>288420</v>
      </c>
      <c r="I1462" s="3">
        <v>687</v>
      </c>
      <c r="J1462" s="3">
        <v>1286490</v>
      </c>
      <c r="K1462" s="3">
        <v>4373.99</v>
      </c>
      <c r="L1462" s="2">
        <v>12.2</v>
      </c>
      <c r="M1462" s="11">
        <v>35.265240640000002</v>
      </c>
      <c r="N1462" s="3">
        <v>6</v>
      </c>
      <c r="O1462" s="3">
        <v>109459</v>
      </c>
      <c r="P1462" s="3">
        <v>278564</v>
      </c>
      <c r="Q1462" s="10">
        <v>0</v>
      </c>
      <c r="R1462" s="3">
        <f>(Таблица1[Размер кредита]-$AA$2)/$AA$3</f>
        <v>-0.12055251551899192</v>
      </c>
      <c r="S1462" s="3">
        <f>(Таблица1[Кредитный рейтинг]-$AA$7)/($AA$8-$AA$7)</f>
        <v>0.91478029294274299</v>
      </c>
      <c r="T1462" s="3">
        <f>(Таблица1[Срок с последнего нарушения кредитного договора (мес,)]-$AA$12)/($AA$13-$AA$12)</f>
        <v>0.40074137090909095</v>
      </c>
      <c r="U1462" s="3">
        <f>(Таблица1[Количество кредитных карт]-$AA$18)/($AA$19-$AA$18)</f>
        <v>0.11904761904761904</v>
      </c>
      <c r="V1462" s="3">
        <f>(Таблица1[Число нарушений кредитных договоров]-$AA$23)/($AA$24-$AA$23)</f>
        <v>0</v>
      </c>
      <c r="W1462" s="3">
        <f>Таблица1[[#This Row],[Годовой доход]]/12</f>
        <v>107207.5</v>
      </c>
      <c r="X1462" s="3">
        <f>Таблица1[[#This Row],[Ежемесячный платеж]]/Таблица1[[#This Row],[Ежем доход]]</f>
        <v>4.0799291094373059E-2</v>
      </c>
      <c r="Y1462" s="3"/>
      <c r="Z1462" s="3"/>
      <c r="AA1462" s="3"/>
      <c r="AB1462" s="3"/>
    </row>
    <row r="1463" spans="1:28" x14ac:dyDescent="0.2">
      <c r="A1463">
        <v>1570</v>
      </c>
      <c r="B1463" t="s">
        <v>1609</v>
      </c>
      <c r="C1463" t="s">
        <v>18</v>
      </c>
      <c r="D1463" t="s">
        <v>19</v>
      </c>
      <c r="E1463" t="s">
        <v>37</v>
      </c>
      <c r="F1463" t="s">
        <v>33</v>
      </c>
      <c r="G1463" t="s">
        <v>25</v>
      </c>
      <c r="H1463" s="1">
        <v>118184</v>
      </c>
      <c r="I1463" s="3">
        <v>704</v>
      </c>
      <c r="J1463" s="3">
        <v>286330</v>
      </c>
      <c r="K1463" s="3">
        <v>7349.01</v>
      </c>
      <c r="L1463" s="2">
        <v>13</v>
      </c>
      <c r="M1463" s="11">
        <v>38</v>
      </c>
      <c r="N1463" s="3">
        <v>6</v>
      </c>
      <c r="O1463" s="3">
        <v>164483</v>
      </c>
      <c r="P1463" s="3">
        <v>278454</v>
      </c>
      <c r="Q1463" s="10">
        <v>0</v>
      </c>
      <c r="R1463" s="3">
        <f>(Таблица1[Размер кредита]-$AA$2)/$AA$3</f>
        <v>-1.0897538833080567</v>
      </c>
      <c r="S1463" s="3">
        <f>(Таблица1[Кредитный рейтинг]-$AA$7)/($AA$8-$AA$7)</f>
        <v>0.93741677762982689</v>
      </c>
      <c r="T1463" s="3">
        <f>(Таблица1[Срок с последнего нарушения кредитного договора (мес,)]-$AA$12)/($AA$13-$AA$12)</f>
        <v>0.43181818181818182</v>
      </c>
      <c r="U1463" s="3">
        <f>(Таблица1[Количество кредитных карт]-$AA$18)/($AA$19-$AA$18)</f>
        <v>0.11904761904761904</v>
      </c>
      <c r="V1463" s="3">
        <f>(Таблица1[Число нарушений кредитных договоров]-$AA$23)/($AA$24-$AA$23)</f>
        <v>0</v>
      </c>
      <c r="W1463" s="3">
        <f>Таблица1[[#This Row],[Годовой доход]]/12</f>
        <v>23860.833333333332</v>
      </c>
      <c r="X1463" s="3">
        <f>Таблица1[[#This Row],[Ежемесячный платеж]]/Таблица1[[#This Row],[Ежем доход]]</f>
        <v>0.30799469143994695</v>
      </c>
      <c r="Y1463" s="3"/>
      <c r="Z1463" s="3"/>
      <c r="AA1463" s="3"/>
      <c r="AB1463" s="3"/>
    </row>
    <row r="1464" spans="1:28" x14ac:dyDescent="0.2">
      <c r="A1464">
        <v>50</v>
      </c>
      <c r="B1464" t="s">
        <v>90</v>
      </c>
      <c r="C1464" t="s">
        <v>35</v>
      </c>
      <c r="D1464" t="s">
        <v>29</v>
      </c>
      <c r="E1464" t="s">
        <v>24</v>
      </c>
      <c r="F1464" t="s">
        <v>27</v>
      </c>
      <c r="G1464" t="s">
        <v>25</v>
      </c>
      <c r="H1464" s="1">
        <v>456808</v>
      </c>
      <c r="I1464" s="3">
        <v>598</v>
      </c>
      <c r="J1464" s="3">
        <v>1096167</v>
      </c>
      <c r="K1464" s="3">
        <v>14341.39</v>
      </c>
      <c r="L1464" s="2">
        <v>14.1</v>
      </c>
      <c r="M1464" s="11">
        <v>35.265240640000002</v>
      </c>
      <c r="N1464" s="3">
        <v>8</v>
      </c>
      <c r="O1464" s="3">
        <v>161861</v>
      </c>
      <c r="P1464" s="3">
        <v>278058</v>
      </c>
      <c r="Q1464" s="10">
        <v>0</v>
      </c>
      <c r="R1464" s="3">
        <f>(Таблица1[Размер кредита]-$AA$2)/$AA$3</f>
        <v>0.83812766916148129</v>
      </c>
      <c r="S1464" s="3">
        <f>(Таблица1[Кредитный рейтинг]-$AA$7)/($AA$8-$AA$7)</f>
        <v>0.79627163781624499</v>
      </c>
      <c r="T1464" s="3">
        <f>(Таблица1[Срок с последнего нарушения кредитного договора (мес,)]-$AA$12)/($AA$13-$AA$12)</f>
        <v>0.40074137090909095</v>
      </c>
      <c r="U1464" s="3">
        <f>(Таблица1[Количество кредитных карт]-$AA$18)/($AA$19-$AA$18)</f>
        <v>0.16666666666666666</v>
      </c>
      <c r="V1464" s="3">
        <f>(Таблица1[Число нарушений кредитных договоров]-$AA$23)/($AA$24-$AA$23)</f>
        <v>0</v>
      </c>
      <c r="W1464" s="3">
        <f>Таблица1[[#This Row],[Годовой доход]]/12</f>
        <v>91347.25</v>
      </c>
      <c r="X1464" s="3">
        <f>Таблица1[[#This Row],[Ежемесячный платеж]]/Таблица1[[#This Row],[Ежем доход]]</f>
        <v>0.15699859601684779</v>
      </c>
      <c r="Y1464" s="3"/>
      <c r="Z1464" s="3"/>
      <c r="AA1464" s="3"/>
      <c r="AB1464" s="3"/>
    </row>
    <row r="1465" spans="1:28" x14ac:dyDescent="0.2">
      <c r="A1465">
        <v>2000</v>
      </c>
      <c r="B1465" t="s">
        <v>2036</v>
      </c>
      <c r="C1465" t="s">
        <v>18</v>
      </c>
      <c r="D1465" t="s">
        <v>29</v>
      </c>
      <c r="E1465" t="s">
        <v>63</v>
      </c>
      <c r="F1465" t="s">
        <v>21</v>
      </c>
      <c r="G1465" t="s">
        <v>25</v>
      </c>
      <c r="H1465" s="1">
        <v>405284</v>
      </c>
      <c r="I1465" s="3">
        <v>724</v>
      </c>
      <c r="J1465" s="3">
        <v>849110</v>
      </c>
      <c r="K1465" s="3">
        <v>14364</v>
      </c>
      <c r="L1465" s="2">
        <v>15.2</v>
      </c>
      <c r="M1465" s="11">
        <v>73</v>
      </c>
      <c r="N1465" s="3">
        <v>15</v>
      </c>
      <c r="O1465" s="3">
        <v>151411</v>
      </c>
      <c r="P1465" s="3">
        <v>277376</v>
      </c>
      <c r="Q1465" s="10">
        <v>0</v>
      </c>
      <c r="R1465" s="3">
        <f>(Таблица1[Размер кредита]-$AA$2)/$AA$3</f>
        <v>0.54478706391955967</v>
      </c>
      <c r="S1465" s="3">
        <f>(Таблица1[Кредитный рейтинг]-$AA$7)/($AA$8-$AA$7)</f>
        <v>0.96404793608521966</v>
      </c>
      <c r="T1465" s="3">
        <f>(Таблица1[Срок с последнего нарушения кредитного договора (мес,)]-$AA$12)/($AA$13-$AA$12)</f>
        <v>0.82954545454545459</v>
      </c>
      <c r="U1465" s="3">
        <f>(Таблица1[Количество кредитных карт]-$AA$18)/($AA$19-$AA$18)</f>
        <v>0.33333333333333331</v>
      </c>
      <c r="V1465" s="3">
        <f>(Таблица1[Число нарушений кредитных договоров]-$AA$23)/($AA$24-$AA$23)</f>
        <v>0</v>
      </c>
      <c r="W1465" s="3">
        <f>Таблица1[[#This Row],[Годовой доход]]/12</f>
        <v>70759.166666666672</v>
      </c>
      <c r="X1465" s="3">
        <f>Таблица1[[#This Row],[Ежемесячный платеж]]/Таблица1[[#This Row],[Ежем доход]]</f>
        <v>0.20299843365406131</v>
      </c>
      <c r="Y1465" s="3"/>
      <c r="Z1465" s="3"/>
      <c r="AA1465" s="3"/>
      <c r="AB1465" s="3"/>
    </row>
    <row r="1466" spans="1:28" x14ac:dyDescent="0.2">
      <c r="A1466">
        <v>1067</v>
      </c>
      <c r="B1466" t="s">
        <v>1106</v>
      </c>
      <c r="C1466" t="s">
        <v>35</v>
      </c>
      <c r="D1466" t="s">
        <v>19</v>
      </c>
      <c r="E1466" t="s">
        <v>41</v>
      </c>
      <c r="F1466" t="s">
        <v>33</v>
      </c>
      <c r="G1466" t="s">
        <v>25</v>
      </c>
      <c r="H1466" s="1">
        <v>203544</v>
      </c>
      <c r="I1466" s="3">
        <v>728</v>
      </c>
      <c r="J1466" s="3">
        <v>532114</v>
      </c>
      <c r="K1466" s="3">
        <v>9045.9</v>
      </c>
      <c r="L1466" s="2">
        <v>17.899999999999999</v>
      </c>
      <c r="M1466" s="11">
        <v>35.265240640000002</v>
      </c>
      <c r="N1466" s="3">
        <v>6</v>
      </c>
      <c r="O1466" s="3">
        <v>237728</v>
      </c>
      <c r="P1466" s="3">
        <v>277200</v>
      </c>
      <c r="Q1466" s="10">
        <v>0</v>
      </c>
      <c r="R1466" s="3">
        <f>(Таблица1[Размер кредита]-$AA$2)/$AA$3</f>
        <v>-0.60377542543501828</v>
      </c>
      <c r="S1466" s="3">
        <f>(Таблица1[Кредитный рейтинг]-$AA$7)/($AA$8-$AA$7)</f>
        <v>0.96937416777629826</v>
      </c>
      <c r="T1466" s="3">
        <f>(Таблица1[Срок с последнего нарушения кредитного договора (мес,)]-$AA$12)/($AA$13-$AA$12)</f>
        <v>0.40074137090909095</v>
      </c>
      <c r="U1466" s="3">
        <f>(Таблица1[Количество кредитных карт]-$AA$18)/($AA$19-$AA$18)</f>
        <v>0.11904761904761904</v>
      </c>
      <c r="V1466" s="3">
        <f>(Таблица1[Число нарушений кредитных договоров]-$AA$23)/($AA$24-$AA$23)</f>
        <v>0</v>
      </c>
      <c r="W1466" s="3">
        <f>Таблица1[[#This Row],[Годовой доход]]/12</f>
        <v>44342.833333333336</v>
      </c>
      <c r="X1466" s="3">
        <f>Таблица1[[#This Row],[Ежемесячный платеж]]/Таблица1[[#This Row],[Ежем доход]]</f>
        <v>0.20399914304077696</v>
      </c>
      <c r="Y1466" s="3"/>
      <c r="Z1466" s="3"/>
      <c r="AA1466" s="3"/>
      <c r="AB1466" s="3"/>
    </row>
    <row r="1467" spans="1:28" x14ac:dyDescent="0.2">
      <c r="A1467">
        <v>1753</v>
      </c>
      <c r="B1467" t="s">
        <v>1791</v>
      </c>
      <c r="C1467" t="s">
        <v>18</v>
      </c>
      <c r="D1467" t="s">
        <v>29</v>
      </c>
      <c r="E1467" t="s">
        <v>37</v>
      </c>
      <c r="F1467" t="s">
        <v>21</v>
      </c>
      <c r="G1467" t="s">
        <v>25</v>
      </c>
      <c r="H1467" s="1">
        <v>336490</v>
      </c>
      <c r="I1467" s="3">
        <v>686</v>
      </c>
      <c r="J1467" s="3">
        <v>1263538</v>
      </c>
      <c r="K1467" s="3">
        <v>25060.05</v>
      </c>
      <c r="L1467" s="2">
        <v>22.8</v>
      </c>
      <c r="M1467" s="11">
        <v>24</v>
      </c>
      <c r="N1467" s="3">
        <v>11</v>
      </c>
      <c r="O1467" s="3">
        <v>177498</v>
      </c>
      <c r="P1467" s="3">
        <v>276980</v>
      </c>
      <c r="Q1467" s="10">
        <v>0</v>
      </c>
      <c r="R1467" s="3">
        <f>(Таблица1[Размер кредита]-$AA$2)/$AA$3</f>
        <v>0.15312349748425266</v>
      </c>
      <c r="S1467" s="3">
        <f>(Таблица1[Кредитный рейтинг]-$AA$7)/($AA$8-$AA$7)</f>
        <v>0.91344873501997337</v>
      </c>
      <c r="T1467" s="3">
        <f>(Таблица1[Срок с последнего нарушения кредитного договора (мес,)]-$AA$12)/($AA$13-$AA$12)</f>
        <v>0.27272727272727271</v>
      </c>
      <c r="U1467" s="3">
        <f>(Таблица1[Количество кредитных карт]-$AA$18)/($AA$19-$AA$18)</f>
        <v>0.23809523809523808</v>
      </c>
      <c r="V1467" s="3">
        <f>(Таблица1[Число нарушений кредитных договоров]-$AA$23)/($AA$24-$AA$23)</f>
        <v>0</v>
      </c>
      <c r="W1467" s="3">
        <f>Таблица1[[#This Row],[Годовой доход]]/12</f>
        <v>105294.83333333333</v>
      </c>
      <c r="X1467" s="3">
        <f>Таблица1[[#This Row],[Ежемесячный платеж]]/Таблица1[[#This Row],[Ежем доход]]</f>
        <v>0.23799885717722777</v>
      </c>
      <c r="Y1467" s="3"/>
      <c r="Z1467" s="3"/>
      <c r="AA1467" s="3"/>
      <c r="AB1467" s="3"/>
    </row>
    <row r="1468" spans="1:28" x14ac:dyDescent="0.2">
      <c r="A1468">
        <v>1168</v>
      </c>
      <c r="B1468" t="s">
        <v>1207</v>
      </c>
      <c r="C1468" t="s">
        <v>18</v>
      </c>
      <c r="D1468" t="s">
        <v>19</v>
      </c>
      <c r="E1468" t="s">
        <v>37</v>
      </c>
      <c r="F1468" t="s">
        <v>33</v>
      </c>
      <c r="G1468" t="s">
        <v>25</v>
      </c>
      <c r="H1468" s="1">
        <v>216040</v>
      </c>
      <c r="I1468" s="3">
        <v>727</v>
      </c>
      <c r="J1468" s="3">
        <v>932881</v>
      </c>
      <c r="K1468" s="3">
        <v>16014.53</v>
      </c>
      <c r="L1468" s="2">
        <v>14.4</v>
      </c>
      <c r="M1468" s="11">
        <v>35.265240640000002</v>
      </c>
      <c r="N1468" s="3">
        <v>8</v>
      </c>
      <c r="O1468" s="3">
        <v>195054</v>
      </c>
      <c r="P1468" s="3">
        <v>276782</v>
      </c>
      <c r="Q1468" s="10">
        <v>0</v>
      </c>
      <c r="R1468" s="3">
        <f>(Таблица1[Размер кредита]-$AA$2)/$AA$3</f>
        <v>-0.53263218727216111</v>
      </c>
      <c r="S1468" s="3">
        <f>(Таблица1[Кредитный рейтинг]-$AA$7)/($AA$8-$AA$7)</f>
        <v>0.96804260985352863</v>
      </c>
      <c r="T1468" s="3">
        <f>(Таблица1[Срок с последнего нарушения кредитного договора (мес,)]-$AA$12)/($AA$13-$AA$12)</f>
        <v>0.40074137090909095</v>
      </c>
      <c r="U1468" s="3">
        <f>(Таблица1[Количество кредитных карт]-$AA$18)/($AA$19-$AA$18)</f>
        <v>0.16666666666666666</v>
      </c>
      <c r="V1468" s="3">
        <f>(Таблица1[Число нарушений кредитных договоров]-$AA$23)/($AA$24-$AA$23)</f>
        <v>0</v>
      </c>
      <c r="W1468" s="3">
        <f>Таблица1[[#This Row],[Годовой доход]]/12</f>
        <v>77740.083333333328</v>
      </c>
      <c r="X1468" s="3">
        <f>Таблица1[[#This Row],[Ежемесячный платеж]]/Таблица1[[#This Row],[Ежем доход]]</f>
        <v>0.20600093688262491</v>
      </c>
      <c r="Y1468" s="3"/>
      <c r="Z1468" s="3"/>
      <c r="AA1468" s="3"/>
      <c r="AB1468" s="3"/>
    </row>
    <row r="1469" spans="1:28" x14ac:dyDescent="0.2">
      <c r="A1469">
        <v>1953</v>
      </c>
      <c r="B1469" t="s">
        <v>1989</v>
      </c>
      <c r="C1469" t="s">
        <v>18</v>
      </c>
      <c r="D1469" t="s">
        <v>29</v>
      </c>
      <c r="E1469" t="s">
        <v>37</v>
      </c>
      <c r="F1469" t="s">
        <v>21</v>
      </c>
      <c r="G1469" t="s">
        <v>22</v>
      </c>
      <c r="H1469" s="1">
        <v>101926</v>
      </c>
      <c r="I1469" s="3">
        <v>711</v>
      </c>
      <c r="J1469" s="3">
        <v>511442</v>
      </c>
      <c r="K1469" s="3">
        <v>9653.52</v>
      </c>
      <c r="L1469" s="2">
        <v>18.7</v>
      </c>
      <c r="M1469" s="11">
        <v>16</v>
      </c>
      <c r="N1469" s="3">
        <v>8</v>
      </c>
      <c r="O1469" s="3">
        <v>165547</v>
      </c>
      <c r="P1469" s="3">
        <v>276628</v>
      </c>
      <c r="Q1469" s="10">
        <v>1</v>
      </c>
      <c r="R1469" s="3">
        <f>(Таблица1[Размер кредита]-$AA$2)/$AA$3</f>
        <v>-1.1823152442276896</v>
      </c>
      <c r="S1469" s="3">
        <f>(Таблица1[Кредитный рейтинг]-$AA$7)/($AA$8-$AA$7)</f>
        <v>0.94673768308921435</v>
      </c>
      <c r="T1469" s="3">
        <f>(Таблица1[Срок с последнего нарушения кредитного договора (мес,)]-$AA$12)/($AA$13-$AA$12)</f>
        <v>0.18181818181818182</v>
      </c>
      <c r="U1469" s="3">
        <f>(Таблица1[Количество кредитных карт]-$AA$18)/($AA$19-$AA$18)</f>
        <v>0.16666666666666666</v>
      </c>
      <c r="V1469" s="3">
        <f>(Таблица1[Число нарушений кредитных договоров]-$AA$23)/($AA$24-$AA$23)</f>
        <v>0.14285714285714285</v>
      </c>
      <c r="W1469" s="3">
        <f>Таблица1[[#This Row],[Годовой доход]]/12</f>
        <v>42620.166666666664</v>
      </c>
      <c r="X1469" s="3">
        <f>Таблица1[[#This Row],[Ежемесячный платеж]]/Таблица1[[#This Row],[Ежем доход]]</f>
        <v>0.22650122594546401</v>
      </c>
      <c r="Y1469" s="3"/>
      <c r="Z1469" s="3"/>
      <c r="AA1469" s="3"/>
      <c r="AB1469" s="3"/>
    </row>
    <row r="1470" spans="1:28" x14ac:dyDescent="0.2">
      <c r="A1470">
        <v>337</v>
      </c>
      <c r="B1470" t="s">
        <v>379</v>
      </c>
      <c r="C1470" t="s">
        <v>18</v>
      </c>
      <c r="D1470" t="s">
        <v>19</v>
      </c>
      <c r="E1470" t="s">
        <v>41</v>
      </c>
      <c r="F1470" t="s">
        <v>21</v>
      </c>
      <c r="G1470" t="s">
        <v>25</v>
      </c>
      <c r="H1470" s="1">
        <v>309594.52439999999</v>
      </c>
      <c r="I1470" s="3">
        <v>743</v>
      </c>
      <c r="J1470" s="3">
        <v>1496193</v>
      </c>
      <c r="K1470" s="3">
        <v>17081.57</v>
      </c>
      <c r="L1470" s="2">
        <v>20.7</v>
      </c>
      <c r="M1470" s="11">
        <v>33</v>
      </c>
      <c r="N1470" s="3">
        <v>11</v>
      </c>
      <c r="O1470" s="3">
        <v>176567</v>
      </c>
      <c r="P1470" s="3">
        <v>276298</v>
      </c>
      <c r="Q1470" s="10">
        <v>0</v>
      </c>
      <c r="R1470" s="3">
        <f>(Таблица1[Размер кредита]-$AA$2)/$AA$3</f>
        <v>-1.2411115481956205E-10</v>
      </c>
      <c r="S1470" s="3">
        <f>(Таблица1[Кредитный рейтинг]-$AA$7)/($AA$8-$AA$7)</f>
        <v>0.98934753661784292</v>
      </c>
      <c r="T1470" s="3">
        <f>(Таблица1[Срок с последнего нарушения кредитного договора (мес,)]-$AA$12)/($AA$13-$AA$12)</f>
        <v>0.375</v>
      </c>
      <c r="U1470" s="3">
        <f>(Таблица1[Количество кредитных карт]-$AA$18)/($AA$19-$AA$18)</f>
        <v>0.23809523809523808</v>
      </c>
      <c r="V1470" s="3">
        <f>(Таблица1[Число нарушений кредитных договоров]-$AA$23)/($AA$24-$AA$23)</f>
        <v>0</v>
      </c>
      <c r="W1470" s="3">
        <f>Таблица1[[#This Row],[Годовой доход]]/12</f>
        <v>124682.75</v>
      </c>
      <c r="X1470" s="3">
        <f>Таблица1[[#This Row],[Ежемесячный платеж]]/Таблица1[[#This Row],[Ежем доход]]</f>
        <v>0.13700026667682577</v>
      </c>
      <c r="Y1470" s="3"/>
      <c r="Z1470" s="3"/>
      <c r="AA1470" s="3"/>
      <c r="AB1470" s="3"/>
    </row>
    <row r="1471" spans="1:28" x14ac:dyDescent="0.2">
      <c r="A1471">
        <v>425</v>
      </c>
      <c r="B1471" t="s">
        <v>466</v>
      </c>
      <c r="C1471" t="s">
        <v>18</v>
      </c>
      <c r="D1471" t="s">
        <v>19</v>
      </c>
      <c r="E1471" t="s">
        <v>24</v>
      </c>
      <c r="F1471" t="s">
        <v>33</v>
      </c>
      <c r="G1471" t="s">
        <v>25</v>
      </c>
      <c r="H1471" s="1">
        <v>155738</v>
      </c>
      <c r="I1471" s="3">
        <v>0</v>
      </c>
      <c r="J1471" s="3">
        <v>1168044</v>
      </c>
      <c r="K1471" s="3">
        <v>6654.75</v>
      </c>
      <c r="L1471" s="2">
        <v>19.399999999999999</v>
      </c>
      <c r="M1471" s="11">
        <v>10</v>
      </c>
      <c r="N1471" s="3">
        <v>7</v>
      </c>
      <c r="O1471" s="3">
        <v>125039</v>
      </c>
      <c r="P1471" s="3">
        <v>275748</v>
      </c>
      <c r="Q1471" s="10">
        <v>1</v>
      </c>
      <c r="R1471" s="3">
        <f>(Таблица1[Размер кредита]-$AA$2)/$AA$3</f>
        <v>-0.87594841227989262</v>
      </c>
      <c r="S1471" s="3">
        <f>(Таблица1[Кредитный рейтинг]-$AA$7)/($AA$8-$AA$7)</f>
        <v>0</v>
      </c>
      <c r="T1471" s="3">
        <f>(Таблица1[Срок с последнего нарушения кредитного договора (мес,)]-$AA$12)/($AA$13-$AA$12)</f>
        <v>0.11363636363636363</v>
      </c>
      <c r="U1471" s="3">
        <f>(Таблица1[Количество кредитных карт]-$AA$18)/($AA$19-$AA$18)</f>
        <v>0.14285714285714285</v>
      </c>
      <c r="V1471" s="3">
        <f>(Таблица1[Число нарушений кредитных договоров]-$AA$23)/($AA$24-$AA$23)</f>
        <v>0.14285714285714285</v>
      </c>
      <c r="W1471" s="3">
        <f>Таблица1[[#This Row],[Годовой доход]]/12</f>
        <v>97337</v>
      </c>
      <c r="X1471" s="3">
        <f>Таблица1[[#This Row],[Ежемесячный платеж]]/Таблица1[[#This Row],[Ежем доход]]</f>
        <v>6.8368143665820807E-2</v>
      </c>
      <c r="Y1471" s="3"/>
      <c r="Z1471" s="3"/>
      <c r="AA1471" s="3"/>
      <c r="AB1471" s="3"/>
    </row>
    <row r="1472" spans="1:28" x14ac:dyDescent="0.2">
      <c r="A1472">
        <v>703</v>
      </c>
      <c r="B1472" t="s">
        <v>744</v>
      </c>
      <c r="C1472" t="s">
        <v>18</v>
      </c>
      <c r="D1472" t="s">
        <v>19</v>
      </c>
      <c r="E1472" t="s">
        <v>47</v>
      </c>
      <c r="F1472" t="s">
        <v>21</v>
      </c>
      <c r="G1472" t="s">
        <v>25</v>
      </c>
      <c r="H1472" s="1">
        <v>309594.52439999999</v>
      </c>
      <c r="I1472" s="3">
        <v>700</v>
      </c>
      <c r="J1472" s="3">
        <v>1663906</v>
      </c>
      <c r="K1472" s="3">
        <v>33694.03</v>
      </c>
      <c r="L1472" s="2">
        <v>18.899999999999999</v>
      </c>
      <c r="M1472" s="11">
        <v>61</v>
      </c>
      <c r="N1472" s="3">
        <v>9</v>
      </c>
      <c r="O1472" s="3">
        <v>107141</v>
      </c>
      <c r="P1472" s="3">
        <v>275704</v>
      </c>
      <c r="Q1472" s="10">
        <v>3</v>
      </c>
      <c r="R1472" s="3">
        <f>(Таблица1[Размер кредита]-$AA$2)/$AA$3</f>
        <v>-1.2411115481956205E-10</v>
      </c>
      <c r="S1472" s="3">
        <f>(Таблица1[Кредитный рейтинг]-$AA$7)/($AA$8-$AA$7)</f>
        <v>0.93209054593874829</v>
      </c>
      <c r="T1472" s="3">
        <f>(Таблица1[Срок с последнего нарушения кредитного договора (мес,)]-$AA$12)/($AA$13-$AA$12)</f>
        <v>0.69318181818181823</v>
      </c>
      <c r="U1472" s="3">
        <f>(Таблица1[Количество кредитных карт]-$AA$18)/($AA$19-$AA$18)</f>
        <v>0.19047619047619047</v>
      </c>
      <c r="V1472" s="3">
        <f>(Таблица1[Число нарушений кредитных договоров]-$AA$23)/($AA$24-$AA$23)</f>
        <v>0.42857142857142855</v>
      </c>
      <c r="W1472" s="3">
        <f>Таблица1[[#This Row],[Годовой доход]]/12</f>
        <v>138658.83333333334</v>
      </c>
      <c r="X1472" s="3">
        <f>Таблица1[[#This Row],[Ежемесячный платеж]]/Таблица1[[#This Row],[Ежем доход]]</f>
        <v>0.2429995204055998</v>
      </c>
      <c r="Y1472" s="3"/>
      <c r="Z1472" s="3"/>
      <c r="AA1472" s="3"/>
      <c r="AB1472" s="3"/>
    </row>
    <row r="1473" spans="1:28" x14ac:dyDescent="0.2">
      <c r="A1473">
        <v>606</v>
      </c>
      <c r="B1473" t="s">
        <v>647</v>
      </c>
      <c r="C1473" t="s">
        <v>18</v>
      </c>
      <c r="D1473" t="s">
        <v>19</v>
      </c>
      <c r="E1473" t="s">
        <v>24</v>
      </c>
      <c r="F1473" t="s">
        <v>21</v>
      </c>
      <c r="G1473" t="s">
        <v>67</v>
      </c>
      <c r="H1473" s="1">
        <v>349932</v>
      </c>
      <c r="I1473" s="3">
        <v>721</v>
      </c>
      <c r="J1473" s="3">
        <v>3602153</v>
      </c>
      <c r="K1473" s="3">
        <v>16029.54</v>
      </c>
      <c r="L1473" s="2">
        <v>20</v>
      </c>
      <c r="M1473" s="11">
        <v>15</v>
      </c>
      <c r="N1473" s="3">
        <v>17</v>
      </c>
      <c r="O1473" s="3">
        <v>68989</v>
      </c>
      <c r="P1473" s="3">
        <v>275462</v>
      </c>
      <c r="Q1473" s="10">
        <v>0</v>
      </c>
      <c r="R1473" s="3">
        <f>(Таблица1[Размер кредита]-$AA$2)/$AA$3</f>
        <v>0.22965257938126979</v>
      </c>
      <c r="S1473" s="3">
        <f>(Таблица1[Кредитный рейтинг]-$AA$7)/($AA$8-$AA$7)</f>
        <v>0.96005326231691079</v>
      </c>
      <c r="T1473" s="3">
        <f>(Таблица1[Срок с последнего нарушения кредитного договора (мес,)]-$AA$12)/($AA$13-$AA$12)</f>
        <v>0.17045454545454544</v>
      </c>
      <c r="U1473" s="3">
        <f>(Таблица1[Количество кредитных карт]-$AA$18)/($AA$19-$AA$18)</f>
        <v>0.38095238095238093</v>
      </c>
      <c r="V1473" s="3">
        <f>(Таблица1[Число нарушений кредитных договоров]-$AA$23)/($AA$24-$AA$23)</f>
        <v>0</v>
      </c>
      <c r="W1473" s="3">
        <f>Таблица1[[#This Row],[Годовой доход]]/12</f>
        <v>300179.41666666669</v>
      </c>
      <c r="X1473" s="3">
        <f>Таблица1[[#This Row],[Ежемесячный платеж]]/Таблица1[[#This Row],[Ежем доход]]</f>
        <v>5.3399863914719889E-2</v>
      </c>
      <c r="Y1473" s="3"/>
      <c r="Z1473" s="3"/>
      <c r="AA1473" s="3"/>
      <c r="AB1473" s="3"/>
    </row>
    <row r="1474" spans="1:28" x14ac:dyDescent="0.2">
      <c r="A1474">
        <v>190</v>
      </c>
      <c r="B1474" t="s">
        <v>232</v>
      </c>
      <c r="C1474" t="s">
        <v>18</v>
      </c>
      <c r="D1474" t="s">
        <v>19</v>
      </c>
      <c r="E1474" t="s">
        <v>47</v>
      </c>
      <c r="F1474" t="s">
        <v>33</v>
      </c>
      <c r="G1474" t="s">
        <v>25</v>
      </c>
      <c r="H1474" s="1">
        <v>261800</v>
      </c>
      <c r="I1474" s="3">
        <v>738</v>
      </c>
      <c r="J1474" s="3">
        <v>1488536</v>
      </c>
      <c r="K1474" s="3">
        <v>21087.72</v>
      </c>
      <c r="L1474" s="2">
        <v>16.5</v>
      </c>
      <c r="M1474" s="11">
        <v>45</v>
      </c>
      <c r="N1474" s="3">
        <v>8</v>
      </c>
      <c r="O1474" s="3">
        <v>178220</v>
      </c>
      <c r="P1474" s="3">
        <v>274780</v>
      </c>
      <c r="Q1474" s="10">
        <v>0</v>
      </c>
      <c r="R1474" s="3">
        <f>(Таблица1[Размер кредита]-$AA$2)/$AA$3</f>
        <v>-0.27210765315465596</v>
      </c>
      <c r="S1474" s="3">
        <f>(Таблица1[Кредитный рейтинг]-$AA$7)/($AA$8-$AA$7)</f>
        <v>0.9826897470039947</v>
      </c>
      <c r="T1474" s="3">
        <f>(Таблица1[Срок с последнего нарушения кредитного договора (мес,)]-$AA$12)/($AA$13-$AA$12)</f>
        <v>0.51136363636363635</v>
      </c>
      <c r="U1474" s="3">
        <f>(Таблица1[Количество кредитных карт]-$AA$18)/($AA$19-$AA$18)</f>
        <v>0.16666666666666666</v>
      </c>
      <c r="V1474" s="3">
        <f>(Таблица1[Число нарушений кредитных договоров]-$AA$23)/($AA$24-$AA$23)</f>
        <v>0</v>
      </c>
      <c r="W1474" s="3">
        <f>Таблица1[[#This Row],[Годовой доход]]/12</f>
        <v>124044.66666666667</v>
      </c>
      <c r="X1474" s="3">
        <f>Таблица1[[#This Row],[Ежемесячный платеж]]/Таблица1[[#This Row],[Ежем доход]]</f>
        <v>0.17000102113754723</v>
      </c>
      <c r="Y1474" s="3"/>
      <c r="Z1474" s="3"/>
      <c r="AA1474" s="3"/>
      <c r="AB1474" s="3"/>
    </row>
    <row r="1475" spans="1:28" x14ac:dyDescent="0.2">
      <c r="A1475">
        <v>136</v>
      </c>
      <c r="B1475" s="4" t="s">
        <v>178</v>
      </c>
      <c r="C1475" t="s">
        <v>18</v>
      </c>
      <c r="D1475" t="s">
        <v>19</v>
      </c>
      <c r="E1475" t="s">
        <v>52</v>
      </c>
      <c r="F1475" t="s">
        <v>21</v>
      </c>
      <c r="G1475" t="s">
        <v>25</v>
      </c>
      <c r="H1475" s="1">
        <v>257400</v>
      </c>
      <c r="I1475" s="3">
        <v>0</v>
      </c>
      <c r="J1475" s="3">
        <v>1168044</v>
      </c>
      <c r="K1475" s="3">
        <v>13740.99</v>
      </c>
      <c r="L1475" s="2">
        <v>15.7</v>
      </c>
      <c r="M1475" s="11">
        <v>35.265240640000002</v>
      </c>
      <c r="N1475" s="3">
        <v>11</v>
      </c>
      <c r="O1475" s="3">
        <v>191159</v>
      </c>
      <c r="P1475" s="3">
        <v>274626</v>
      </c>
      <c r="Q1475" s="10">
        <v>0</v>
      </c>
      <c r="R1475" s="3">
        <f>(Таблица1[Размер кредита]-$AA$2)/$AA$3</f>
        <v>-0.29715808912749297</v>
      </c>
      <c r="S1475" s="3">
        <f>(Таблица1[Кредитный рейтинг]-$AA$7)/($AA$8-$AA$7)</f>
        <v>0</v>
      </c>
      <c r="T1475" s="3">
        <f>(Таблица1[Срок с последнего нарушения кредитного договора (мес,)]-$AA$12)/($AA$13-$AA$12)</f>
        <v>0.40074137090909095</v>
      </c>
      <c r="U1475" s="3">
        <f>(Таблица1[Количество кредитных карт]-$AA$18)/($AA$19-$AA$18)</f>
        <v>0.23809523809523808</v>
      </c>
      <c r="V1475" s="3">
        <f>(Таблица1[Число нарушений кредитных договоров]-$AA$23)/($AA$24-$AA$23)</f>
        <v>0</v>
      </c>
      <c r="W1475" s="3">
        <f>Таблица1[[#This Row],[Годовой доход]]/12</f>
        <v>97337</v>
      </c>
      <c r="X1475" s="3">
        <f>Таблица1[[#This Row],[Ежемесячный платеж]]/Таблица1[[#This Row],[Ежем доход]]</f>
        <v>0.14116923677532695</v>
      </c>
      <c r="Y1475" s="3"/>
      <c r="Z1475" s="3"/>
      <c r="AA1475" s="3"/>
      <c r="AB1475" s="3"/>
    </row>
    <row r="1476" spans="1:28" x14ac:dyDescent="0.2">
      <c r="A1476">
        <v>1202</v>
      </c>
      <c r="B1476" t="s">
        <v>1241</v>
      </c>
      <c r="C1476" t="s">
        <v>35</v>
      </c>
      <c r="D1476" t="s">
        <v>19</v>
      </c>
      <c r="E1476" t="s">
        <v>32</v>
      </c>
      <c r="F1476" t="s">
        <v>21</v>
      </c>
      <c r="G1476" t="s">
        <v>25</v>
      </c>
      <c r="H1476" s="1">
        <v>424468</v>
      </c>
      <c r="I1476" s="3">
        <v>0</v>
      </c>
      <c r="J1476" s="3">
        <v>1168044</v>
      </c>
      <c r="K1476" s="3">
        <v>23842.53</v>
      </c>
      <c r="L1476" s="2">
        <v>13</v>
      </c>
      <c r="M1476" s="11">
        <v>35.265240640000002</v>
      </c>
      <c r="N1476" s="3">
        <v>11</v>
      </c>
      <c r="O1476" s="3">
        <v>192014</v>
      </c>
      <c r="P1476" s="3">
        <v>274164</v>
      </c>
      <c r="Q1476" s="10">
        <v>0</v>
      </c>
      <c r="R1476" s="3">
        <f>(Таблица1[Размер кредита]-$AA$2)/$AA$3</f>
        <v>0.65400696476112918</v>
      </c>
      <c r="S1476" s="3">
        <f>(Таблица1[Кредитный рейтинг]-$AA$7)/($AA$8-$AA$7)</f>
        <v>0</v>
      </c>
      <c r="T1476" s="3">
        <f>(Таблица1[Срок с последнего нарушения кредитного договора (мес,)]-$AA$12)/($AA$13-$AA$12)</f>
        <v>0.40074137090909095</v>
      </c>
      <c r="U1476" s="3">
        <f>(Таблица1[Количество кредитных карт]-$AA$18)/($AA$19-$AA$18)</f>
        <v>0.23809523809523808</v>
      </c>
      <c r="V1476" s="3">
        <f>(Таблица1[Число нарушений кредитных договоров]-$AA$23)/($AA$24-$AA$23)</f>
        <v>0</v>
      </c>
      <c r="W1476" s="3">
        <f>Таблица1[[#This Row],[Годовой доход]]/12</f>
        <v>97337</v>
      </c>
      <c r="X1476" s="3">
        <f>Таблица1[[#This Row],[Ежемесячный платеж]]/Таблица1[[#This Row],[Ежем доход]]</f>
        <v>0.24494827249658402</v>
      </c>
      <c r="Y1476" s="3"/>
      <c r="Z1476" s="3"/>
      <c r="AA1476" s="3"/>
      <c r="AB1476" s="3"/>
    </row>
    <row r="1477" spans="1:28" x14ac:dyDescent="0.2">
      <c r="A1477">
        <v>166</v>
      </c>
      <c r="B1477" t="s">
        <v>208</v>
      </c>
      <c r="C1477" t="s">
        <v>35</v>
      </c>
      <c r="D1477" t="s">
        <v>29</v>
      </c>
      <c r="E1477" t="s">
        <v>41</v>
      </c>
      <c r="F1477" t="s">
        <v>33</v>
      </c>
      <c r="G1477" t="s">
        <v>67</v>
      </c>
      <c r="H1477" s="1">
        <v>168300</v>
      </c>
      <c r="I1477" s="3">
        <v>702</v>
      </c>
      <c r="J1477" s="3">
        <v>688522</v>
      </c>
      <c r="K1477" s="3">
        <v>11762.14</v>
      </c>
      <c r="L1477" s="2">
        <v>17</v>
      </c>
      <c r="M1477" s="11">
        <v>30</v>
      </c>
      <c r="N1477" s="3">
        <v>9</v>
      </c>
      <c r="O1477" s="3">
        <v>128041</v>
      </c>
      <c r="P1477" s="3">
        <v>273042</v>
      </c>
      <c r="Q1477" s="10">
        <v>0</v>
      </c>
      <c r="R1477" s="3">
        <f>(Таблица1[Размер кредита]-$AA$2)/$AA$3</f>
        <v>-0.80442941757744291</v>
      </c>
      <c r="S1477" s="3">
        <f>(Таблица1[Кредитный рейтинг]-$AA$7)/($AA$8-$AA$7)</f>
        <v>0.93475366178428765</v>
      </c>
      <c r="T1477" s="3">
        <f>(Таблица1[Срок с последнего нарушения кредитного договора (мес,)]-$AA$12)/($AA$13-$AA$12)</f>
        <v>0.34090909090909088</v>
      </c>
      <c r="U1477" s="3">
        <f>(Таблица1[Количество кредитных карт]-$AA$18)/($AA$19-$AA$18)</f>
        <v>0.19047619047619047</v>
      </c>
      <c r="V1477" s="3">
        <f>(Таблица1[Число нарушений кредитных договоров]-$AA$23)/($AA$24-$AA$23)</f>
        <v>0</v>
      </c>
      <c r="W1477" s="3">
        <f>Таблица1[[#This Row],[Годовой доход]]/12</f>
        <v>57376.833333333336</v>
      </c>
      <c r="X1477" s="3">
        <f>Таблица1[[#This Row],[Ежемесячный платеж]]/Таблица1[[#This Row],[Ежем доход]]</f>
        <v>0.20499806832606654</v>
      </c>
      <c r="Y1477" s="3"/>
      <c r="Z1477" s="3"/>
      <c r="AA1477" s="3"/>
      <c r="AB1477" s="3"/>
    </row>
    <row r="1478" spans="1:28" x14ac:dyDescent="0.2">
      <c r="A1478">
        <v>1873</v>
      </c>
      <c r="B1478" t="s">
        <v>1909</v>
      </c>
      <c r="C1478" t="s">
        <v>18</v>
      </c>
      <c r="D1478" t="s">
        <v>19</v>
      </c>
      <c r="E1478" t="s">
        <v>30</v>
      </c>
      <c r="F1478" t="s">
        <v>21</v>
      </c>
      <c r="G1478" t="s">
        <v>25</v>
      </c>
      <c r="H1478" s="1">
        <v>223608</v>
      </c>
      <c r="I1478" s="3">
        <v>739</v>
      </c>
      <c r="J1478" s="3">
        <v>869022</v>
      </c>
      <c r="K1478" s="3">
        <v>12745.58</v>
      </c>
      <c r="L1478" s="2">
        <v>12.4</v>
      </c>
      <c r="M1478" s="11">
        <v>35.265240640000002</v>
      </c>
      <c r="N1478" s="3">
        <v>9</v>
      </c>
      <c r="O1478" s="3">
        <v>195700</v>
      </c>
      <c r="P1478" s="3">
        <v>272690</v>
      </c>
      <c r="Q1478" s="10">
        <v>0</v>
      </c>
      <c r="R1478" s="3">
        <f>(Таблица1[Размер кредита]-$AA$2)/$AA$3</f>
        <v>-0.4895454373988814</v>
      </c>
      <c r="S1478" s="3">
        <f>(Таблица1[Кредитный рейтинг]-$AA$7)/($AA$8-$AA$7)</f>
        <v>0.98402130492676432</v>
      </c>
      <c r="T1478" s="3">
        <f>(Таблица1[Срок с последнего нарушения кредитного договора (мес,)]-$AA$12)/($AA$13-$AA$12)</f>
        <v>0.40074137090909095</v>
      </c>
      <c r="U1478" s="3">
        <f>(Таблица1[Количество кредитных карт]-$AA$18)/($AA$19-$AA$18)</f>
        <v>0.19047619047619047</v>
      </c>
      <c r="V1478" s="3">
        <f>(Таблица1[Число нарушений кредитных договоров]-$AA$23)/($AA$24-$AA$23)</f>
        <v>0</v>
      </c>
      <c r="W1478" s="3">
        <f>Таблица1[[#This Row],[Годовой доход]]/12</f>
        <v>72418.5</v>
      </c>
      <c r="X1478" s="3">
        <f>Таблица1[[#This Row],[Ежемесячный платеж]]/Таблица1[[#This Row],[Ежем доход]]</f>
        <v>0.17599895054440509</v>
      </c>
      <c r="Y1478" s="3"/>
      <c r="Z1478" s="3"/>
      <c r="AA1478" s="3"/>
      <c r="AB1478" s="3"/>
    </row>
    <row r="1479" spans="1:28" x14ac:dyDescent="0.2">
      <c r="A1479">
        <v>1352</v>
      </c>
      <c r="B1479" t="s">
        <v>1391</v>
      </c>
      <c r="C1479" t="s">
        <v>18</v>
      </c>
      <c r="D1479" t="s">
        <v>29</v>
      </c>
      <c r="E1479" t="s">
        <v>24</v>
      </c>
      <c r="F1479" t="s">
        <v>21</v>
      </c>
      <c r="G1479" t="s">
        <v>67</v>
      </c>
      <c r="H1479" s="1">
        <v>670758</v>
      </c>
      <c r="I1479" s="3">
        <v>665</v>
      </c>
      <c r="J1479" s="3">
        <v>2124067</v>
      </c>
      <c r="K1479" s="3">
        <v>34693.24</v>
      </c>
      <c r="L1479" s="2">
        <v>15</v>
      </c>
      <c r="M1479" s="11">
        <v>49</v>
      </c>
      <c r="N1479" s="3">
        <v>8</v>
      </c>
      <c r="O1479" s="3">
        <v>68989</v>
      </c>
      <c r="P1479" s="3">
        <v>272668</v>
      </c>
      <c r="Q1479" s="10">
        <v>0</v>
      </c>
      <c r="R1479" s="3">
        <f>(Таблица1[Размер кредита]-$AA$2)/$AA$3</f>
        <v>2.056205118340682</v>
      </c>
      <c r="S1479" s="3">
        <f>(Таблица1[Кредитный рейтинг]-$AA$7)/($AA$8-$AA$7)</f>
        <v>0.88548601864181087</v>
      </c>
      <c r="T1479" s="3">
        <f>(Таблица1[Срок с последнего нарушения кредитного договора (мес,)]-$AA$12)/($AA$13-$AA$12)</f>
        <v>0.55681818181818177</v>
      </c>
      <c r="U1479" s="3">
        <f>(Таблица1[Количество кредитных карт]-$AA$18)/($AA$19-$AA$18)</f>
        <v>0.16666666666666666</v>
      </c>
      <c r="V1479" s="3">
        <f>(Таблица1[Число нарушений кредитных договоров]-$AA$23)/($AA$24-$AA$23)</f>
        <v>0</v>
      </c>
      <c r="W1479" s="3">
        <f>Таблица1[[#This Row],[Годовой доход]]/12</f>
        <v>177005.58333333334</v>
      </c>
      <c r="X1479" s="3">
        <f>Таблица1[[#This Row],[Ежемесячный платеж]]/Таблица1[[#This Row],[Ежем доход]]</f>
        <v>0.19600082294955853</v>
      </c>
      <c r="Y1479" s="3"/>
      <c r="Z1479" s="3"/>
      <c r="AA1479" s="3"/>
      <c r="AB1479" s="3"/>
    </row>
    <row r="1480" spans="1:28" x14ac:dyDescent="0.2">
      <c r="A1480">
        <v>6</v>
      </c>
      <c r="B1480" t="s">
        <v>34</v>
      </c>
      <c r="C1480" t="s">
        <v>35</v>
      </c>
      <c r="D1480" t="s">
        <v>19</v>
      </c>
      <c r="E1480" t="s">
        <v>24</v>
      </c>
      <c r="F1480" t="s">
        <v>21</v>
      </c>
      <c r="G1480" t="s">
        <v>25</v>
      </c>
      <c r="H1480" s="1">
        <v>206602</v>
      </c>
      <c r="I1480" s="3">
        <v>729</v>
      </c>
      <c r="J1480" s="3">
        <v>896857</v>
      </c>
      <c r="K1480" s="3">
        <v>16367.74</v>
      </c>
      <c r="L1480" s="2">
        <v>17.3</v>
      </c>
      <c r="M1480" s="11">
        <v>35.265240640000002</v>
      </c>
      <c r="N1480" s="3">
        <v>6</v>
      </c>
      <c r="O1480" s="3">
        <v>215308</v>
      </c>
      <c r="P1480" s="3">
        <v>272448</v>
      </c>
      <c r="Q1480" s="10">
        <v>0</v>
      </c>
      <c r="R1480" s="3">
        <f>(Таблица1[Размер кредита]-$AA$2)/$AA$3</f>
        <v>-0.58636537243389653</v>
      </c>
      <c r="S1480" s="3">
        <f>(Таблица1[Кредитный рейтинг]-$AA$7)/($AA$8-$AA$7)</f>
        <v>0.97070572569906788</v>
      </c>
      <c r="T1480" s="3">
        <f>(Таблица1[Срок с последнего нарушения кредитного договора (мес,)]-$AA$12)/($AA$13-$AA$12)</f>
        <v>0.40074137090909095</v>
      </c>
      <c r="U1480" s="3">
        <f>(Таблица1[Количество кредитных карт]-$AA$18)/($AA$19-$AA$18)</f>
        <v>0.11904761904761904</v>
      </c>
      <c r="V1480" s="3">
        <f>(Таблица1[Число нарушений кредитных договоров]-$AA$23)/($AA$24-$AA$23)</f>
        <v>0</v>
      </c>
      <c r="W1480" s="3">
        <f>Таблица1[[#This Row],[Годовой доход]]/12</f>
        <v>74738.083333333328</v>
      </c>
      <c r="X1480" s="3">
        <f>Таблица1[[#This Row],[Ежемесячный платеж]]/Таблица1[[#This Row],[Ежем доход]]</f>
        <v>0.21900133466093258</v>
      </c>
      <c r="Y1480" s="3"/>
      <c r="Z1480" s="3"/>
      <c r="AA1480" s="3"/>
      <c r="AB1480" s="3"/>
    </row>
    <row r="1481" spans="1:28" x14ac:dyDescent="0.2">
      <c r="A1481">
        <v>840</v>
      </c>
      <c r="B1481" t="s">
        <v>881</v>
      </c>
      <c r="C1481" t="s">
        <v>35</v>
      </c>
      <c r="D1481" t="s">
        <v>19</v>
      </c>
      <c r="E1481" t="s">
        <v>32</v>
      </c>
      <c r="F1481" t="s">
        <v>33</v>
      </c>
      <c r="G1481" t="s">
        <v>25</v>
      </c>
      <c r="H1481" s="1">
        <v>351692</v>
      </c>
      <c r="I1481" s="3">
        <v>0</v>
      </c>
      <c r="J1481" s="3">
        <v>1168044</v>
      </c>
      <c r="K1481" s="3">
        <v>27715.11</v>
      </c>
      <c r="L1481" s="2">
        <v>16.100000000000001</v>
      </c>
      <c r="M1481" s="11">
        <v>35.265240640000002</v>
      </c>
      <c r="N1481" s="3">
        <v>8</v>
      </c>
      <c r="O1481" s="3">
        <v>188708</v>
      </c>
      <c r="P1481" s="3">
        <v>272448</v>
      </c>
      <c r="Q1481" s="10">
        <v>0</v>
      </c>
      <c r="R1481" s="3">
        <f>(Таблица1[Размер кредита]-$AA$2)/$AA$3</f>
        <v>0.23967275377040462</v>
      </c>
      <c r="S1481" s="3">
        <f>(Таблица1[Кредитный рейтинг]-$AA$7)/($AA$8-$AA$7)</f>
        <v>0</v>
      </c>
      <c r="T1481" s="3">
        <f>(Таблица1[Срок с последнего нарушения кредитного договора (мес,)]-$AA$12)/($AA$13-$AA$12)</f>
        <v>0.40074137090909095</v>
      </c>
      <c r="U1481" s="3">
        <f>(Таблица1[Количество кредитных карт]-$AA$18)/($AA$19-$AA$18)</f>
        <v>0.16666666666666666</v>
      </c>
      <c r="V1481" s="3">
        <f>(Таблица1[Число нарушений кредитных договоров]-$AA$23)/($AA$24-$AA$23)</f>
        <v>0</v>
      </c>
      <c r="W1481" s="3">
        <f>Таблица1[[#This Row],[Годовой доход]]/12</f>
        <v>97337</v>
      </c>
      <c r="X1481" s="3">
        <f>Таблица1[[#This Row],[Ежемесячный платеж]]/Таблица1[[#This Row],[Ежем доход]]</f>
        <v>0.28473355455787625</v>
      </c>
      <c r="Y1481" s="3"/>
      <c r="Z1481" s="3"/>
      <c r="AA1481" s="3"/>
      <c r="AB1481" s="3"/>
    </row>
    <row r="1482" spans="1:28" x14ac:dyDescent="0.2">
      <c r="A1482">
        <v>7</v>
      </c>
      <c r="B1482" t="s">
        <v>36</v>
      </c>
      <c r="C1482" t="s">
        <v>18</v>
      </c>
      <c r="D1482" t="s">
        <v>19</v>
      </c>
      <c r="E1482" t="s">
        <v>37</v>
      </c>
      <c r="F1482" t="s">
        <v>21</v>
      </c>
      <c r="G1482" t="s">
        <v>25</v>
      </c>
      <c r="H1482" s="1">
        <v>217646</v>
      </c>
      <c r="I1482" s="3">
        <v>730</v>
      </c>
      <c r="J1482" s="3">
        <v>1184194</v>
      </c>
      <c r="K1482" s="3">
        <v>10855.08</v>
      </c>
      <c r="L1482" s="2">
        <v>19.600000000000001</v>
      </c>
      <c r="M1482" s="11">
        <v>10</v>
      </c>
      <c r="N1482" s="3">
        <v>13</v>
      </c>
      <c r="O1482" s="3">
        <v>122170</v>
      </c>
      <c r="P1482" s="3">
        <v>272052</v>
      </c>
      <c r="Q1482" s="10">
        <v>1</v>
      </c>
      <c r="R1482" s="3">
        <f>(Таблица1[Размер кредита]-$AA$2)/$AA$3</f>
        <v>-0.52348877814207562</v>
      </c>
      <c r="S1482" s="3">
        <f>(Таблица1[Кредитный рейтинг]-$AA$7)/($AA$8-$AA$7)</f>
        <v>0.9720372836218375</v>
      </c>
      <c r="T1482" s="3">
        <f>(Таблица1[Срок с последнего нарушения кредитного договора (мес,)]-$AA$12)/($AA$13-$AA$12)</f>
        <v>0.11363636363636363</v>
      </c>
      <c r="U1482" s="3">
        <f>(Таблица1[Количество кредитных карт]-$AA$18)/($AA$19-$AA$18)</f>
        <v>0.2857142857142857</v>
      </c>
      <c r="V1482" s="3">
        <f>(Таблица1[Число нарушений кредитных договоров]-$AA$23)/($AA$24-$AA$23)</f>
        <v>0.14285714285714285</v>
      </c>
      <c r="W1482" s="3">
        <f>Таблица1[[#This Row],[Годовой доход]]/12</f>
        <v>98682.833333333328</v>
      </c>
      <c r="X1482" s="3">
        <f>Таблица1[[#This Row],[Ежемесячный платеж]]/Таблица1[[#This Row],[Ежем доход]]</f>
        <v>0.10999967910663287</v>
      </c>
      <c r="Y1482" s="3"/>
      <c r="Z1482" s="3"/>
      <c r="AA1482" s="3"/>
      <c r="AB1482" s="3"/>
    </row>
    <row r="1483" spans="1:28" x14ac:dyDescent="0.2">
      <c r="A1483">
        <v>551</v>
      </c>
      <c r="B1483" t="s">
        <v>592</v>
      </c>
      <c r="C1483" t="s">
        <v>18</v>
      </c>
      <c r="D1483" t="s">
        <v>19</v>
      </c>
      <c r="E1483" t="s">
        <v>32</v>
      </c>
      <c r="F1483" t="s">
        <v>21</v>
      </c>
      <c r="G1483" t="s">
        <v>25</v>
      </c>
      <c r="H1483" s="1">
        <v>309594.52439999999</v>
      </c>
      <c r="I1483" s="3">
        <v>748</v>
      </c>
      <c r="J1483" s="3">
        <v>758556</v>
      </c>
      <c r="K1483" s="3">
        <v>9165.7900000000009</v>
      </c>
      <c r="L1483" s="2">
        <v>15.3</v>
      </c>
      <c r="M1483" s="11">
        <v>35.265240640000002</v>
      </c>
      <c r="N1483" s="3">
        <v>7</v>
      </c>
      <c r="O1483" s="3">
        <v>154299</v>
      </c>
      <c r="P1483" s="3">
        <v>271920</v>
      </c>
      <c r="Q1483" s="10">
        <v>1</v>
      </c>
      <c r="R1483" s="3">
        <f>(Таблица1[Размер кредита]-$AA$2)/$AA$3</f>
        <v>-1.2411115481956205E-10</v>
      </c>
      <c r="S1483" s="3">
        <f>(Таблица1[Кредитный рейтинг]-$AA$7)/($AA$8-$AA$7)</f>
        <v>0.99600532623169102</v>
      </c>
      <c r="T1483" s="3">
        <f>(Таблица1[Срок с последнего нарушения кредитного договора (мес,)]-$AA$12)/($AA$13-$AA$12)</f>
        <v>0.40074137090909095</v>
      </c>
      <c r="U1483" s="3">
        <f>(Таблица1[Количество кредитных карт]-$AA$18)/($AA$19-$AA$18)</f>
        <v>0.14285714285714285</v>
      </c>
      <c r="V1483" s="3">
        <f>(Таблица1[Число нарушений кредитных договоров]-$AA$23)/($AA$24-$AA$23)</f>
        <v>0.14285714285714285</v>
      </c>
      <c r="W1483" s="3">
        <f>Таблица1[[#This Row],[Годовой доход]]/12</f>
        <v>63213</v>
      </c>
      <c r="X1483" s="3">
        <f>Таблица1[[#This Row],[Ежемесячный платеж]]/Таблица1[[#This Row],[Ежем доход]]</f>
        <v>0.14499849714457472</v>
      </c>
      <c r="Y1483" s="3"/>
      <c r="Z1483" s="3"/>
      <c r="AA1483" s="3"/>
      <c r="AB1483" s="3"/>
    </row>
    <row r="1484" spans="1:28" x14ac:dyDescent="0.2">
      <c r="A1484">
        <v>1075</v>
      </c>
      <c r="B1484" t="s">
        <v>1114</v>
      </c>
      <c r="C1484" t="s">
        <v>18</v>
      </c>
      <c r="D1484" t="s">
        <v>19</v>
      </c>
      <c r="E1484" t="s">
        <v>24</v>
      </c>
      <c r="F1484" t="s">
        <v>21</v>
      </c>
      <c r="G1484" t="s">
        <v>25</v>
      </c>
      <c r="H1484" s="1">
        <v>456918</v>
      </c>
      <c r="I1484" s="3">
        <v>0</v>
      </c>
      <c r="J1484" s="3">
        <v>1168044</v>
      </c>
      <c r="K1484" s="3">
        <v>58126.7</v>
      </c>
      <c r="L1484" s="2">
        <v>13.4</v>
      </c>
      <c r="M1484" s="11">
        <v>28</v>
      </c>
      <c r="N1484" s="3">
        <v>11</v>
      </c>
      <c r="O1484" s="3">
        <v>110333</v>
      </c>
      <c r="P1484" s="3">
        <v>271854</v>
      </c>
      <c r="Q1484" s="10">
        <v>0</v>
      </c>
      <c r="R1484" s="3">
        <f>(Таблица1[Размер кредита]-$AA$2)/$AA$3</f>
        <v>0.83875393006080223</v>
      </c>
      <c r="S1484" s="3">
        <f>(Таблица1[Кредитный рейтинг]-$AA$7)/($AA$8-$AA$7)</f>
        <v>0</v>
      </c>
      <c r="T1484" s="3">
        <f>(Таблица1[Срок с последнего нарушения кредитного договора (мес,)]-$AA$12)/($AA$13-$AA$12)</f>
        <v>0.31818181818181818</v>
      </c>
      <c r="U1484" s="3">
        <f>(Таблица1[Количество кредитных карт]-$AA$18)/($AA$19-$AA$18)</f>
        <v>0.23809523809523808</v>
      </c>
      <c r="V1484" s="3">
        <f>(Таблица1[Число нарушений кредитных договоров]-$AA$23)/($AA$24-$AA$23)</f>
        <v>0</v>
      </c>
      <c r="W1484" s="3">
        <f>Таблица1[[#This Row],[Годовой доход]]/12</f>
        <v>97337</v>
      </c>
      <c r="X1484" s="3">
        <f>Таблица1[[#This Row],[Ежемесячный платеж]]/Таблица1[[#This Row],[Ежем доход]]</f>
        <v>0.59716962717157918</v>
      </c>
      <c r="Y1484" s="3"/>
      <c r="Z1484" s="3"/>
      <c r="AA1484" s="3"/>
      <c r="AB1484" s="3"/>
    </row>
    <row r="1485" spans="1:28" x14ac:dyDescent="0.2">
      <c r="A1485">
        <v>1689</v>
      </c>
      <c r="B1485" t="s">
        <v>1727</v>
      </c>
      <c r="C1485" t="s">
        <v>18</v>
      </c>
      <c r="D1485" t="s">
        <v>19</v>
      </c>
      <c r="E1485" t="s">
        <v>24</v>
      </c>
      <c r="F1485" t="s">
        <v>33</v>
      </c>
      <c r="G1485" t="s">
        <v>25</v>
      </c>
      <c r="H1485" s="1">
        <v>328614</v>
      </c>
      <c r="I1485" s="3">
        <v>0</v>
      </c>
      <c r="J1485" s="3">
        <v>1168044</v>
      </c>
      <c r="K1485" s="3">
        <v>9193.7199999999993</v>
      </c>
      <c r="L1485" s="2">
        <v>17</v>
      </c>
      <c r="M1485" s="11">
        <v>18</v>
      </c>
      <c r="N1485" s="3">
        <v>8</v>
      </c>
      <c r="O1485" s="3">
        <v>207442</v>
      </c>
      <c r="P1485" s="3">
        <v>271722</v>
      </c>
      <c r="Q1485" s="10">
        <v>1</v>
      </c>
      <c r="R1485" s="3">
        <f>(Таблица1[Размер кредита]-$AA$2)/$AA$3</f>
        <v>0.10828321709287438</v>
      </c>
      <c r="S1485" s="3">
        <f>(Таблица1[Кредитный рейтинг]-$AA$7)/($AA$8-$AA$7)</f>
        <v>0</v>
      </c>
      <c r="T1485" s="3">
        <f>(Таблица1[Срок с последнего нарушения кредитного договора (мес,)]-$AA$12)/($AA$13-$AA$12)</f>
        <v>0.20454545454545456</v>
      </c>
      <c r="U1485" s="3">
        <f>(Таблица1[Количество кредитных карт]-$AA$18)/($AA$19-$AA$18)</f>
        <v>0.16666666666666666</v>
      </c>
      <c r="V1485" s="3">
        <f>(Таблица1[Число нарушений кредитных договоров]-$AA$23)/($AA$24-$AA$23)</f>
        <v>0.14285714285714285</v>
      </c>
      <c r="W1485" s="3">
        <f>Таблица1[[#This Row],[Годовой доход]]/12</f>
        <v>97337</v>
      </c>
      <c r="X1485" s="3">
        <f>Таблица1[[#This Row],[Ежемесячный платеж]]/Таблица1[[#This Row],[Ежем доход]]</f>
        <v>9.4452469256295135E-2</v>
      </c>
      <c r="Y1485" s="3"/>
      <c r="Z1485" s="3"/>
      <c r="AA1485" s="3"/>
      <c r="AB1485" s="3"/>
    </row>
    <row r="1486" spans="1:28" x14ac:dyDescent="0.2">
      <c r="A1486">
        <v>1287</v>
      </c>
      <c r="B1486" t="s">
        <v>1326</v>
      </c>
      <c r="C1486" t="s">
        <v>18</v>
      </c>
      <c r="D1486" t="s">
        <v>19</v>
      </c>
      <c r="E1486" t="s">
        <v>30</v>
      </c>
      <c r="F1486" t="s">
        <v>33</v>
      </c>
      <c r="G1486" t="s">
        <v>25</v>
      </c>
      <c r="H1486" s="1">
        <v>173712</v>
      </c>
      <c r="I1486" s="3">
        <v>723</v>
      </c>
      <c r="J1486" s="3">
        <v>656355</v>
      </c>
      <c r="K1486" s="3">
        <v>11978.55</v>
      </c>
      <c r="L1486" s="2">
        <v>12.5</v>
      </c>
      <c r="M1486" s="11">
        <v>27</v>
      </c>
      <c r="N1486" s="3">
        <v>9</v>
      </c>
      <c r="O1486" s="3">
        <v>124051</v>
      </c>
      <c r="P1486" s="3">
        <v>271524</v>
      </c>
      <c r="Q1486" s="10">
        <v>0</v>
      </c>
      <c r="R1486" s="3">
        <f>(Таблица1[Размер кредита]-$AA$2)/$AA$3</f>
        <v>-0.77361738133085334</v>
      </c>
      <c r="S1486" s="3">
        <f>(Таблица1[Кредитный рейтинг]-$AA$7)/($AA$8-$AA$7)</f>
        <v>0.96271637816245004</v>
      </c>
      <c r="T1486" s="3">
        <f>(Таблица1[Срок с последнего нарушения кредитного договора (мес,)]-$AA$12)/($AA$13-$AA$12)</f>
        <v>0.30681818181818182</v>
      </c>
      <c r="U1486" s="3">
        <f>(Таблица1[Количество кредитных карт]-$AA$18)/($AA$19-$AA$18)</f>
        <v>0.19047619047619047</v>
      </c>
      <c r="V1486" s="3">
        <f>(Таблица1[Число нарушений кредитных договоров]-$AA$23)/($AA$24-$AA$23)</f>
        <v>0</v>
      </c>
      <c r="W1486" s="3">
        <f>Таблица1[[#This Row],[Годовой доход]]/12</f>
        <v>54696.25</v>
      </c>
      <c r="X1486" s="3">
        <f>Таблица1[[#This Row],[Ежемесячный платеж]]/Таблица1[[#This Row],[Ежем доход]]</f>
        <v>0.21900130264871906</v>
      </c>
      <c r="Y1486" s="3"/>
      <c r="Z1486" s="3"/>
      <c r="AA1486" s="3"/>
      <c r="AB1486" s="3"/>
    </row>
    <row r="1487" spans="1:28" x14ac:dyDescent="0.2">
      <c r="A1487">
        <v>1998</v>
      </c>
      <c r="B1487" t="s">
        <v>2034</v>
      </c>
      <c r="C1487" t="s">
        <v>18</v>
      </c>
      <c r="D1487" t="s">
        <v>19</v>
      </c>
      <c r="E1487" t="s">
        <v>24</v>
      </c>
      <c r="F1487" t="s">
        <v>21</v>
      </c>
      <c r="G1487" t="s">
        <v>22</v>
      </c>
      <c r="H1487" s="1">
        <v>178860</v>
      </c>
      <c r="I1487" s="3">
        <v>681</v>
      </c>
      <c r="J1487" s="3">
        <v>714457</v>
      </c>
      <c r="K1487" s="3">
        <v>11371.88</v>
      </c>
      <c r="L1487" s="2">
        <v>14.2</v>
      </c>
      <c r="M1487" s="11">
        <v>49</v>
      </c>
      <c r="N1487" s="3">
        <v>8</v>
      </c>
      <c r="O1487" s="3">
        <v>57570</v>
      </c>
      <c r="P1487" s="3">
        <v>270952</v>
      </c>
      <c r="Q1487" s="10">
        <v>2</v>
      </c>
      <c r="R1487" s="3">
        <f>(Таблица1[Размер кредита]-$AA$2)/$AA$3</f>
        <v>-0.74430837124263405</v>
      </c>
      <c r="S1487" s="3">
        <f>(Таблица1[Кредитный рейтинг]-$AA$7)/($AA$8-$AA$7)</f>
        <v>0.90679094540612515</v>
      </c>
      <c r="T1487" s="3">
        <f>(Таблица1[Срок с последнего нарушения кредитного договора (мес,)]-$AA$12)/($AA$13-$AA$12)</f>
        <v>0.55681818181818177</v>
      </c>
      <c r="U1487" s="3">
        <f>(Таблица1[Количество кредитных карт]-$AA$18)/($AA$19-$AA$18)</f>
        <v>0.16666666666666666</v>
      </c>
      <c r="V1487" s="3">
        <f>(Таблица1[Число нарушений кредитных договоров]-$AA$23)/($AA$24-$AA$23)</f>
        <v>0.2857142857142857</v>
      </c>
      <c r="W1487" s="3">
        <f>Таблица1[[#This Row],[Годовой доход]]/12</f>
        <v>59538.083333333336</v>
      </c>
      <c r="X1487" s="3">
        <f>Таблица1[[#This Row],[Ежемесячный платеж]]/Таблица1[[#This Row],[Ежем доход]]</f>
        <v>0.19100178177273089</v>
      </c>
      <c r="Y1487" s="3"/>
      <c r="Z1487" s="3"/>
      <c r="AA1487" s="3"/>
      <c r="AB1487" s="3"/>
    </row>
    <row r="1488" spans="1:28" x14ac:dyDescent="0.2">
      <c r="A1488">
        <v>1299</v>
      </c>
      <c r="B1488" t="s">
        <v>1338</v>
      </c>
      <c r="C1488" t="s">
        <v>35</v>
      </c>
      <c r="D1488" t="s">
        <v>19</v>
      </c>
      <c r="E1488" t="s">
        <v>30</v>
      </c>
      <c r="F1488" t="s">
        <v>33</v>
      </c>
      <c r="G1488" t="s">
        <v>25</v>
      </c>
      <c r="H1488" s="1">
        <v>225060</v>
      </c>
      <c r="I1488" s="3">
        <v>742</v>
      </c>
      <c r="J1488" s="3">
        <v>796917</v>
      </c>
      <c r="K1488" s="3">
        <v>17864.18</v>
      </c>
      <c r="L1488" s="2">
        <v>15.5</v>
      </c>
      <c r="M1488" s="11">
        <v>14</v>
      </c>
      <c r="N1488" s="3">
        <v>11</v>
      </c>
      <c r="O1488" s="3">
        <v>135470</v>
      </c>
      <c r="P1488" s="3">
        <v>270006</v>
      </c>
      <c r="Q1488" s="10">
        <v>0</v>
      </c>
      <c r="R1488" s="3">
        <f>(Таблица1[Размер кредита]-$AA$2)/$AA$3</f>
        <v>-0.48127879352784519</v>
      </c>
      <c r="S1488" s="3">
        <f>(Таблица1[Кредитный рейтинг]-$AA$7)/($AA$8-$AA$7)</f>
        <v>0.98801597869507318</v>
      </c>
      <c r="T1488" s="3">
        <f>(Таблица1[Срок с последнего нарушения кредитного договора (мес,)]-$AA$12)/($AA$13-$AA$12)</f>
        <v>0.15909090909090909</v>
      </c>
      <c r="U1488" s="3">
        <f>(Таблица1[Количество кредитных карт]-$AA$18)/($AA$19-$AA$18)</f>
        <v>0.23809523809523808</v>
      </c>
      <c r="V1488" s="3">
        <f>(Таблица1[Число нарушений кредитных договоров]-$AA$23)/($AA$24-$AA$23)</f>
        <v>0</v>
      </c>
      <c r="W1488" s="3">
        <f>Таблица1[[#This Row],[Годовой доход]]/12</f>
        <v>66409.75</v>
      </c>
      <c r="X1488" s="3">
        <f>Таблица1[[#This Row],[Ежемесячный платеж]]/Таблица1[[#This Row],[Ежем доход]]</f>
        <v>0.2689993562692225</v>
      </c>
      <c r="Y1488" s="3"/>
      <c r="Z1488" s="3"/>
      <c r="AA1488" s="3"/>
      <c r="AB1488" s="3"/>
    </row>
    <row r="1489" spans="1:28" x14ac:dyDescent="0.2">
      <c r="A1489">
        <v>505</v>
      </c>
      <c r="B1489" t="s">
        <v>546</v>
      </c>
      <c r="C1489" t="s">
        <v>18</v>
      </c>
      <c r="D1489" t="s">
        <v>19</v>
      </c>
      <c r="E1489" t="s">
        <v>69</v>
      </c>
      <c r="F1489" t="s">
        <v>33</v>
      </c>
      <c r="G1489" t="s">
        <v>25</v>
      </c>
      <c r="H1489" s="1">
        <v>309594.52439999999</v>
      </c>
      <c r="I1489" s="3">
        <v>735</v>
      </c>
      <c r="J1489" s="3">
        <v>799292</v>
      </c>
      <c r="K1489" s="3">
        <v>15253.01</v>
      </c>
      <c r="L1489" s="2">
        <v>11.2</v>
      </c>
      <c r="M1489" s="11">
        <v>35.265240640000002</v>
      </c>
      <c r="N1489" s="3">
        <v>6</v>
      </c>
      <c r="O1489" s="3">
        <v>195149</v>
      </c>
      <c r="P1489" s="3">
        <v>269984</v>
      </c>
      <c r="Q1489" s="10">
        <v>0</v>
      </c>
      <c r="R1489" s="3">
        <f>(Таблица1[Размер кредита]-$AA$2)/$AA$3</f>
        <v>-1.2411115481956205E-10</v>
      </c>
      <c r="S1489" s="3">
        <f>(Таблица1[Кредитный рейтинг]-$AA$7)/($AA$8-$AA$7)</f>
        <v>0.97869507323568572</v>
      </c>
      <c r="T1489" s="3">
        <f>(Таблица1[Срок с последнего нарушения кредитного договора (мес,)]-$AA$12)/($AA$13-$AA$12)</f>
        <v>0.40074137090909095</v>
      </c>
      <c r="U1489" s="3">
        <f>(Таблица1[Количество кредитных карт]-$AA$18)/($AA$19-$AA$18)</f>
        <v>0.11904761904761904</v>
      </c>
      <c r="V1489" s="3">
        <f>(Таблица1[Число нарушений кредитных договоров]-$AA$23)/($AA$24-$AA$23)</f>
        <v>0</v>
      </c>
      <c r="W1489" s="3">
        <f>Таблица1[[#This Row],[Годовой доход]]/12</f>
        <v>66607.666666666672</v>
      </c>
      <c r="X1489" s="3">
        <f>Таблица1[[#This Row],[Ежемесячный платеж]]/Таблица1[[#This Row],[Ежем доход]]</f>
        <v>0.22899781306456213</v>
      </c>
      <c r="Y1489" s="3"/>
      <c r="Z1489" s="3"/>
      <c r="AA1489" s="3"/>
      <c r="AB1489" s="3"/>
    </row>
    <row r="1490" spans="1:28" x14ac:dyDescent="0.2">
      <c r="A1490">
        <v>1401</v>
      </c>
      <c r="B1490" t="s">
        <v>1440</v>
      </c>
      <c r="C1490" t="s">
        <v>18</v>
      </c>
      <c r="D1490" t="s">
        <v>19</v>
      </c>
      <c r="E1490" t="s">
        <v>24</v>
      </c>
      <c r="F1490" t="s">
        <v>33</v>
      </c>
      <c r="G1490" t="s">
        <v>25</v>
      </c>
      <c r="H1490" s="1">
        <v>223080</v>
      </c>
      <c r="I1490" s="3">
        <v>721</v>
      </c>
      <c r="J1490" s="3">
        <v>2022930</v>
      </c>
      <c r="K1490" s="3">
        <v>14379.77</v>
      </c>
      <c r="L1490" s="2">
        <v>8.5</v>
      </c>
      <c r="M1490" s="11">
        <v>35.265240640000002</v>
      </c>
      <c r="N1490" s="3">
        <v>7</v>
      </c>
      <c r="O1490" s="3">
        <v>100852</v>
      </c>
      <c r="P1490" s="3">
        <v>269698</v>
      </c>
      <c r="Q1490" s="10">
        <v>0</v>
      </c>
      <c r="R1490" s="3">
        <f>(Таблица1[Размер кредита]-$AA$2)/$AA$3</f>
        <v>-0.49255148971562185</v>
      </c>
      <c r="S1490" s="3">
        <f>(Таблица1[Кредитный рейтинг]-$AA$7)/($AA$8-$AA$7)</f>
        <v>0.96005326231691079</v>
      </c>
      <c r="T1490" s="3">
        <f>(Таблица1[Срок с последнего нарушения кредитного договора (мес,)]-$AA$12)/($AA$13-$AA$12)</f>
        <v>0.40074137090909095</v>
      </c>
      <c r="U1490" s="3">
        <f>(Таблица1[Количество кредитных карт]-$AA$18)/($AA$19-$AA$18)</f>
        <v>0.14285714285714285</v>
      </c>
      <c r="V1490" s="3">
        <f>(Таблица1[Число нарушений кредитных договоров]-$AA$23)/($AA$24-$AA$23)</f>
        <v>0</v>
      </c>
      <c r="W1490" s="3">
        <f>Таблица1[[#This Row],[Годовой доход]]/12</f>
        <v>168577.5</v>
      </c>
      <c r="X1490" s="3">
        <f>Таблица1[[#This Row],[Ежемесячный платеж]]/Таблица1[[#This Row],[Ежем доход]]</f>
        <v>8.5300648069878846E-2</v>
      </c>
      <c r="Y1490" s="3"/>
      <c r="Z1490" s="3"/>
      <c r="AA1490" s="3"/>
      <c r="AB1490" s="3"/>
    </row>
    <row r="1491" spans="1:28" x14ac:dyDescent="0.2">
      <c r="A1491">
        <v>893</v>
      </c>
      <c r="B1491" t="s">
        <v>934</v>
      </c>
      <c r="C1491" t="s">
        <v>35</v>
      </c>
      <c r="D1491" t="s">
        <v>19</v>
      </c>
      <c r="E1491" t="s">
        <v>24</v>
      </c>
      <c r="F1491" t="s">
        <v>27</v>
      </c>
      <c r="G1491" t="s">
        <v>98</v>
      </c>
      <c r="H1491" s="1">
        <v>107734</v>
      </c>
      <c r="I1491" s="3">
        <v>729</v>
      </c>
      <c r="J1491" s="3">
        <v>651301</v>
      </c>
      <c r="K1491" s="3">
        <v>3180.6</v>
      </c>
      <c r="L1491" s="2">
        <v>17.5</v>
      </c>
      <c r="M1491" s="11">
        <v>17</v>
      </c>
      <c r="N1491" s="3">
        <v>5</v>
      </c>
      <c r="O1491" s="3">
        <v>65056</v>
      </c>
      <c r="P1491" s="3">
        <v>269038</v>
      </c>
      <c r="Q1491" s="10">
        <v>0</v>
      </c>
      <c r="R1491" s="3">
        <f>(Таблица1[Размер кредита]-$AA$2)/$AA$3</f>
        <v>-1.1492486687435446</v>
      </c>
      <c r="S1491" s="3">
        <f>(Таблица1[Кредитный рейтинг]-$AA$7)/($AA$8-$AA$7)</f>
        <v>0.97070572569906788</v>
      </c>
      <c r="T1491" s="3">
        <f>(Таблица1[Срок с последнего нарушения кредитного договора (мес,)]-$AA$12)/($AA$13-$AA$12)</f>
        <v>0.19318181818181818</v>
      </c>
      <c r="U1491" s="3">
        <f>(Таблица1[Количество кредитных карт]-$AA$18)/($AA$19-$AA$18)</f>
        <v>9.5238095238095233E-2</v>
      </c>
      <c r="V1491" s="3">
        <f>(Таблица1[Число нарушений кредитных договоров]-$AA$23)/($AA$24-$AA$23)</f>
        <v>0</v>
      </c>
      <c r="W1491" s="3">
        <f>Таблица1[[#This Row],[Годовой доход]]/12</f>
        <v>54275.083333333336</v>
      </c>
      <c r="X1491" s="3">
        <f>Таблица1[[#This Row],[Ежемесячный платеж]]/Таблица1[[#This Row],[Ежем доход]]</f>
        <v>5.8601476122407299E-2</v>
      </c>
      <c r="Y1491" s="3"/>
      <c r="Z1491" s="3"/>
      <c r="AA1491" s="3"/>
      <c r="AB1491" s="3"/>
    </row>
    <row r="1492" spans="1:28" x14ac:dyDescent="0.2">
      <c r="A1492">
        <v>1715</v>
      </c>
      <c r="B1492" t="s">
        <v>1753</v>
      </c>
      <c r="C1492" t="s">
        <v>18</v>
      </c>
      <c r="D1492" t="s">
        <v>29</v>
      </c>
      <c r="E1492" t="s">
        <v>30</v>
      </c>
      <c r="F1492" t="s">
        <v>33</v>
      </c>
      <c r="G1492" t="s">
        <v>25</v>
      </c>
      <c r="H1492" s="1">
        <v>257950</v>
      </c>
      <c r="I1492" s="3">
        <v>730</v>
      </c>
      <c r="J1492" s="3">
        <v>851466</v>
      </c>
      <c r="K1492" s="3">
        <v>19299.63</v>
      </c>
      <c r="L1492" s="2">
        <v>8.1999999999999993</v>
      </c>
      <c r="M1492" s="11">
        <v>35.265240640000002</v>
      </c>
      <c r="N1492" s="3">
        <v>7</v>
      </c>
      <c r="O1492" s="3">
        <v>144438</v>
      </c>
      <c r="P1492" s="3">
        <v>268884</v>
      </c>
      <c r="Q1492" s="10">
        <v>0</v>
      </c>
      <c r="R1492" s="3">
        <f>(Таблица1[Размер кредита]-$AA$2)/$AA$3</f>
        <v>-0.29402678463088838</v>
      </c>
      <c r="S1492" s="3">
        <f>(Таблица1[Кредитный рейтинг]-$AA$7)/($AA$8-$AA$7)</f>
        <v>0.9720372836218375</v>
      </c>
      <c r="T1492" s="3">
        <f>(Таблица1[Срок с последнего нарушения кредитного договора (мес,)]-$AA$12)/($AA$13-$AA$12)</f>
        <v>0.40074137090909095</v>
      </c>
      <c r="U1492" s="3">
        <f>(Таблица1[Количество кредитных карт]-$AA$18)/($AA$19-$AA$18)</f>
        <v>0.14285714285714285</v>
      </c>
      <c r="V1492" s="3">
        <f>(Таблица1[Число нарушений кредитных договоров]-$AA$23)/($AA$24-$AA$23)</f>
        <v>0</v>
      </c>
      <c r="W1492" s="3">
        <f>Таблица1[[#This Row],[Годовой доход]]/12</f>
        <v>70955.5</v>
      </c>
      <c r="X1492" s="3">
        <f>Таблица1[[#This Row],[Ежемесячный платеж]]/Таблица1[[#This Row],[Ежем доход]]</f>
        <v>0.27199625117150894</v>
      </c>
      <c r="Y1492" s="3"/>
      <c r="Z1492" s="3"/>
      <c r="AA1492" s="3"/>
      <c r="AB1492" s="3"/>
    </row>
    <row r="1493" spans="1:28" x14ac:dyDescent="0.2">
      <c r="A1493">
        <v>33</v>
      </c>
      <c r="B1493" t="s">
        <v>72</v>
      </c>
      <c r="C1493" t="s">
        <v>35</v>
      </c>
      <c r="D1493" t="s">
        <v>19</v>
      </c>
      <c r="E1493" t="s">
        <v>37</v>
      </c>
      <c r="F1493" t="s">
        <v>33</v>
      </c>
      <c r="G1493" t="s">
        <v>25</v>
      </c>
      <c r="H1493" s="1">
        <v>130174</v>
      </c>
      <c r="I1493" s="3">
        <v>733</v>
      </c>
      <c r="J1493" s="3">
        <v>524609</v>
      </c>
      <c r="K1493" s="3">
        <v>9311.7099999999991</v>
      </c>
      <c r="L1493" s="2">
        <v>15.4</v>
      </c>
      <c r="M1493" s="11">
        <v>35.265240640000002</v>
      </c>
      <c r="N1493" s="3">
        <v>7</v>
      </c>
      <c r="O1493" s="3">
        <v>130701</v>
      </c>
      <c r="P1493" s="3">
        <v>268818</v>
      </c>
      <c r="Q1493" s="10">
        <v>1</v>
      </c>
      <c r="R1493" s="3">
        <f>(Таблица1[Размер кредита]-$AA$2)/$AA$3</f>
        <v>-1.0214914452820758</v>
      </c>
      <c r="S1493" s="3">
        <f>(Таблица1[Кредитный рейтинг]-$AA$7)/($AA$8-$AA$7)</f>
        <v>0.97603195739014648</v>
      </c>
      <c r="T1493" s="3">
        <f>(Таблица1[Срок с последнего нарушения кредитного договора (мес,)]-$AA$12)/($AA$13-$AA$12)</f>
        <v>0.40074137090909095</v>
      </c>
      <c r="U1493" s="3">
        <f>(Таблица1[Количество кредитных карт]-$AA$18)/($AA$19-$AA$18)</f>
        <v>0.14285714285714285</v>
      </c>
      <c r="V1493" s="3">
        <f>(Таблица1[Число нарушений кредитных договоров]-$AA$23)/($AA$24-$AA$23)</f>
        <v>0.14285714285714285</v>
      </c>
      <c r="W1493" s="3">
        <f>Таблица1[[#This Row],[Годовой доход]]/12</f>
        <v>43717.416666666664</v>
      </c>
      <c r="X1493" s="3">
        <f>Таблица1[[#This Row],[Ежемесячный платеж]]/Таблица1[[#This Row],[Ежем доход]]</f>
        <v>0.21299771830067726</v>
      </c>
      <c r="Y1493" s="3"/>
      <c r="Z1493" s="3"/>
      <c r="AA1493" s="3"/>
      <c r="AB1493" s="3"/>
    </row>
    <row r="1494" spans="1:28" x14ac:dyDescent="0.2">
      <c r="A1494">
        <v>1779</v>
      </c>
      <c r="B1494" t="s">
        <v>1817</v>
      </c>
      <c r="C1494" t="s">
        <v>18</v>
      </c>
      <c r="D1494" t="s">
        <v>29</v>
      </c>
      <c r="E1494" t="s">
        <v>63</v>
      </c>
      <c r="F1494" t="s">
        <v>33</v>
      </c>
      <c r="G1494" t="s">
        <v>2038</v>
      </c>
      <c r="H1494" s="1">
        <v>309594.52439999999</v>
      </c>
      <c r="I1494" s="3">
        <v>637</v>
      </c>
      <c r="J1494" s="3">
        <v>1482760</v>
      </c>
      <c r="K1494" s="3">
        <v>10552.22</v>
      </c>
      <c r="L1494" s="2">
        <v>8.1999999999999993</v>
      </c>
      <c r="M1494" s="11">
        <v>35.265240640000002</v>
      </c>
      <c r="N1494" s="3">
        <v>5</v>
      </c>
      <c r="O1494" s="3">
        <v>22724</v>
      </c>
      <c r="P1494" s="3">
        <v>268488</v>
      </c>
      <c r="Q1494" s="10">
        <v>0</v>
      </c>
      <c r="R1494" s="3">
        <f>(Таблица1[Размер кредита]-$AA$2)/$AA$3</f>
        <v>-1.2411115481956205E-10</v>
      </c>
      <c r="S1494" s="3">
        <f>(Таблица1[Кредитный рейтинг]-$AA$7)/($AA$8-$AA$7)</f>
        <v>0.84820239680426102</v>
      </c>
      <c r="T1494" s="3">
        <f>(Таблица1[Срок с последнего нарушения кредитного договора (мес,)]-$AA$12)/($AA$13-$AA$12)</f>
        <v>0.40074137090909095</v>
      </c>
      <c r="U1494" s="3">
        <f>(Таблица1[Количество кредитных карт]-$AA$18)/($AA$19-$AA$18)</f>
        <v>9.5238095238095233E-2</v>
      </c>
      <c r="V1494" s="3">
        <f>(Таблица1[Число нарушений кредитных договоров]-$AA$23)/($AA$24-$AA$23)</f>
        <v>0</v>
      </c>
      <c r="W1494" s="3">
        <f>Таблица1[[#This Row],[Годовой доход]]/12</f>
        <v>123563.33333333333</v>
      </c>
      <c r="X1494" s="3">
        <f>Таблица1[[#This Row],[Ежемесячный платеж]]/Таблица1[[#This Row],[Ежем доход]]</f>
        <v>8.5399282419272166E-2</v>
      </c>
      <c r="Y1494" s="3"/>
      <c r="Z1494" s="3"/>
      <c r="AA1494" s="3"/>
      <c r="AB1494" s="3"/>
    </row>
    <row r="1495" spans="1:28" x14ac:dyDescent="0.2">
      <c r="A1495">
        <v>1159</v>
      </c>
      <c r="B1495" t="s">
        <v>1198</v>
      </c>
      <c r="C1495" t="s">
        <v>35</v>
      </c>
      <c r="D1495" t="s">
        <v>19</v>
      </c>
      <c r="E1495" t="s">
        <v>47</v>
      </c>
      <c r="F1495" t="s">
        <v>33</v>
      </c>
      <c r="G1495" t="s">
        <v>25</v>
      </c>
      <c r="H1495" s="1">
        <v>178860</v>
      </c>
      <c r="I1495" s="3">
        <v>704</v>
      </c>
      <c r="J1495" s="3">
        <v>1062043</v>
      </c>
      <c r="K1495" s="3">
        <v>13983.43</v>
      </c>
      <c r="L1495" s="2">
        <v>7</v>
      </c>
      <c r="M1495" s="11">
        <v>35.265240640000002</v>
      </c>
      <c r="N1495" s="3">
        <v>6</v>
      </c>
      <c r="O1495" s="3">
        <v>145730</v>
      </c>
      <c r="P1495" s="3">
        <v>268268</v>
      </c>
      <c r="Q1495" s="10">
        <v>0</v>
      </c>
      <c r="R1495" s="3">
        <f>(Таблица1[Размер кредита]-$AA$2)/$AA$3</f>
        <v>-0.74430837124263405</v>
      </c>
      <c r="S1495" s="3">
        <f>(Таблица1[Кредитный рейтинг]-$AA$7)/($AA$8-$AA$7)</f>
        <v>0.93741677762982689</v>
      </c>
      <c r="T1495" s="3">
        <f>(Таблица1[Срок с последнего нарушения кредитного договора (мес,)]-$AA$12)/($AA$13-$AA$12)</f>
        <v>0.40074137090909095</v>
      </c>
      <c r="U1495" s="3">
        <f>(Таблица1[Количество кредитных карт]-$AA$18)/($AA$19-$AA$18)</f>
        <v>0.11904761904761904</v>
      </c>
      <c r="V1495" s="3">
        <f>(Таблица1[Число нарушений кредитных договоров]-$AA$23)/($AA$24-$AA$23)</f>
        <v>0</v>
      </c>
      <c r="W1495" s="3">
        <f>Таблица1[[#This Row],[Годовой доход]]/12</f>
        <v>88503.583333333328</v>
      </c>
      <c r="X1495" s="3">
        <f>Таблица1[[#This Row],[Ежемесячный платеж]]/Таблица1[[#This Row],[Ежем доход]]</f>
        <v>0.15799846145589211</v>
      </c>
      <c r="Y1495" s="3"/>
      <c r="Z1495" s="3"/>
      <c r="AA1495" s="3"/>
      <c r="AB1495" s="3"/>
    </row>
    <row r="1496" spans="1:28" x14ac:dyDescent="0.2">
      <c r="A1496">
        <v>1278</v>
      </c>
      <c r="B1496" t="s">
        <v>1317</v>
      </c>
      <c r="C1496" t="s">
        <v>35</v>
      </c>
      <c r="D1496" t="s">
        <v>29</v>
      </c>
      <c r="E1496" t="s">
        <v>69</v>
      </c>
      <c r="F1496" t="s">
        <v>21</v>
      </c>
      <c r="G1496" t="s">
        <v>25</v>
      </c>
      <c r="H1496" s="1">
        <v>127952</v>
      </c>
      <c r="I1496" s="3">
        <v>733</v>
      </c>
      <c r="J1496" s="3">
        <v>1222536</v>
      </c>
      <c r="K1496" s="3">
        <v>16076.28</v>
      </c>
      <c r="L1496" s="2">
        <v>22.1</v>
      </c>
      <c r="M1496" s="11">
        <v>58</v>
      </c>
      <c r="N1496" s="3">
        <v>8</v>
      </c>
      <c r="O1496" s="3">
        <v>92169</v>
      </c>
      <c r="P1496" s="3">
        <v>268136</v>
      </c>
      <c r="Q1496" s="10">
        <v>0</v>
      </c>
      <c r="R1496" s="3">
        <f>(Таблица1[Размер кредита]-$AA$2)/$AA$3</f>
        <v>-1.0341419154483584</v>
      </c>
      <c r="S1496" s="3">
        <f>(Таблица1[Кредитный рейтинг]-$AA$7)/($AA$8-$AA$7)</f>
        <v>0.97603195739014648</v>
      </c>
      <c r="T1496" s="3">
        <f>(Таблица1[Срок с последнего нарушения кредитного договора (мес,)]-$AA$12)/($AA$13-$AA$12)</f>
        <v>0.65909090909090906</v>
      </c>
      <c r="U1496" s="3">
        <f>(Таблица1[Количество кредитных карт]-$AA$18)/($AA$19-$AA$18)</f>
        <v>0.16666666666666666</v>
      </c>
      <c r="V1496" s="3">
        <f>(Таблица1[Число нарушений кредитных договоров]-$AA$23)/($AA$24-$AA$23)</f>
        <v>0</v>
      </c>
      <c r="W1496" s="3">
        <f>Таблица1[[#This Row],[Годовой доход]]/12</f>
        <v>101878</v>
      </c>
      <c r="X1496" s="3">
        <f>Таблица1[[#This Row],[Ежемесячный платеж]]/Таблица1[[#This Row],[Ежем доход]]</f>
        <v>0.15779932860872808</v>
      </c>
      <c r="Y1496" s="3"/>
      <c r="Z1496" s="3"/>
      <c r="AA1496" s="3"/>
      <c r="AB1496" s="3"/>
    </row>
    <row r="1497" spans="1:28" x14ac:dyDescent="0.2">
      <c r="A1497">
        <v>1599</v>
      </c>
      <c r="B1497" t="s">
        <v>1638</v>
      </c>
      <c r="C1497" t="s">
        <v>18</v>
      </c>
      <c r="D1497" t="s">
        <v>19</v>
      </c>
      <c r="E1497" t="s">
        <v>32</v>
      </c>
      <c r="F1497" t="s">
        <v>27</v>
      </c>
      <c r="G1497" t="s">
        <v>67</v>
      </c>
      <c r="H1497" s="1">
        <v>78452</v>
      </c>
      <c r="I1497" s="3">
        <v>724</v>
      </c>
      <c r="J1497" s="3">
        <v>941070</v>
      </c>
      <c r="K1497" s="3">
        <v>22507.21</v>
      </c>
      <c r="L1497" s="2">
        <v>22.4</v>
      </c>
      <c r="M1497" s="11">
        <v>38</v>
      </c>
      <c r="N1497" s="3">
        <v>13</v>
      </c>
      <c r="O1497" s="3">
        <v>43738</v>
      </c>
      <c r="P1497" s="3">
        <v>267960</v>
      </c>
      <c r="Q1497" s="10">
        <v>0</v>
      </c>
      <c r="R1497" s="3">
        <f>(Таблица1[Размер кредита]-$AA$2)/$AA$3</f>
        <v>-1.3159593201427751</v>
      </c>
      <c r="S1497" s="3">
        <f>(Таблица1[Кредитный рейтинг]-$AA$7)/($AA$8-$AA$7)</f>
        <v>0.96404793608521966</v>
      </c>
      <c r="T1497" s="3">
        <f>(Таблица1[Срок с последнего нарушения кредитного договора (мес,)]-$AA$12)/($AA$13-$AA$12)</f>
        <v>0.43181818181818182</v>
      </c>
      <c r="U1497" s="3">
        <f>(Таблица1[Количество кредитных карт]-$AA$18)/($AA$19-$AA$18)</f>
        <v>0.2857142857142857</v>
      </c>
      <c r="V1497" s="3">
        <f>(Таблица1[Число нарушений кредитных договоров]-$AA$23)/($AA$24-$AA$23)</f>
        <v>0</v>
      </c>
      <c r="W1497" s="3">
        <f>Таблица1[[#This Row],[Годовой доход]]/12</f>
        <v>78422.5</v>
      </c>
      <c r="X1497" s="3">
        <f>Таблица1[[#This Row],[Ежемесячный платеж]]/Таблица1[[#This Row],[Ежем доход]]</f>
        <v>0.28699939430648091</v>
      </c>
      <c r="Y1497" s="3"/>
      <c r="Z1497" s="3"/>
      <c r="AA1497" s="3"/>
      <c r="AB1497" s="3"/>
    </row>
    <row r="1498" spans="1:28" x14ac:dyDescent="0.2">
      <c r="A1498">
        <v>101</v>
      </c>
      <c r="B1498" t="s">
        <v>143</v>
      </c>
      <c r="C1498" t="s">
        <v>18</v>
      </c>
      <c r="D1498" t="s">
        <v>19</v>
      </c>
      <c r="E1498" t="s">
        <v>24</v>
      </c>
      <c r="F1498" t="s">
        <v>21</v>
      </c>
      <c r="G1498" t="s">
        <v>25</v>
      </c>
      <c r="H1498" s="1">
        <v>166672</v>
      </c>
      <c r="I1498" s="3">
        <v>705</v>
      </c>
      <c r="J1498" s="3">
        <v>1048667</v>
      </c>
      <c r="K1498" s="3">
        <v>16166.91</v>
      </c>
      <c r="L1498" s="2">
        <v>16</v>
      </c>
      <c r="M1498" s="11">
        <v>18</v>
      </c>
      <c r="N1498" s="3">
        <v>10</v>
      </c>
      <c r="O1498" s="3">
        <v>167656</v>
      </c>
      <c r="P1498" s="3">
        <v>267014</v>
      </c>
      <c r="Q1498" s="10">
        <v>0</v>
      </c>
      <c r="R1498" s="3">
        <f>(Таблица1[Размер кредита]-$AA$2)/$AA$3</f>
        <v>-0.81369807888739265</v>
      </c>
      <c r="S1498" s="3">
        <f>(Таблица1[Кредитный рейтинг]-$AA$7)/($AA$8-$AA$7)</f>
        <v>0.93874833555259651</v>
      </c>
      <c r="T1498" s="3">
        <f>(Таблица1[Срок с последнего нарушения кредитного договора (мес,)]-$AA$12)/($AA$13-$AA$12)</f>
        <v>0.20454545454545456</v>
      </c>
      <c r="U1498" s="3">
        <f>(Таблица1[Количество кредитных карт]-$AA$18)/($AA$19-$AA$18)</f>
        <v>0.21428571428571427</v>
      </c>
      <c r="V1498" s="3">
        <f>(Таблица1[Число нарушений кредитных договоров]-$AA$23)/($AA$24-$AA$23)</f>
        <v>0</v>
      </c>
      <c r="W1498" s="3">
        <f>Таблица1[[#This Row],[Годовой доход]]/12</f>
        <v>87388.916666666672</v>
      </c>
      <c r="X1498" s="3">
        <f>Таблица1[[#This Row],[Ежемесячный платеж]]/Таблица1[[#This Row],[Ежем доход]]</f>
        <v>0.1849995470440092</v>
      </c>
      <c r="Y1498" s="3"/>
      <c r="Z1498" s="3"/>
      <c r="AA1498" s="3"/>
      <c r="AB1498" s="3"/>
    </row>
    <row r="1499" spans="1:28" x14ac:dyDescent="0.2">
      <c r="A1499">
        <v>1807</v>
      </c>
      <c r="B1499" t="s">
        <v>1845</v>
      </c>
      <c r="C1499" t="s">
        <v>35</v>
      </c>
      <c r="D1499" t="s">
        <v>19</v>
      </c>
      <c r="E1499" t="s">
        <v>41</v>
      </c>
      <c r="F1499" t="s">
        <v>33</v>
      </c>
      <c r="G1499" t="s">
        <v>25</v>
      </c>
      <c r="H1499" s="1">
        <v>183744</v>
      </c>
      <c r="I1499" s="3">
        <v>0</v>
      </c>
      <c r="J1499" s="3">
        <v>1168044</v>
      </c>
      <c r="K1499" s="3">
        <v>16860.79</v>
      </c>
      <c r="L1499" s="2">
        <v>12.8</v>
      </c>
      <c r="M1499" s="11">
        <v>35.265240640000002</v>
      </c>
      <c r="N1499" s="3">
        <v>8</v>
      </c>
      <c r="O1499" s="3">
        <v>165680</v>
      </c>
      <c r="P1499" s="3">
        <v>266794</v>
      </c>
      <c r="Q1499" s="10">
        <v>0</v>
      </c>
      <c r="R1499" s="3">
        <f>(Таблица1[Размер кредита]-$AA$2)/$AA$3</f>
        <v>-0.71650238731278493</v>
      </c>
      <c r="S1499" s="3">
        <f>(Таблица1[Кредитный рейтинг]-$AA$7)/($AA$8-$AA$7)</f>
        <v>0</v>
      </c>
      <c r="T1499" s="3">
        <f>(Таблица1[Срок с последнего нарушения кредитного договора (мес,)]-$AA$12)/($AA$13-$AA$12)</f>
        <v>0.40074137090909095</v>
      </c>
      <c r="U1499" s="3">
        <f>(Таблица1[Количество кредитных карт]-$AA$18)/($AA$19-$AA$18)</f>
        <v>0.16666666666666666</v>
      </c>
      <c r="V1499" s="3">
        <f>(Таблица1[Число нарушений кредитных договоров]-$AA$23)/($AA$24-$AA$23)</f>
        <v>0</v>
      </c>
      <c r="W1499" s="3">
        <f>Таблица1[[#This Row],[Годовой доход]]/12</f>
        <v>97337</v>
      </c>
      <c r="X1499" s="3">
        <f>Таблица1[[#This Row],[Ежемесячный платеж]]/Таблица1[[#This Row],[Ежем доход]]</f>
        <v>0.17322076908061684</v>
      </c>
      <c r="Y1499" s="3"/>
      <c r="Z1499" s="3"/>
      <c r="AA1499" s="3"/>
      <c r="AB1499" s="3"/>
    </row>
    <row r="1500" spans="1:28" x14ac:dyDescent="0.2">
      <c r="A1500">
        <v>98</v>
      </c>
      <c r="B1500" t="s">
        <v>140</v>
      </c>
      <c r="C1500" t="s">
        <v>35</v>
      </c>
      <c r="D1500" t="s">
        <v>19</v>
      </c>
      <c r="E1500" t="s">
        <v>41</v>
      </c>
      <c r="F1500" t="s">
        <v>33</v>
      </c>
      <c r="G1500" t="s">
        <v>67</v>
      </c>
      <c r="H1500" s="1">
        <v>78738</v>
      </c>
      <c r="I1500" s="3">
        <v>624</v>
      </c>
      <c r="J1500" s="3">
        <v>536370</v>
      </c>
      <c r="K1500" s="3">
        <v>14034.92</v>
      </c>
      <c r="L1500" s="2">
        <v>10.5</v>
      </c>
      <c r="M1500" s="11">
        <v>15</v>
      </c>
      <c r="N1500" s="3">
        <v>14</v>
      </c>
      <c r="O1500" s="3">
        <v>138586</v>
      </c>
      <c r="P1500" s="3">
        <v>266112</v>
      </c>
      <c r="Q1500" s="10">
        <v>0</v>
      </c>
      <c r="R1500" s="3">
        <f>(Таблица1[Размер кредита]-$AA$2)/$AA$3</f>
        <v>-1.3143310418045406</v>
      </c>
      <c r="S1500" s="3">
        <f>(Таблица1[Кредитный рейтинг]-$AA$7)/($AA$8-$AA$7)</f>
        <v>0.83089214380825571</v>
      </c>
      <c r="T1500" s="3">
        <f>(Таблица1[Срок с последнего нарушения кредитного договора (мес,)]-$AA$12)/($AA$13-$AA$12)</f>
        <v>0.17045454545454544</v>
      </c>
      <c r="U1500" s="3">
        <f>(Таблица1[Количество кредитных карт]-$AA$18)/($AA$19-$AA$18)</f>
        <v>0.30952380952380953</v>
      </c>
      <c r="V1500" s="3">
        <f>(Таблица1[Число нарушений кредитных договоров]-$AA$23)/($AA$24-$AA$23)</f>
        <v>0</v>
      </c>
      <c r="W1500" s="3">
        <f>Таблица1[[#This Row],[Годовой доход]]/12</f>
        <v>44697.5</v>
      </c>
      <c r="X1500" s="3">
        <f>Таблица1[[#This Row],[Ежемесячный платеж]]/Таблица1[[#This Row],[Ежем доход]]</f>
        <v>0.31399787460148776</v>
      </c>
      <c r="Y1500" s="3"/>
      <c r="Z1500" s="3"/>
      <c r="AA1500" s="3"/>
      <c r="AB1500" s="3"/>
    </row>
    <row r="1501" spans="1:28" x14ac:dyDescent="0.2">
      <c r="A1501">
        <v>393</v>
      </c>
      <c r="B1501" t="s">
        <v>435</v>
      </c>
      <c r="C1501" t="s">
        <v>18</v>
      </c>
      <c r="D1501" t="s">
        <v>19</v>
      </c>
      <c r="E1501" t="s">
        <v>30</v>
      </c>
      <c r="F1501" t="s">
        <v>33</v>
      </c>
      <c r="G1501" t="s">
        <v>25</v>
      </c>
      <c r="H1501" s="1">
        <v>309594.52439999999</v>
      </c>
      <c r="I1501" s="3">
        <v>731</v>
      </c>
      <c r="J1501" s="3">
        <v>1307124</v>
      </c>
      <c r="K1501" s="3">
        <v>13724.84</v>
      </c>
      <c r="L1501" s="2">
        <v>11.2</v>
      </c>
      <c r="M1501" s="11">
        <v>35.265240640000002</v>
      </c>
      <c r="N1501" s="3">
        <v>7</v>
      </c>
      <c r="O1501" s="3">
        <v>273182</v>
      </c>
      <c r="P1501" s="3">
        <v>266024</v>
      </c>
      <c r="Q1501" s="10">
        <v>0</v>
      </c>
      <c r="R1501" s="3">
        <f>(Таблица1[Размер кредита]-$AA$2)/$AA$3</f>
        <v>-1.2411115481956205E-10</v>
      </c>
      <c r="S1501" s="3">
        <f>(Таблица1[Кредитный рейтинг]-$AA$7)/($AA$8-$AA$7)</f>
        <v>0.97336884154460723</v>
      </c>
      <c r="T1501" s="3">
        <f>(Таблица1[Срок с последнего нарушения кредитного договора (мес,)]-$AA$12)/($AA$13-$AA$12)</f>
        <v>0.40074137090909095</v>
      </c>
      <c r="U1501" s="3">
        <f>(Таблица1[Количество кредитных карт]-$AA$18)/($AA$19-$AA$18)</f>
        <v>0.14285714285714285</v>
      </c>
      <c r="V1501" s="3">
        <f>(Таблица1[Число нарушений кредитных договоров]-$AA$23)/($AA$24-$AA$23)</f>
        <v>0</v>
      </c>
      <c r="W1501" s="3">
        <f>Таблица1[[#This Row],[Годовой доход]]/12</f>
        <v>108927</v>
      </c>
      <c r="X1501" s="3">
        <f>Таблица1[[#This Row],[Ежемесячный платеж]]/Таблица1[[#This Row],[Ежем доход]]</f>
        <v>0.12600034885749173</v>
      </c>
      <c r="Y1501" s="3"/>
      <c r="Z1501" s="3"/>
      <c r="AA1501" s="3"/>
      <c r="AB1501" s="3"/>
    </row>
    <row r="1502" spans="1:28" x14ac:dyDescent="0.2">
      <c r="A1502">
        <v>49</v>
      </c>
      <c r="B1502" t="s">
        <v>89</v>
      </c>
      <c r="C1502" t="s">
        <v>18</v>
      </c>
      <c r="D1502" t="s">
        <v>19</v>
      </c>
      <c r="E1502" t="s">
        <v>20</v>
      </c>
      <c r="F1502" t="s">
        <v>33</v>
      </c>
      <c r="G1502" t="s">
        <v>25</v>
      </c>
      <c r="H1502" s="1">
        <v>439428</v>
      </c>
      <c r="I1502" s="3">
        <v>710</v>
      </c>
      <c r="J1502" s="3">
        <v>1518024</v>
      </c>
      <c r="K1502" s="3">
        <v>20923.560000000001</v>
      </c>
      <c r="L1502" s="2">
        <v>17.8</v>
      </c>
      <c r="M1502" s="11">
        <v>35.265240640000002</v>
      </c>
      <c r="N1502" s="3">
        <v>11</v>
      </c>
      <c r="O1502" s="3">
        <v>209304</v>
      </c>
      <c r="P1502" s="3">
        <v>265716</v>
      </c>
      <c r="Q1502" s="10">
        <v>0</v>
      </c>
      <c r="R1502" s="3">
        <f>(Таблица1[Размер кредита]-$AA$2)/$AA$3</f>
        <v>0.739178447068775</v>
      </c>
      <c r="S1502" s="3">
        <f>(Таблица1[Кредитный рейтинг]-$AA$7)/($AA$8-$AA$7)</f>
        <v>0.94540612516644473</v>
      </c>
      <c r="T1502" s="3">
        <f>(Таблица1[Срок с последнего нарушения кредитного договора (мес,)]-$AA$12)/($AA$13-$AA$12)</f>
        <v>0.40074137090909095</v>
      </c>
      <c r="U1502" s="3">
        <f>(Таблица1[Количество кредитных карт]-$AA$18)/($AA$19-$AA$18)</f>
        <v>0.23809523809523808</v>
      </c>
      <c r="V1502" s="3">
        <f>(Таблица1[Число нарушений кредитных договоров]-$AA$23)/($AA$24-$AA$23)</f>
        <v>0</v>
      </c>
      <c r="W1502" s="3">
        <f>Таблица1[[#This Row],[Годовой доход]]/12</f>
        <v>126502</v>
      </c>
      <c r="X1502" s="3">
        <f>Таблица1[[#This Row],[Ежемесячный платеж]]/Таблица1[[#This Row],[Ежем доход]]</f>
        <v>0.16540102132772605</v>
      </c>
      <c r="Y1502" s="3"/>
      <c r="Z1502" s="3"/>
      <c r="AA1502" s="3"/>
      <c r="AB1502" s="3"/>
    </row>
    <row r="1503" spans="1:28" x14ac:dyDescent="0.2">
      <c r="A1503">
        <v>1416</v>
      </c>
      <c r="B1503" t="s">
        <v>1455</v>
      </c>
      <c r="C1503" t="s">
        <v>18</v>
      </c>
      <c r="D1503" t="s">
        <v>19</v>
      </c>
      <c r="E1503" t="s">
        <v>30</v>
      </c>
      <c r="F1503" t="s">
        <v>27</v>
      </c>
      <c r="G1503" t="s">
        <v>25</v>
      </c>
      <c r="H1503" s="1">
        <v>348348</v>
      </c>
      <c r="I1503" s="3">
        <v>709</v>
      </c>
      <c r="J1503" s="3">
        <v>846108</v>
      </c>
      <c r="K1503" s="3">
        <v>6938.04</v>
      </c>
      <c r="L1503" s="2">
        <v>14.9</v>
      </c>
      <c r="M1503" s="11">
        <v>35.265240640000002</v>
      </c>
      <c r="N1503" s="3">
        <v>8</v>
      </c>
      <c r="O1503" s="3">
        <v>190817</v>
      </c>
      <c r="P1503" s="3">
        <v>265562</v>
      </c>
      <c r="Q1503" s="10">
        <v>0</v>
      </c>
      <c r="R1503" s="3">
        <f>(Таблица1[Размер кредита]-$AA$2)/$AA$3</f>
        <v>0.22063442243104847</v>
      </c>
      <c r="S1503" s="3">
        <f>(Таблица1[Кредитный рейтинг]-$AA$7)/($AA$8-$AA$7)</f>
        <v>0.94407456724367511</v>
      </c>
      <c r="T1503" s="3">
        <f>(Таблица1[Срок с последнего нарушения кредитного договора (мес,)]-$AA$12)/($AA$13-$AA$12)</f>
        <v>0.40074137090909095</v>
      </c>
      <c r="U1503" s="3">
        <f>(Таблица1[Количество кредитных карт]-$AA$18)/($AA$19-$AA$18)</f>
        <v>0.16666666666666666</v>
      </c>
      <c r="V1503" s="3">
        <f>(Таблица1[Число нарушений кредитных договоров]-$AA$23)/($AA$24-$AA$23)</f>
        <v>0</v>
      </c>
      <c r="W1503" s="3">
        <f>Таблица1[[#This Row],[Годовой доход]]/12</f>
        <v>70509</v>
      </c>
      <c r="X1503" s="3">
        <f>Таблица1[[#This Row],[Ежемесячный платеж]]/Таблица1[[#This Row],[Ежем доход]]</f>
        <v>9.8399353274050125E-2</v>
      </c>
      <c r="Y1503" s="3"/>
      <c r="Z1503" s="3"/>
      <c r="AA1503" s="3"/>
      <c r="AB1503" s="3"/>
    </row>
    <row r="1504" spans="1:28" x14ac:dyDescent="0.2">
      <c r="A1504">
        <v>1153</v>
      </c>
      <c r="B1504" t="s">
        <v>1192</v>
      </c>
      <c r="C1504" t="s">
        <v>18</v>
      </c>
      <c r="D1504" t="s">
        <v>29</v>
      </c>
      <c r="E1504" t="s">
        <v>63</v>
      </c>
      <c r="F1504" t="s">
        <v>21</v>
      </c>
      <c r="G1504" t="s">
        <v>25</v>
      </c>
      <c r="H1504" s="1">
        <v>249546</v>
      </c>
      <c r="I1504" s="3">
        <v>724</v>
      </c>
      <c r="J1504" s="3">
        <v>2309184</v>
      </c>
      <c r="K1504" s="3">
        <v>16279.77</v>
      </c>
      <c r="L1504" s="2">
        <v>18.8</v>
      </c>
      <c r="M1504" s="11">
        <v>18</v>
      </c>
      <c r="N1504" s="3">
        <v>8</v>
      </c>
      <c r="O1504" s="3">
        <v>60743</v>
      </c>
      <c r="P1504" s="3">
        <v>265430</v>
      </c>
      <c r="Q1504" s="10">
        <v>0</v>
      </c>
      <c r="R1504" s="3">
        <f>(Таблица1[Размер кредита]-$AA$2)/$AA$3</f>
        <v>-0.3418731173390071</v>
      </c>
      <c r="S1504" s="3">
        <f>(Таблица1[Кредитный рейтинг]-$AA$7)/($AA$8-$AA$7)</f>
        <v>0.96404793608521966</v>
      </c>
      <c r="T1504" s="3">
        <f>(Таблица1[Срок с последнего нарушения кредитного договора (мес,)]-$AA$12)/($AA$13-$AA$12)</f>
        <v>0.20454545454545456</v>
      </c>
      <c r="U1504" s="3">
        <f>(Таблица1[Количество кредитных карт]-$AA$18)/($AA$19-$AA$18)</f>
        <v>0.16666666666666666</v>
      </c>
      <c r="V1504" s="3">
        <f>(Таблица1[Число нарушений кредитных договоров]-$AA$23)/($AA$24-$AA$23)</f>
        <v>0</v>
      </c>
      <c r="W1504" s="3">
        <f>Таблица1[[#This Row],[Годовой доход]]/12</f>
        <v>192432</v>
      </c>
      <c r="X1504" s="3">
        <f>Таблица1[[#This Row],[Ежемесячный платеж]]/Таблица1[[#This Row],[Ежем доход]]</f>
        <v>8.4600118483412326E-2</v>
      </c>
      <c r="Y1504" s="3"/>
      <c r="Z1504" s="3"/>
      <c r="AA1504" s="3"/>
      <c r="AB1504" s="3"/>
    </row>
    <row r="1505" spans="1:28" x14ac:dyDescent="0.2">
      <c r="A1505">
        <v>1424</v>
      </c>
      <c r="B1505" t="s">
        <v>1463</v>
      </c>
      <c r="C1505" t="s">
        <v>18</v>
      </c>
      <c r="D1505" t="s">
        <v>19</v>
      </c>
      <c r="E1505" t="s">
        <v>24</v>
      </c>
      <c r="F1505" t="s">
        <v>21</v>
      </c>
      <c r="G1505" t="s">
        <v>70</v>
      </c>
      <c r="H1505" s="1">
        <v>668712</v>
      </c>
      <c r="I1505" s="3">
        <v>684</v>
      </c>
      <c r="J1505" s="3">
        <v>3368890</v>
      </c>
      <c r="K1505" s="3">
        <v>53902.239999999998</v>
      </c>
      <c r="L1505" s="2">
        <v>29.7</v>
      </c>
      <c r="M1505" s="11">
        <v>28</v>
      </c>
      <c r="N1505" s="3">
        <v>11</v>
      </c>
      <c r="O1505" s="3">
        <v>141037</v>
      </c>
      <c r="P1505" s="3">
        <v>265100</v>
      </c>
      <c r="Q1505" s="10">
        <v>1</v>
      </c>
      <c r="R1505" s="3">
        <f>(Таблица1[Размер кредита]-$AA$2)/$AA$3</f>
        <v>2.044556665613313</v>
      </c>
      <c r="S1505" s="3">
        <f>(Таблица1[Кредитный рейтинг]-$AA$7)/($AA$8-$AA$7)</f>
        <v>0.91078561917443412</v>
      </c>
      <c r="T1505" s="3">
        <f>(Таблица1[Срок с последнего нарушения кредитного договора (мес,)]-$AA$12)/($AA$13-$AA$12)</f>
        <v>0.31818181818181818</v>
      </c>
      <c r="U1505" s="3">
        <f>(Таблица1[Количество кредитных карт]-$AA$18)/($AA$19-$AA$18)</f>
        <v>0.23809523809523808</v>
      </c>
      <c r="V1505" s="3">
        <f>(Таблица1[Число нарушений кредитных договоров]-$AA$23)/($AA$24-$AA$23)</f>
        <v>0.14285714285714285</v>
      </c>
      <c r="W1505" s="3">
        <f>Таблица1[[#This Row],[Годовой доход]]/12</f>
        <v>280740.83333333331</v>
      </c>
      <c r="X1505" s="3">
        <f>Таблица1[[#This Row],[Ежемесячный платеж]]/Таблица1[[#This Row],[Ежем доход]]</f>
        <v>0.192</v>
      </c>
      <c r="Y1505" s="3"/>
      <c r="Z1505" s="3"/>
      <c r="AA1505" s="3"/>
      <c r="AB1505" s="3"/>
    </row>
    <row r="1506" spans="1:28" x14ac:dyDescent="0.2">
      <c r="A1506">
        <v>1161</v>
      </c>
      <c r="B1506" t="s">
        <v>1200</v>
      </c>
      <c r="C1506" t="s">
        <v>35</v>
      </c>
      <c r="D1506" t="s">
        <v>19</v>
      </c>
      <c r="E1506" t="s">
        <v>24</v>
      </c>
      <c r="F1506" t="s">
        <v>33</v>
      </c>
      <c r="G1506" t="s">
        <v>25</v>
      </c>
      <c r="H1506" s="1">
        <v>215270</v>
      </c>
      <c r="I1506" s="3">
        <v>726</v>
      </c>
      <c r="J1506" s="3">
        <v>855209</v>
      </c>
      <c r="K1506" s="3">
        <v>6841.71</v>
      </c>
      <c r="L1506" s="2">
        <v>25.6</v>
      </c>
      <c r="M1506" s="11">
        <v>10</v>
      </c>
      <c r="N1506" s="3">
        <v>10</v>
      </c>
      <c r="O1506" s="3">
        <v>82536</v>
      </c>
      <c r="P1506" s="3">
        <v>264704</v>
      </c>
      <c r="Q1506" s="10">
        <v>1</v>
      </c>
      <c r="R1506" s="3">
        <f>(Таблица1[Размер кредита]-$AA$2)/$AA$3</f>
        <v>-0.53701601356740758</v>
      </c>
      <c r="S1506" s="3">
        <f>(Таблица1[Кредитный рейтинг]-$AA$7)/($AA$8-$AA$7)</f>
        <v>0.96671105193075901</v>
      </c>
      <c r="T1506" s="3">
        <f>(Таблица1[Срок с последнего нарушения кредитного договора (мес,)]-$AA$12)/($AA$13-$AA$12)</f>
        <v>0.11363636363636363</v>
      </c>
      <c r="U1506" s="3">
        <f>(Таблица1[Количество кредитных карт]-$AA$18)/($AA$19-$AA$18)</f>
        <v>0.21428571428571427</v>
      </c>
      <c r="V1506" s="3">
        <f>(Таблица1[Число нарушений кредитных договоров]-$AA$23)/($AA$24-$AA$23)</f>
        <v>0.14285714285714285</v>
      </c>
      <c r="W1506" s="3">
        <f>Таблица1[[#This Row],[Годовой доход]]/12</f>
        <v>71267.416666666672</v>
      </c>
      <c r="X1506" s="3">
        <f>Таблица1[[#This Row],[Ежемесячный платеж]]/Таблица1[[#This Row],[Ежем доход]]</f>
        <v>9.6000533202994814E-2</v>
      </c>
      <c r="Y1506" s="3"/>
      <c r="Z1506" s="3"/>
      <c r="AA1506" s="3"/>
      <c r="AB1506" s="3"/>
    </row>
    <row r="1507" spans="1:28" x14ac:dyDescent="0.2">
      <c r="A1507">
        <v>465</v>
      </c>
      <c r="B1507" t="s">
        <v>506</v>
      </c>
      <c r="C1507" t="s">
        <v>18</v>
      </c>
      <c r="D1507" t="s">
        <v>19</v>
      </c>
      <c r="E1507" t="s">
        <v>47</v>
      </c>
      <c r="F1507" t="s">
        <v>21</v>
      </c>
      <c r="G1507" t="s">
        <v>25</v>
      </c>
      <c r="H1507" s="1">
        <v>208670</v>
      </c>
      <c r="I1507" s="3">
        <v>703</v>
      </c>
      <c r="J1507" s="3">
        <v>566124</v>
      </c>
      <c r="K1507" s="3">
        <v>3811.97</v>
      </c>
      <c r="L1507" s="2">
        <v>11.7</v>
      </c>
      <c r="M1507" s="11">
        <v>35.265240640000002</v>
      </c>
      <c r="N1507" s="3">
        <v>7</v>
      </c>
      <c r="O1507" s="3">
        <v>171779</v>
      </c>
      <c r="P1507" s="3">
        <v>264506</v>
      </c>
      <c r="Q1507" s="10">
        <v>0</v>
      </c>
      <c r="R1507" s="3">
        <f>(Таблица1[Размер кредита]-$AA$2)/$AA$3</f>
        <v>-0.57459166752666313</v>
      </c>
      <c r="S1507" s="3">
        <f>(Таблица1[Кредитный рейтинг]-$AA$7)/($AA$8-$AA$7)</f>
        <v>0.93608521970705727</v>
      </c>
      <c r="T1507" s="3">
        <f>(Таблица1[Срок с последнего нарушения кредитного договора (мес,)]-$AA$12)/($AA$13-$AA$12)</f>
        <v>0.40074137090909095</v>
      </c>
      <c r="U1507" s="3">
        <f>(Таблица1[Количество кредитных карт]-$AA$18)/($AA$19-$AA$18)</f>
        <v>0.14285714285714285</v>
      </c>
      <c r="V1507" s="3">
        <f>(Таблица1[Число нарушений кредитных договоров]-$AA$23)/($AA$24-$AA$23)</f>
        <v>0</v>
      </c>
      <c r="W1507" s="3">
        <f>Таблица1[[#This Row],[Годовой доход]]/12</f>
        <v>47177</v>
      </c>
      <c r="X1507" s="3">
        <f>Таблица1[[#This Row],[Ежемесячный платеж]]/Таблица1[[#This Row],[Ежем доход]]</f>
        <v>8.0801449859041474E-2</v>
      </c>
      <c r="Y1507" s="3"/>
      <c r="Z1507" s="3"/>
      <c r="AA1507" s="3"/>
      <c r="AB1507" s="3"/>
    </row>
    <row r="1508" spans="1:28" x14ac:dyDescent="0.2">
      <c r="A1508">
        <v>774</v>
      </c>
      <c r="B1508" t="s">
        <v>815</v>
      </c>
      <c r="C1508" t="s">
        <v>18</v>
      </c>
      <c r="D1508" t="s">
        <v>19</v>
      </c>
      <c r="E1508" t="s">
        <v>24</v>
      </c>
      <c r="F1508" t="s">
        <v>33</v>
      </c>
      <c r="G1508" t="s">
        <v>25</v>
      </c>
      <c r="H1508" s="1">
        <v>182116</v>
      </c>
      <c r="I1508" s="3">
        <v>0</v>
      </c>
      <c r="J1508" s="3">
        <v>1168044</v>
      </c>
      <c r="K1508" s="3">
        <v>3389.22</v>
      </c>
      <c r="L1508" s="2">
        <v>21.9</v>
      </c>
      <c r="M1508" s="11">
        <v>69</v>
      </c>
      <c r="N1508" s="3">
        <v>6</v>
      </c>
      <c r="O1508" s="3">
        <v>92663</v>
      </c>
      <c r="P1508" s="3">
        <v>264286</v>
      </c>
      <c r="Q1508" s="10">
        <v>0</v>
      </c>
      <c r="R1508" s="3">
        <f>(Таблица1[Размер кредита]-$AA$2)/$AA$3</f>
        <v>-0.72577104862273467</v>
      </c>
      <c r="S1508" s="3">
        <f>(Таблица1[Кредитный рейтинг]-$AA$7)/($AA$8-$AA$7)</f>
        <v>0</v>
      </c>
      <c r="T1508" s="3">
        <f>(Таблица1[Срок с последнего нарушения кредитного договора (мес,)]-$AA$12)/($AA$13-$AA$12)</f>
        <v>0.78409090909090906</v>
      </c>
      <c r="U1508" s="3">
        <f>(Таблица1[Количество кредитных карт]-$AA$18)/($AA$19-$AA$18)</f>
        <v>0.11904761904761904</v>
      </c>
      <c r="V1508" s="3">
        <f>(Таблица1[Число нарушений кредитных договоров]-$AA$23)/($AA$24-$AA$23)</f>
        <v>0</v>
      </c>
      <c r="W1508" s="3">
        <f>Таблица1[[#This Row],[Годовой доход]]/12</f>
        <v>97337</v>
      </c>
      <c r="X1508" s="3">
        <f>Таблица1[[#This Row],[Ежемесячный платеж]]/Таблица1[[#This Row],[Ежем доход]]</f>
        <v>3.4819441733359359E-2</v>
      </c>
      <c r="Y1508" s="3"/>
      <c r="Z1508" s="3"/>
      <c r="AA1508" s="3"/>
      <c r="AB1508" s="3"/>
    </row>
    <row r="1509" spans="1:28" x14ac:dyDescent="0.2">
      <c r="A1509">
        <v>546</v>
      </c>
      <c r="B1509" t="s">
        <v>587</v>
      </c>
      <c r="C1509" t="s">
        <v>18</v>
      </c>
      <c r="D1509" t="s">
        <v>29</v>
      </c>
      <c r="E1509" t="s">
        <v>24</v>
      </c>
      <c r="F1509" t="s">
        <v>33</v>
      </c>
      <c r="G1509" t="s">
        <v>25</v>
      </c>
      <c r="H1509" s="1">
        <v>246620</v>
      </c>
      <c r="I1509" s="3">
        <v>0</v>
      </c>
      <c r="J1509" s="3">
        <v>1168044</v>
      </c>
      <c r="K1509" s="3">
        <v>12994.86</v>
      </c>
      <c r="L1509" s="2">
        <v>32.200000000000003</v>
      </c>
      <c r="M1509" s="11">
        <v>35.265240640000002</v>
      </c>
      <c r="N1509" s="3">
        <v>9</v>
      </c>
      <c r="O1509" s="3">
        <v>202559</v>
      </c>
      <c r="P1509" s="3">
        <v>264110</v>
      </c>
      <c r="Q1509" s="10">
        <v>0</v>
      </c>
      <c r="R1509" s="3">
        <f>(Таблица1[Размер кредита]-$AA$2)/$AA$3</f>
        <v>-0.35853165726094371</v>
      </c>
      <c r="S1509" s="3">
        <f>(Таблица1[Кредитный рейтинг]-$AA$7)/($AA$8-$AA$7)</f>
        <v>0</v>
      </c>
      <c r="T1509" s="3">
        <f>(Таблица1[Срок с последнего нарушения кредитного договора (мес,)]-$AA$12)/($AA$13-$AA$12)</f>
        <v>0.40074137090909095</v>
      </c>
      <c r="U1509" s="3">
        <f>(Таблица1[Количество кредитных карт]-$AA$18)/($AA$19-$AA$18)</f>
        <v>0.19047619047619047</v>
      </c>
      <c r="V1509" s="3">
        <f>(Таблица1[Число нарушений кредитных договоров]-$AA$23)/($AA$24-$AA$23)</f>
        <v>0</v>
      </c>
      <c r="W1509" s="3">
        <f>Таблица1[[#This Row],[Годовой доход]]/12</f>
        <v>97337</v>
      </c>
      <c r="X1509" s="3">
        <f>Таблица1[[#This Row],[Ежемесячный платеж]]/Таблица1[[#This Row],[Ежем доход]]</f>
        <v>0.1335038063634589</v>
      </c>
      <c r="Y1509" s="3"/>
      <c r="Z1509" s="3"/>
      <c r="AA1509" s="3"/>
      <c r="AB1509" s="3"/>
    </row>
    <row r="1510" spans="1:28" x14ac:dyDescent="0.2">
      <c r="A1510">
        <v>820</v>
      </c>
      <c r="B1510" t="s">
        <v>861</v>
      </c>
      <c r="C1510" t="s">
        <v>18</v>
      </c>
      <c r="D1510" t="s">
        <v>19</v>
      </c>
      <c r="E1510" t="s">
        <v>47</v>
      </c>
      <c r="F1510" t="s">
        <v>33</v>
      </c>
      <c r="G1510" t="s">
        <v>67</v>
      </c>
      <c r="H1510" s="1">
        <v>146366</v>
      </c>
      <c r="I1510" s="3">
        <v>724</v>
      </c>
      <c r="J1510" s="3">
        <v>816753</v>
      </c>
      <c r="K1510" s="3">
        <v>13864.3</v>
      </c>
      <c r="L1510" s="2">
        <v>12.8</v>
      </c>
      <c r="M1510" s="11">
        <v>35.265240640000002</v>
      </c>
      <c r="N1510" s="3">
        <v>12</v>
      </c>
      <c r="O1510" s="3">
        <v>168454</v>
      </c>
      <c r="P1510" s="3">
        <v>263560</v>
      </c>
      <c r="Q1510" s="10">
        <v>0</v>
      </c>
      <c r="R1510" s="3">
        <f>(Таблица1[Размер кредита]-$AA$2)/$AA$3</f>
        <v>-0.9293058409020355</v>
      </c>
      <c r="S1510" s="3">
        <f>(Таблица1[Кредитный рейтинг]-$AA$7)/($AA$8-$AA$7)</f>
        <v>0.96404793608521966</v>
      </c>
      <c r="T1510" s="3">
        <f>(Таблица1[Срок с последнего нарушения кредитного договора (мес,)]-$AA$12)/($AA$13-$AA$12)</f>
        <v>0.40074137090909095</v>
      </c>
      <c r="U1510" s="3">
        <f>(Таблица1[Количество кредитных карт]-$AA$18)/($AA$19-$AA$18)</f>
        <v>0.26190476190476192</v>
      </c>
      <c r="V1510" s="3">
        <f>(Таблица1[Число нарушений кредитных договоров]-$AA$23)/($AA$24-$AA$23)</f>
        <v>0</v>
      </c>
      <c r="W1510" s="3">
        <f>Таблица1[[#This Row],[Годовой доход]]/12</f>
        <v>68062.75</v>
      </c>
      <c r="X1510" s="3">
        <f>Таблица1[[#This Row],[Ежемесячный платеж]]/Таблица1[[#This Row],[Ежем доход]]</f>
        <v>0.2036987926582455</v>
      </c>
      <c r="Y1510" s="3"/>
      <c r="Z1510" s="3"/>
      <c r="AA1510" s="3"/>
      <c r="AB1510" s="3"/>
    </row>
    <row r="1511" spans="1:28" x14ac:dyDescent="0.2">
      <c r="A1511">
        <v>1201</v>
      </c>
      <c r="B1511" t="s">
        <v>1240</v>
      </c>
      <c r="C1511" t="s">
        <v>35</v>
      </c>
      <c r="D1511" t="s">
        <v>19</v>
      </c>
      <c r="E1511" t="s">
        <v>69</v>
      </c>
      <c r="F1511" t="s">
        <v>21</v>
      </c>
      <c r="G1511" t="s">
        <v>22</v>
      </c>
      <c r="H1511" s="1">
        <v>415910</v>
      </c>
      <c r="I1511" s="3">
        <v>693</v>
      </c>
      <c r="J1511" s="3">
        <v>1126890</v>
      </c>
      <c r="K1511" s="3">
        <v>12301.93</v>
      </c>
      <c r="L1511" s="2">
        <v>12.2</v>
      </c>
      <c r="M1511" s="11">
        <v>17</v>
      </c>
      <c r="N1511" s="3">
        <v>7</v>
      </c>
      <c r="O1511" s="3">
        <v>221635</v>
      </c>
      <c r="P1511" s="3">
        <v>263230</v>
      </c>
      <c r="Q1511" s="10">
        <v>0</v>
      </c>
      <c r="R1511" s="3">
        <f>(Таблица1[Размер кредита]-$AA$2)/$AA$3</f>
        <v>0.60528386679396107</v>
      </c>
      <c r="S1511" s="3">
        <f>(Таблица1[Кредитный рейтинг]-$AA$7)/($AA$8-$AA$7)</f>
        <v>0.92276964047936083</v>
      </c>
      <c r="T1511" s="3">
        <f>(Таблица1[Срок с последнего нарушения кредитного договора (мес,)]-$AA$12)/($AA$13-$AA$12)</f>
        <v>0.19318181818181818</v>
      </c>
      <c r="U1511" s="3">
        <f>(Таблица1[Количество кредитных карт]-$AA$18)/($AA$19-$AA$18)</f>
        <v>0.14285714285714285</v>
      </c>
      <c r="V1511" s="3">
        <f>(Таблица1[Число нарушений кредитных договоров]-$AA$23)/($AA$24-$AA$23)</f>
        <v>0</v>
      </c>
      <c r="W1511" s="3">
        <f>Таблица1[[#This Row],[Годовой доход]]/12</f>
        <v>93907.5</v>
      </c>
      <c r="X1511" s="3">
        <f>Таблица1[[#This Row],[Ежемесячный платеж]]/Таблица1[[#This Row],[Ежем доход]]</f>
        <v>0.13100050581689429</v>
      </c>
      <c r="Y1511" s="3"/>
      <c r="Z1511" s="3"/>
      <c r="AA1511" s="3"/>
      <c r="AB1511" s="3"/>
    </row>
    <row r="1512" spans="1:28" x14ac:dyDescent="0.2">
      <c r="A1512">
        <v>1642</v>
      </c>
      <c r="B1512" t="s">
        <v>1680</v>
      </c>
      <c r="C1512" t="s">
        <v>18</v>
      </c>
      <c r="D1512" t="s">
        <v>29</v>
      </c>
      <c r="E1512" t="s">
        <v>24</v>
      </c>
      <c r="F1512" t="s">
        <v>33</v>
      </c>
      <c r="G1512" t="s">
        <v>25</v>
      </c>
      <c r="H1512" s="1">
        <v>221716</v>
      </c>
      <c r="I1512" s="3">
        <v>719</v>
      </c>
      <c r="J1512" s="3">
        <v>1131906</v>
      </c>
      <c r="K1512" s="3">
        <v>20940.28</v>
      </c>
      <c r="L1512" s="2">
        <v>14.7</v>
      </c>
      <c r="M1512" s="11">
        <v>27</v>
      </c>
      <c r="N1512" s="3">
        <v>13</v>
      </c>
      <c r="O1512" s="3">
        <v>111150</v>
      </c>
      <c r="P1512" s="3">
        <v>262130</v>
      </c>
      <c r="Q1512" s="10">
        <v>0</v>
      </c>
      <c r="R1512" s="3">
        <f>(Таблица1[Размер кредита]-$AA$2)/$AA$3</f>
        <v>-0.50031712486720137</v>
      </c>
      <c r="S1512" s="3">
        <f>(Таблица1[Кредитный рейтинг]-$AA$7)/($AA$8-$AA$7)</f>
        <v>0.95739014647137155</v>
      </c>
      <c r="T1512" s="3">
        <f>(Таблица1[Срок с последнего нарушения кредитного договора (мес,)]-$AA$12)/($AA$13-$AA$12)</f>
        <v>0.30681818181818182</v>
      </c>
      <c r="U1512" s="3">
        <f>(Таблица1[Количество кредитных карт]-$AA$18)/($AA$19-$AA$18)</f>
        <v>0.2857142857142857</v>
      </c>
      <c r="V1512" s="3">
        <f>(Таблица1[Число нарушений кредитных договоров]-$AA$23)/($AA$24-$AA$23)</f>
        <v>0</v>
      </c>
      <c r="W1512" s="3">
        <f>Таблица1[[#This Row],[Годовой доход]]/12</f>
        <v>94325.5</v>
      </c>
      <c r="X1512" s="3">
        <f>Таблица1[[#This Row],[Ежемесячный платеж]]/Таблица1[[#This Row],[Ежем доход]]</f>
        <v>0.22200020143015409</v>
      </c>
      <c r="Y1512" s="3"/>
      <c r="Z1512" s="3"/>
      <c r="AA1512" s="3"/>
      <c r="AB1512" s="3"/>
    </row>
    <row r="1513" spans="1:28" x14ac:dyDescent="0.2">
      <c r="A1513">
        <v>281</v>
      </c>
      <c r="B1513" t="s">
        <v>323</v>
      </c>
      <c r="C1513" t="s">
        <v>18</v>
      </c>
      <c r="D1513" t="s">
        <v>19</v>
      </c>
      <c r="E1513" t="s">
        <v>50</v>
      </c>
      <c r="F1513" t="s">
        <v>21</v>
      </c>
      <c r="G1513" t="s">
        <v>25</v>
      </c>
      <c r="H1513" s="1">
        <v>309540</v>
      </c>
      <c r="I1513" s="3">
        <v>0</v>
      </c>
      <c r="J1513" s="3">
        <v>1168044</v>
      </c>
      <c r="K1513" s="3">
        <v>26895.83</v>
      </c>
      <c r="L1513" s="2">
        <v>16.5</v>
      </c>
      <c r="M1513" s="11">
        <v>35.265240640000002</v>
      </c>
      <c r="N1513" s="3">
        <v>12</v>
      </c>
      <c r="O1513" s="3">
        <v>79686</v>
      </c>
      <c r="P1513" s="3">
        <v>262108</v>
      </c>
      <c r="Q1513" s="10">
        <v>0</v>
      </c>
      <c r="R1513" s="3">
        <f>(Таблица1[Размер кредита]-$AA$2)/$AA$3</f>
        <v>-3.1042284937416045E-4</v>
      </c>
      <c r="S1513" s="3">
        <f>(Таблица1[Кредитный рейтинг]-$AA$7)/($AA$8-$AA$7)</f>
        <v>0</v>
      </c>
      <c r="T1513" s="3">
        <f>(Таблица1[Срок с последнего нарушения кредитного договора (мес,)]-$AA$12)/($AA$13-$AA$12)</f>
        <v>0.40074137090909095</v>
      </c>
      <c r="U1513" s="3">
        <f>(Таблица1[Количество кредитных карт]-$AA$18)/($AA$19-$AA$18)</f>
        <v>0.26190476190476192</v>
      </c>
      <c r="V1513" s="3">
        <f>(Таблица1[Число нарушений кредитных договоров]-$AA$23)/($AA$24-$AA$23)</f>
        <v>0</v>
      </c>
      <c r="W1513" s="3">
        <f>Таблица1[[#This Row],[Годовой доход]]/12</f>
        <v>97337</v>
      </c>
      <c r="X1513" s="3">
        <f>Таблица1[[#This Row],[Ежемесячный платеж]]/Таблица1[[#This Row],[Ежем доход]]</f>
        <v>0.27631661136053098</v>
      </c>
      <c r="Y1513" s="3"/>
      <c r="Z1513" s="3"/>
      <c r="AA1513" s="3"/>
      <c r="AB1513" s="3"/>
    </row>
    <row r="1514" spans="1:28" x14ac:dyDescent="0.2">
      <c r="A1514">
        <v>1942</v>
      </c>
      <c r="B1514" t="s">
        <v>1978</v>
      </c>
      <c r="C1514" t="s">
        <v>35</v>
      </c>
      <c r="D1514" t="s">
        <v>19</v>
      </c>
      <c r="E1514" t="s">
        <v>37</v>
      </c>
      <c r="F1514" t="s">
        <v>33</v>
      </c>
      <c r="G1514" t="s">
        <v>25</v>
      </c>
      <c r="H1514" s="1">
        <v>106062</v>
      </c>
      <c r="I1514" s="3">
        <v>0</v>
      </c>
      <c r="J1514" s="3">
        <v>1168044</v>
      </c>
      <c r="K1514" s="3">
        <v>3417.15</v>
      </c>
      <c r="L1514" s="2">
        <v>17.7</v>
      </c>
      <c r="M1514" s="11">
        <v>32</v>
      </c>
      <c r="N1514" s="3">
        <v>10</v>
      </c>
      <c r="O1514" s="3">
        <v>80940</v>
      </c>
      <c r="P1514" s="3">
        <v>261074</v>
      </c>
      <c r="Q1514" s="10">
        <v>1</v>
      </c>
      <c r="R1514" s="3">
        <f>(Таблица1[Размер кредита]-$AA$2)/$AA$3</f>
        <v>-1.1587678344132228</v>
      </c>
      <c r="S1514" s="3">
        <f>(Таблица1[Кредитный рейтинг]-$AA$7)/($AA$8-$AA$7)</f>
        <v>0</v>
      </c>
      <c r="T1514" s="3">
        <f>(Таблица1[Срок с последнего нарушения кредитного договора (мес,)]-$AA$12)/($AA$13-$AA$12)</f>
        <v>0.36363636363636365</v>
      </c>
      <c r="U1514" s="3">
        <f>(Таблица1[Количество кредитных карт]-$AA$18)/($AA$19-$AA$18)</f>
        <v>0.21428571428571427</v>
      </c>
      <c r="V1514" s="3">
        <f>(Таблица1[Число нарушений кредитных договоров]-$AA$23)/($AA$24-$AA$23)</f>
        <v>0.14285714285714285</v>
      </c>
      <c r="W1514" s="3">
        <f>Таблица1[[#This Row],[Годовой доход]]/12</f>
        <v>97337</v>
      </c>
      <c r="X1514" s="3">
        <f>Таблица1[[#This Row],[Ежемесячный платеж]]/Таблица1[[#This Row],[Ежем доход]]</f>
        <v>3.5106382978723406E-2</v>
      </c>
      <c r="Y1514" s="3"/>
      <c r="Z1514" s="3"/>
      <c r="AA1514" s="3"/>
      <c r="AB1514" s="3"/>
    </row>
    <row r="1515" spans="1:28" x14ac:dyDescent="0.2">
      <c r="A1515">
        <v>151</v>
      </c>
      <c r="B1515" t="s">
        <v>193</v>
      </c>
      <c r="C1515" t="s">
        <v>18</v>
      </c>
      <c r="D1515" t="s">
        <v>19</v>
      </c>
      <c r="E1515" t="s">
        <v>47</v>
      </c>
      <c r="F1515" t="s">
        <v>21</v>
      </c>
      <c r="G1515" t="s">
        <v>70</v>
      </c>
      <c r="H1515" s="1">
        <v>133804</v>
      </c>
      <c r="I1515" s="3">
        <v>725</v>
      </c>
      <c r="J1515" s="3">
        <v>1386734</v>
      </c>
      <c r="K1515" s="3">
        <v>16756.48</v>
      </c>
      <c r="L1515" s="2">
        <v>13.6</v>
      </c>
      <c r="M1515" s="11">
        <v>35.265240640000002</v>
      </c>
      <c r="N1515" s="3">
        <v>11</v>
      </c>
      <c r="O1515" s="3">
        <v>105450</v>
      </c>
      <c r="P1515" s="3">
        <v>260898</v>
      </c>
      <c r="Q1515" s="10">
        <v>0</v>
      </c>
      <c r="R1515" s="3">
        <f>(Таблица1[Размер кредита]-$AA$2)/$AA$3</f>
        <v>-1.0008248356044853</v>
      </c>
      <c r="S1515" s="3">
        <f>(Таблица1[Кредитный рейтинг]-$AA$7)/($AA$8-$AA$7)</f>
        <v>0.96537949400798939</v>
      </c>
      <c r="T1515" s="3">
        <f>(Таблица1[Срок с последнего нарушения кредитного договора (мес,)]-$AA$12)/($AA$13-$AA$12)</f>
        <v>0.40074137090909095</v>
      </c>
      <c r="U1515" s="3">
        <f>(Таблица1[Количество кредитных карт]-$AA$18)/($AA$19-$AA$18)</f>
        <v>0.23809523809523808</v>
      </c>
      <c r="V1515" s="3">
        <f>(Таблица1[Число нарушений кредитных договоров]-$AA$23)/($AA$24-$AA$23)</f>
        <v>0</v>
      </c>
      <c r="W1515" s="3">
        <f>Таблица1[[#This Row],[Годовой доход]]/12</f>
        <v>115561.16666666667</v>
      </c>
      <c r="X1515" s="3">
        <f>Таблица1[[#This Row],[Ежемесячный платеж]]/Таблица1[[#This Row],[Ежем доход]]</f>
        <v>0.14500095908804428</v>
      </c>
      <c r="Y1515" s="3"/>
      <c r="Z1515" s="3"/>
      <c r="AA1515" s="3"/>
      <c r="AB1515" s="3"/>
    </row>
    <row r="1516" spans="1:28" x14ac:dyDescent="0.2">
      <c r="A1516">
        <v>511</v>
      </c>
      <c r="B1516" t="s">
        <v>552</v>
      </c>
      <c r="C1516" t="s">
        <v>18</v>
      </c>
      <c r="D1516" t="s">
        <v>19</v>
      </c>
      <c r="E1516" t="s">
        <v>41</v>
      </c>
      <c r="F1516" t="s">
        <v>33</v>
      </c>
      <c r="G1516" t="s">
        <v>25</v>
      </c>
      <c r="H1516" s="1">
        <v>88374</v>
      </c>
      <c r="I1516" s="3">
        <v>0</v>
      </c>
      <c r="J1516" s="3">
        <v>1168044</v>
      </c>
      <c r="K1516" s="3">
        <v>18904.810000000001</v>
      </c>
      <c r="L1516" s="2">
        <v>15.8</v>
      </c>
      <c r="M1516" s="11">
        <v>4</v>
      </c>
      <c r="N1516" s="3">
        <v>14</v>
      </c>
      <c r="O1516" s="3">
        <v>50996</v>
      </c>
      <c r="P1516" s="3">
        <v>260128</v>
      </c>
      <c r="Q1516" s="10">
        <v>1</v>
      </c>
      <c r="R1516" s="3">
        <f>(Таблица1[Размер кредита]-$AA$2)/$AA$3</f>
        <v>-1.2594705870240277</v>
      </c>
      <c r="S1516" s="3">
        <f>(Таблица1[Кредитный рейтинг]-$AA$7)/($AA$8-$AA$7)</f>
        <v>0</v>
      </c>
      <c r="T1516" s="3">
        <f>(Таблица1[Срок с последнего нарушения кредитного договора (мес,)]-$AA$12)/($AA$13-$AA$12)</f>
        <v>4.5454545454545456E-2</v>
      </c>
      <c r="U1516" s="3">
        <f>(Таблица1[Количество кредитных карт]-$AA$18)/($AA$19-$AA$18)</f>
        <v>0.30952380952380953</v>
      </c>
      <c r="V1516" s="3">
        <f>(Таблица1[Число нарушений кредитных договоров]-$AA$23)/($AA$24-$AA$23)</f>
        <v>0.14285714285714285</v>
      </c>
      <c r="W1516" s="3">
        <f>Таблица1[[#This Row],[Годовой доход]]/12</f>
        <v>97337</v>
      </c>
      <c r="X1516" s="3">
        <f>Таблица1[[#This Row],[Ежемесячный платеж]]/Таблица1[[#This Row],[Ежем доход]]</f>
        <v>0.19422018348623854</v>
      </c>
      <c r="Y1516" s="3"/>
      <c r="Z1516" s="3"/>
      <c r="AA1516" s="3"/>
      <c r="AB1516" s="3"/>
    </row>
    <row r="1517" spans="1:28" x14ac:dyDescent="0.2">
      <c r="A1517">
        <v>1742</v>
      </c>
      <c r="B1517" t="s">
        <v>1780</v>
      </c>
      <c r="C1517" t="s">
        <v>35</v>
      </c>
      <c r="D1517" t="s">
        <v>19</v>
      </c>
      <c r="E1517" t="s">
        <v>69</v>
      </c>
      <c r="F1517" t="s">
        <v>27</v>
      </c>
      <c r="G1517" t="s">
        <v>22</v>
      </c>
      <c r="H1517" s="1">
        <v>174592</v>
      </c>
      <c r="I1517" s="3">
        <v>685</v>
      </c>
      <c r="J1517" s="3">
        <v>452352</v>
      </c>
      <c r="K1517" s="3">
        <v>9725.5300000000007</v>
      </c>
      <c r="L1517" s="2">
        <v>10.9</v>
      </c>
      <c r="M1517" s="11">
        <v>35.265240640000002</v>
      </c>
      <c r="N1517" s="3">
        <v>10</v>
      </c>
      <c r="O1517" s="3">
        <v>106001</v>
      </c>
      <c r="P1517" s="3">
        <v>259490</v>
      </c>
      <c r="Q1517" s="10">
        <v>0</v>
      </c>
      <c r="R1517" s="3">
        <f>(Таблица1[Размер кредита]-$AA$2)/$AA$3</f>
        <v>-0.76860729413628592</v>
      </c>
      <c r="S1517" s="3">
        <f>(Таблица1[Кредитный рейтинг]-$AA$7)/($AA$8-$AA$7)</f>
        <v>0.91211717709720375</v>
      </c>
      <c r="T1517" s="3">
        <f>(Таблица1[Срок с последнего нарушения кредитного договора (мес,)]-$AA$12)/($AA$13-$AA$12)</f>
        <v>0.40074137090909095</v>
      </c>
      <c r="U1517" s="3">
        <f>(Таблица1[Количество кредитных карт]-$AA$18)/($AA$19-$AA$18)</f>
        <v>0.21428571428571427</v>
      </c>
      <c r="V1517" s="3">
        <f>(Таблица1[Число нарушений кредитных договоров]-$AA$23)/($AA$24-$AA$23)</f>
        <v>0</v>
      </c>
      <c r="W1517" s="3">
        <f>Таблица1[[#This Row],[Годовой доход]]/12</f>
        <v>37696</v>
      </c>
      <c r="X1517" s="3">
        <f>Таблица1[[#This Row],[Ежемесячный платеж]]/Таблица1[[#This Row],[Ежем доход]]</f>
        <v>0.25799899193548387</v>
      </c>
      <c r="Y1517" s="3"/>
      <c r="Z1517" s="3"/>
      <c r="AA1517" s="3"/>
      <c r="AB1517" s="3"/>
    </row>
    <row r="1518" spans="1:28" x14ac:dyDescent="0.2">
      <c r="A1518">
        <v>394</v>
      </c>
      <c r="B1518" t="s">
        <v>436</v>
      </c>
      <c r="C1518" t="s">
        <v>18</v>
      </c>
      <c r="D1518" t="s">
        <v>19</v>
      </c>
      <c r="E1518" t="s">
        <v>24</v>
      </c>
      <c r="F1518" t="s">
        <v>33</v>
      </c>
      <c r="G1518" t="s">
        <v>25</v>
      </c>
      <c r="H1518" s="1">
        <v>87274</v>
      </c>
      <c r="I1518" s="3">
        <v>719</v>
      </c>
      <c r="J1518" s="3">
        <v>753692</v>
      </c>
      <c r="K1518" s="3">
        <v>4013.37</v>
      </c>
      <c r="L1518" s="2">
        <v>8.1999999999999993</v>
      </c>
      <c r="M1518" s="11">
        <v>35.265240640000002</v>
      </c>
      <c r="N1518" s="3">
        <v>8</v>
      </c>
      <c r="O1518" s="3">
        <v>101042</v>
      </c>
      <c r="P1518" s="3">
        <v>259424</v>
      </c>
      <c r="Q1518" s="10">
        <v>0</v>
      </c>
      <c r="R1518" s="3">
        <f>(Таблица1[Размер кредита]-$AA$2)/$AA$3</f>
        <v>-1.2657331960172369</v>
      </c>
      <c r="S1518" s="3">
        <f>(Таблица1[Кредитный рейтинг]-$AA$7)/($AA$8-$AA$7)</f>
        <v>0.95739014647137155</v>
      </c>
      <c r="T1518" s="3">
        <f>(Таблица1[Срок с последнего нарушения кредитного договора (мес,)]-$AA$12)/($AA$13-$AA$12)</f>
        <v>0.40074137090909095</v>
      </c>
      <c r="U1518" s="3">
        <f>(Таблица1[Количество кредитных карт]-$AA$18)/($AA$19-$AA$18)</f>
        <v>0.16666666666666666</v>
      </c>
      <c r="V1518" s="3">
        <f>(Таблица1[Число нарушений кредитных договоров]-$AA$23)/($AA$24-$AA$23)</f>
        <v>0</v>
      </c>
      <c r="W1518" s="3">
        <f>Таблица1[[#This Row],[Годовой доход]]/12</f>
        <v>62807.666666666664</v>
      </c>
      <c r="X1518" s="3">
        <f>Таблица1[[#This Row],[Ежемесячный платеж]]/Таблица1[[#This Row],[Ежем доход]]</f>
        <v>6.3899364727236063E-2</v>
      </c>
      <c r="Y1518" s="3"/>
      <c r="Z1518" s="3"/>
      <c r="AA1518" s="3"/>
      <c r="AB1518" s="3"/>
    </row>
    <row r="1519" spans="1:28" x14ac:dyDescent="0.2">
      <c r="A1519">
        <v>259</v>
      </c>
      <c r="B1519" t="s">
        <v>301</v>
      </c>
      <c r="C1519" t="s">
        <v>18</v>
      </c>
      <c r="D1519" t="s">
        <v>19</v>
      </c>
      <c r="E1519" t="s">
        <v>24</v>
      </c>
      <c r="F1519" t="s">
        <v>21</v>
      </c>
      <c r="G1519" t="s">
        <v>25</v>
      </c>
      <c r="H1519" s="1">
        <v>196108</v>
      </c>
      <c r="I1519" s="3">
        <v>715</v>
      </c>
      <c r="J1519" s="3">
        <v>865602</v>
      </c>
      <c r="K1519" s="3">
        <v>11397.34</v>
      </c>
      <c r="L1519" s="2">
        <v>18.8</v>
      </c>
      <c r="M1519" s="11">
        <v>29</v>
      </c>
      <c r="N1519" s="3">
        <v>11</v>
      </c>
      <c r="O1519" s="3">
        <v>185478</v>
      </c>
      <c r="P1519" s="3">
        <v>259402</v>
      </c>
      <c r="Q1519" s="10">
        <v>1</v>
      </c>
      <c r="R1519" s="3">
        <f>(Таблица1[Размер кредита]-$AA$2)/$AA$3</f>
        <v>-0.64611066222911284</v>
      </c>
      <c r="S1519" s="3">
        <f>(Таблица1[Кредитный рейтинг]-$AA$7)/($AA$8-$AA$7)</f>
        <v>0.95206391478029295</v>
      </c>
      <c r="T1519" s="3">
        <f>(Таблица1[Срок с последнего нарушения кредитного договора (мес,)]-$AA$12)/($AA$13-$AA$12)</f>
        <v>0.32954545454545453</v>
      </c>
      <c r="U1519" s="3">
        <f>(Таблица1[Количество кредитных карт]-$AA$18)/($AA$19-$AA$18)</f>
        <v>0.23809523809523808</v>
      </c>
      <c r="V1519" s="3">
        <f>(Таблица1[Число нарушений кредитных договоров]-$AA$23)/($AA$24-$AA$23)</f>
        <v>0.14285714285714285</v>
      </c>
      <c r="W1519" s="3">
        <f>Таблица1[[#This Row],[Годовой доход]]/12</f>
        <v>72133.5</v>
      </c>
      <c r="X1519" s="3">
        <f>Таблица1[[#This Row],[Ежемесячный платеж]]/Таблица1[[#This Row],[Ежем доход]]</f>
        <v>0.15800342420650598</v>
      </c>
      <c r="Y1519" s="3"/>
      <c r="Z1519" s="3"/>
      <c r="AA1519" s="3"/>
      <c r="AB1519" s="3"/>
    </row>
    <row r="1520" spans="1:28" x14ac:dyDescent="0.2">
      <c r="A1520">
        <v>1483</v>
      </c>
      <c r="B1520" t="s">
        <v>1522</v>
      </c>
      <c r="C1520" t="s">
        <v>18</v>
      </c>
      <c r="D1520" t="s">
        <v>19</v>
      </c>
      <c r="E1520" t="s">
        <v>24</v>
      </c>
      <c r="F1520" t="s">
        <v>33</v>
      </c>
      <c r="G1520" t="s">
        <v>25</v>
      </c>
      <c r="H1520" s="1">
        <v>166232</v>
      </c>
      <c r="I1520" s="3">
        <v>723</v>
      </c>
      <c r="J1520" s="3">
        <v>1152312</v>
      </c>
      <c r="K1520" s="3">
        <v>18532.98</v>
      </c>
      <c r="L1520" s="2">
        <v>21.3</v>
      </c>
      <c r="M1520" s="11">
        <v>65</v>
      </c>
      <c r="N1520" s="3">
        <v>6</v>
      </c>
      <c r="O1520" s="3">
        <v>31312</v>
      </c>
      <c r="P1520" s="3">
        <v>258918</v>
      </c>
      <c r="Q1520" s="10">
        <v>1</v>
      </c>
      <c r="R1520" s="3">
        <f>(Таблица1[Размер кредита]-$AA$2)/$AA$3</f>
        <v>-0.8162031224846763</v>
      </c>
      <c r="S1520" s="3">
        <f>(Таблица1[Кредитный рейтинг]-$AA$7)/($AA$8-$AA$7)</f>
        <v>0.96271637816245004</v>
      </c>
      <c r="T1520" s="3">
        <f>(Таблица1[Срок с последнего нарушения кредитного договора (мес,)]-$AA$12)/($AA$13-$AA$12)</f>
        <v>0.73863636363636365</v>
      </c>
      <c r="U1520" s="3">
        <f>(Таблица1[Количество кредитных карт]-$AA$18)/($AA$19-$AA$18)</f>
        <v>0.11904761904761904</v>
      </c>
      <c r="V1520" s="3">
        <f>(Таблица1[Число нарушений кредитных договоров]-$AA$23)/($AA$24-$AA$23)</f>
        <v>0.14285714285714285</v>
      </c>
      <c r="W1520" s="3">
        <f>Таблица1[[#This Row],[Годовой доход]]/12</f>
        <v>96026</v>
      </c>
      <c r="X1520" s="3">
        <f>Таблица1[[#This Row],[Ежемесячный платеж]]/Таблица1[[#This Row],[Ежем доход]]</f>
        <v>0.1929996042738425</v>
      </c>
      <c r="Y1520" s="3"/>
      <c r="Z1520" s="3"/>
      <c r="AA1520" s="3"/>
      <c r="AB1520" s="3"/>
    </row>
    <row r="1521" spans="1:28" x14ac:dyDescent="0.2">
      <c r="A1521">
        <v>406</v>
      </c>
      <c r="B1521" t="s">
        <v>448</v>
      </c>
      <c r="C1521" t="s">
        <v>18</v>
      </c>
      <c r="D1521" t="s">
        <v>19</v>
      </c>
      <c r="E1521" t="s">
        <v>41</v>
      </c>
      <c r="F1521" t="s">
        <v>21</v>
      </c>
      <c r="G1521" t="s">
        <v>25</v>
      </c>
      <c r="H1521" s="1">
        <v>260810</v>
      </c>
      <c r="I1521" s="3">
        <v>0</v>
      </c>
      <c r="J1521" s="3">
        <v>1168044</v>
      </c>
      <c r="K1521" s="3">
        <v>13076.56</v>
      </c>
      <c r="L1521" s="2">
        <v>19</v>
      </c>
      <c r="M1521" s="11">
        <v>35.265240640000002</v>
      </c>
      <c r="N1521" s="3">
        <v>11</v>
      </c>
      <c r="O1521" s="3">
        <v>180329</v>
      </c>
      <c r="P1521" s="3">
        <v>258742</v>
      </c>
      <c r="Q1521" s="10">
        <v>1</v>
      </c>
      <c r="R1521" s="3">
        <f>(Таблица1[Размер кредита]-$AA$2)/$AA$3</f>
        <v>-0.27774400124854431</v>
      </c>
      <c r="S1521" s="3">
        <f>(Таблица1[Кредитный рейтинг]-$AA$7)/($AA$8-$AA$7)</f>
        <v>0</v>
      </c>
      <c r="T1521" s="3">
        <f>(Таблица1[Срок с последнего нарушения кредитного договора (мес,)]-$AA$12)/($AA$13-$AA$12)</f>
        <v>0.40074137090909095</v>
      </c>
      <c r="U1521" s="3">
        <f>(Таблица1[Количество кредитных карт]-$AA$18)/($AA$19-$AA$18)</f>
        <v>0.23809523809523808</v>
      </c>
      <c r="V1521" s="3">
        <f>(Таблица1[Число нарушений кредитных договоров]-$AA$23)/($AA$24-$AA$23)</f>
        <v>0.14285714285714285</v>
      </c>
      <c r="W1521" s="3">
        <f>Таблица1[[#This Row],[Годовой доход]]/12</f>
        <v>97337</v>
      </c>
      <c r="X1521" s="3">
        <f>Таблица1[[#This Row],[Ежемесячный платеж]]/Таблица1[[#This Row],[Ежем доход]]</f>
        <v>0.13434315830568025</v>
      </c>
      <c r="Y1521" s="3"/>
      <c r="Z1521" s="3"/>
      <c r="AA1521" s="3"/>
      <c r="AB1521" s="3"/>
    </row>
    <row r="1522" spans="1:28" x14ac:dyDescent="0.2">
      <c r="A1522">
        <v>1988</v>
      </c>
      <c r="B1522" t="s">
        <v>2024</v>
      </c>
      <c r="C1522" t="s">
        <v>18</v>
      </c>
      <c r="D1522" t="s">
        <v>19</v>
      </c>
      <c r="E1522" t="s">
        <v>32</v>
      </c>
      <c r="F1522" t="s">
        <v>33</v>
      </c>
      <c r="G1522" t="s">
        <v>25</v>
      </c>
      <c r="H1522" s="1">
        <v>108702</v>
      </c>
      <c r="I1522" s="3">
        <v>747</v>
      </c>
      <c r="J1522" s="3">
        <v>600761</v>
      </c>
      <c r="K1522" s="3">
        <v>8711.1200000000008</v>
      </c>
      <c r="L1522" s="2">
        <v>10.4</v>
      </c>
      <c r="M1522" s="11">
        <v>35.265240640000002</v>
      </c>
      <c r="N1522" s="3">
        <v>5</v>
      </c>
      <c r="O1522" s="3">
        <v>94620</v>
      </c>
      <c r="P1522" s="3">
        <v>258412</v>
      </c>
      <c r="Q1522" s="10">
        <v>0</v>
      </c>
      <c r="R1522" s="3">
        <f>(Таблица1[Размер кредита]-$AA$2)/$AA$3</f>
        <v>-1.1437375728295205</v>
      </c>
      <c r="S1522" s="3">
        <f>(Таблица1[Кредитный рейтинг]-$AA$7)/($AA$8-$AA$7)</f>
        <v>0.9946737683089214</v>
      </c>
      <c r="T1522" s="3">
        <f>(Таблица1[Срок с последнего нарушения кредитного договора (мес,)]-$AA$12)/($AA$13-$AA$12)</f>
        <v>0.40074137090909095</v>
      </c>
      <c r="U1522" s="3">
        <f>(Таблица1[Количество кредитных карт]-$AA$18)/($AA$19-$AA$18)</f>
        <v>9.5238095238095233E-2</v>
      </c>
      <c r="V1522" s="3">
        <f>(Таблица1[Число нарушений кредитных договоров]-$AA$23)/($AA$24-$AA$23)</f>
        <v>0</v>
      </c>
      <c r="W1522" s="3">
        <f>Таблица1[[#This Row],[Годовой доход]]/12</f>
        <v>50063.416666666664</v>
      </c>
      <c r="X1522" s="3">
        <f>Таблица1[[#This Row],[Ежемесячный платеж]]/Таблица1[[#This Row],[Ежем доход]]</f>
        <v>0.17400170783389737</v>
      </c>
      <c r="Y1522" s="3"/>
      <c r="Z1522" s="3"/>
      <c r="AA1522" s="3"/>
      <c r="AB1522" s="3"/>
    </row>
    <row r="1523" spans="1:28" x14ac:dyDescent="0.2">
      <c r="A1523">
        <v>1130</v>
      </c>
      <c r="B1523" t="s">
        <v>1169</v>
      </c>
      <c r="C1523" t="s">
        <v>18</v>
      </c>
      <c r="D1523" t="s">
        <v>19</v>
      </c>
      <c r="E1523" t="s">
        <v>37</v>
      </c>
      <c r="F1523" t="s">
        <v>33</v>
      </c>
      <c r="G1523" t="s">
        <v>25</v>
      </c>
      <c r="H1523" s="1">
        <v>212366</v>
      </c>
      <c r="I1523" s="3">
        <v>712</v>
      </c>
      <c r="J1523" s="3">
        <v>872917</v>
      </c>
      <c r="K1523" s="3">
        <v>19931.38</v>
      </c>
      <c r="L1523" s="2">
        <v>19</v>
      </c>
      <c r="M1523" s="11">
        <v>42</v>
      </c>
      <c r="N1523" s="3">
        <v>20</v>
      </c>
      <c r="O1523" s="3">
        <v>200944</v>
      </c>
      <c r="P1523" s="3">
        <v>257928</v>
      </c>
      <c r="Q1523" s="10">
        <v>0</v>
      </c>
      <c r="R1523" s="3">
        <f>(Таблица1[Размер кредита]-$AA$2)/$AA$3</f>
        <v>-0.55354930130947999</v>
      </c>
      <c r="S1523" s="3">
        <f>(Таблица1[Кредитный рейтинг]-$AA$7)/($AA$8-$AA$7)</f>
        <v>0.94806924101198398</v>
      </c>
      <c r="T1523" s="3">
        <f>(Таблица1[Срок с последнего нарушения кредитного договора (мес,)]-$AA$12)/($AA$13-$AA$12)</f>
        <v>0.47727272727272729</v>
      </c>
      <c r="U1523" s="3">
        <f>(Таблица1[Количество кредитных карт]-$AA$18)/($AA$19-$AA$18)</f>
        <v>0.45238095238095238</v>
      </c>
      <c r="V1523" s="3">
        <f>(Таблица1[Число нарушений кредитных договоров]-$AA$23)/($AA$24-$AA$23)</f>
        <v>0</v>
      </c>
      <c r="W1523" s="3">
        <f>Таблица1[[#This Row],[Годовой доход]]/12</f>
        <v>72743.083333333328</v>
      </c>
      <c r="X1523" s="3">
        <f>Таблица1[[#This Row],[Ежемесячный платеж]]/Таблица1[[#This Row],[Ежем доход]]</f>
        <v>0.27399690921359077</v>
      </c>
      <c r="Y1523" s="3"/>
      <c r="Z1523" s="3"/>
      <c r="AA1523" s="3"/>
      <c r="AB1523" s="3"/>
    </row>
    <row r="1524" spans="1:28" x14ac:dyDescent="0.2">
      <c r="A1524">
        <v>742</v>
      </c>
      <c r="B1524" t="s">
        <v>783</v>
      </c>
      <c r="C1524" t="s">
        <v>18</v>
      </c>
      <c r="D1524" t="s">
        <v>19</v>
      </c>
      <c r="E1524" t="s">
        <v>32</v>
      </c>
      <c r="F1524" t="s">
        <v>33</v>
      </c>
      <c r="G1524" t="s">
        <v>25</v>
      </c>
      <c r="H1524" s="1">
        <v>182028</v>
      </c>
      <c r="I1524" s="3">
        <v>723</v>
      </c>
      <c r="J1524" s="3">
        <v>655025</v>
      </c>
      <c r="K1524" s="3">
        <v>20251.150000000001</v>
      </c>
      <c r="L1524" s="2">
        <v>5</v>
      </c>
      <c r="M1524" s="11">
        <v>35.265240640000002</v>
      </c>
      <c r="N1524" s="3">
        <v>5</v>
      </c>
      <c r="O1524" s="3">
        <v>134045</v>
      </c>
      <c r="P1524" s="3">
        <v>257818</v>
      </c>
      <c r="Q1524" s="10">
        <v>0</v>
      </c>
      <c r="R1524" s="3">
        <f>(Таблица1[Размер кредита]-$AA$2)/$AA$3</f>
        <v>-0.72627205734219136</v>
      </c>
      <c r="S1524" s="3">
        <f>(Таблица1[Кредитный рейтинг]-$AA$7)/($AA$8-$AA$7)</f>
        <v>0.96271637816245004</v>
      </c>
      <c r="T1524" s="3">
        <f>(Таблица1[Срок с последнего нарушения кредитного договора (мес,)]-$AA$12)/($AA$13-$AA$12)</f>
        <v>0.40074137090909095</v>
      </c>
      <c r="U1524" s="3">
        <f>(Таблица1[Количество кредитных карт]-$AA$18)/($AA$19-$AA$18)</f>
        <v>9.5238095238095233E-2</v>
      </c>
      <c r="V1524" s="3">
        <f>(Таблица1[Число нарушений кредитных договоров]-$AA$23)/($AA$24-$AA$23)</f>
        <v>0</v>
      </c>
      <c r="W1524" s="3">
        <f>Таблица1[[#This Row],[Годовой доход]]/12</f>
        <v>54585.416666666664</v>
      </c>
      <c r="X1524" s="3">
        <f>Таблица1[[#This Row],[Ежемесячный платеж]]/Таблица1[[#This Row],[Ежем доход]]</f>
        <v>0.37099927483683831</v>
      </c>
      <c r="Y1524" s="3"/>
      <c r="Z1524" s="3"/>
      <c r="AA1524" s="3"/>
      <c r="AB1524" s="3"/>
    </row>
    <row r="1525" spans="1:28" x14ac:dyDescent="0.2">
      <c r="A1525">
        <v>1590</v>
      </c>
      <c r="B1525" t="s">
        <v>1629</v>
      </c>
      <c r="C1525" t="s">
        <v>18</v>
      </c>
      <c r="D1525" t="s">
        <v>19</v>
      </c>
      <c r="E1525" t="s">
        <v>24</v>
      </c>
      <c r="F1525" t="s">
        <v>33</v>
      </c>
      <c r="G1525" t="s">
        <v>25</v>
      </c>
      <c r="H1525" s="1">
        <v>116138</v>
      </c>
      <c r="I1525" s="3">
        <v>718</v>
      </c>
      <c r="J1525" s="3">
        <v>361399</v>
      </c>
      <c r="K1525" s="3">
        <v>5421.08</v>
      </c>
      <c r="L1525" s="2">
        <v>24.5</v>
      </c>
      <c r="M1525" s="11">
        <v>35.265240640000002</v>
      </c>
      <c r="N1525" s="3">
        <v>7</v>
      </c>
      <c r="O1525" s="3">
        <v>180481</v>
      </c>
      <c r="P1525" s="3">
        <v>257048</v>
      </c>
      <c r="Q1525" s="10">
        <v>0</v>
      </c>
      <c r="R1525" s="3">
        <f>(Таблица1[Размер кредита]-$AA$2)/$AA$3</f>
        <v>-1.1014023360354259</v>
      </c>
      <c r="S1525" s="3">
        <f>(Таблица1[Кредитный рейтинг]-$AA$7)/($AA$8-$AA$7)</f>
        <v>0.95605858854860182</v>
      </c>
      <c r="T1525" s="3">
        <f>(Таблица1[Срок с последнего нарушения кредитного договора (мес,)]-$AA$12)/($AA$13-$AA$12)</f>
        <v>0.40074137090909095</v>
      </c>
      <c r="U1525" s="3">
        <f>(Таблица1[Количество кредитных карт]-$AA$18)/($AA$19-$AA$18)</f>
        <v>0.14285714285714285</v>
      </c>
      <c r="V1525" s="3">
        <f>(Таблица1[Число нарушений кредитных договоров]-$AA$23)/($AA$24-$AA$23)</f>
        <v>0</v>
      </c>
      <c r="W1525" s="3">
        <f>Таблица1[[#This Row],[Годовой доход]]/12</f>
        <v>30116.583333333332</v>
      </c>
      <c r="X1525" s="3">
        <f>Таблица1[[#This Row],[Ежемесячный платеж]]/Таблица1[[#This Row],[Ежем доход]]</f>
        <v>0.18000315440828557</v>
      </c>
      <c r="Y1525" s="3"/>
      <c r="Z1525" s="3"/>
      <c r="AA1525" s="3"/>
      <c r="AB1525" s="3"/>
    </row>
    <row r="1526" spans="1:28" x14ac:dyDescent="0.2">
      <c r="A1526">
        <v>959</v>
      </c>
      <c r="B1526" t="s">
        <v>1000</v>
      </c>
      <c r="C1526" t="s">
        <v>35</v>
      </c>
      <c r="D1526" t="s">
        <v>19</v>
      </c>
      <c r="E1526" t="s">
        <v>32</v>
      </c>
      <c r="F1526" t="s">
        <v>33</v>
      </c>
      <c r="G1526" t="s">
        <v>25</v>
      </c>
      <c r="H1526" s="1">
        <v>109692</v>
      </c>
      <c r="I1526" s="3">
        <v>735</v>
      </c>
      <c r="J1526" s="3">
        <v>625252</v>
      </c>
      <c r="K1526" s="3">
        <v>5679.29</v>
      </c>
      <c r="L1526" s="2">
        <v>17.399999999999999</v>
      </c>
      <c r="M1526" s="11">
        <v>71</v>
      </c>
      <c r="N1526" s="3">
        <v>9</v>
      </c>
      <c r="O1526" s="3">
        <v>99180</v>
      </c>
      <c r="P1526" s="3">
        <v>256916</v>
      </c>
      <c r="Q1526" s="10">
        <v>0</v>
      </c>
      <c r="R1526" s="3">
        <f>(Таблица1[Размер кредита]-$AA$2)/$AA$3</f>
        <v>-1.1381012247356321</v>
      </c>
      <c r="S1526" s="3">
        <f>(Таблица1[Кредитный рейтинг]-$AA$7)/($AA$8-$AA$7)</f>
        <v>0.97869507323568572</v>
      </c>
      <c r="T1526" s="3">
        <f>(Таблица1[Срок с последнего нарушения кредитного договора (мес,)]-$AA$12)/($AA$13-$AA$12)</f>
        <v>0.80681818181818177</v>
      </c>
      <c r="U1526" s="3">
        <f>(Таблица1[Количество кредитных карт]-$AA$18)/($AA$19-$AA$18)</f>
        <v>0.19047619047619047</v>
      </c>
      <c r="V1526" s="3">
        <f>(Таблица1[Число нарушений кредитных договоров]-$AA$23)/($AA$24-$AA$23)</f>
        <v>0</v>
      </c>
      <c r="W1526" s="3">
        <f>Таблица1[[#This Row],[Годовой доход]]/12</f>
        <v>52104.333333333336</v>
      </c>
      <c r="X1526" s="3">
        <f>Таблица1[[#This Row],[Ежемесячный платеж]]/Таблица1[[#This Row],[Ежем доход]]</f>
        <v>0.10899841983712166</v>
      </c>
      <c r="Y1526" s="3"/>
      <c r="Z1526" s="3"/>
      <c r="AA1526" s="3"/>
      <c r="AB1526" s="3"/>
    </row>
    <row r="1527" spans="1:28" x14ac:dyDescent="0.2">
      <c r="A1527">
        <v>1453</v>
      </c>
      <c r="B1527" t="s">
        <v>1492</v>
      </c>
      <c r="C1527" t="s">
        <v>35</v>
      </c>
      <c r="D1527" t="s">
        <v>19</v>
      </c>
      <c r="E1527" t="s">
        <v>32</v>
      </c>
      <c r="F1527" t="s">
        <v>27</v>
      </c>
      <c r="G1527" t="s">
        <v>25</v>
      </c>
      <c r="H1527" s="1">
        <v>177144</v>
      </c>
      <c r="I1527" s="3">
        <v>0</v>
      </c>
      <c r="J1527" s="3">
        <v>1168044</v>
      </c>
      <c r="K1527" s="3">
        <v>9437.49</v>
      </c>
      <c r="L1527" s="2">
        <v>6.7</v>
      </c>
      <c r="M1527" s="11">
        <v>35.265240640000002</v>
      </c>
      <c r="N1527" s="3">
        <v>6</v>
      </c>
      <c r="O1527" s="3">
        <v>155268</v>
      </c>
      <c r="P1527" s="3">
        <v>256828</v>
      </c>
      <c r="Q1527" s="10">
        <v>0</v>
      </c>
      <c r="R1527" s="3">
        <f>(Таблица1[Размер кредита]-$AA$2)/$AA$3</f>
        <v>-0.75407804127204048</v>
      </c>
      <c r="S1527" s="3">
        <f>(Таблица1[Кредитный рейтинг]-$AA$7)/($AA$8-$AA$7)</f>
        <v>0</v>
      </c>
      <c r="T1527" s="3">
        <f>(Таблица1[Срок с последнего нарушения кредитного договора (мес,)]-$AA$12)/($AA$13-$AA$12)</f>
        <v>0.40074137090909095</v>
      </c>
      <c r="U1527" s="3">
        <f>(Таблица1[Количество кредитных карт]-$AA$18)/($AA$19-$AA$18)</f>
        <v>0.11904761904761904</v>
      </c>
      <c r="V1527" s="3">
        <f>(Таблица1[Число нарушений кредитных договоров]-$AA$23)/($AA$24-$AA$23)</f>
        <v>0</v>
      </c>
      <c r="W1527" s="3">
        <f>Таблица1[[#This Row],[Годовой доход]]/12</f>
        <v>97337</v>
      </c>
      <c r="X1527" s="3">
        <f>Таблица1[[#This Row],[Ежемесячный платеж]]/Таблица1[[#This Row],[Ежем доход]]</f>
        <v>9.6956861214132342E-2</v>
      </c>
      <c r="Y1527" s="3"/>
      <c r="Z1527" s="3"/>
      <c r="AA1527" s="3"/>
      <c r="AB1527" s="3"/>
    </row>
    <row r="1528" spans="1:28" x14ac:dyDescent="0.2">
      <c r="A1528">
        <v>1112</v>
      </c>
      <c r="B1528" t="s">
        <v>1151</v>
      </c>
      <c r="C1528" t="s">
        <v>18</v>
      </c>
      <c r="D1528" t="s">
        <v>19</v>
      </c>
      <c r="E1528" t="s">
        <v>32</v>
      </c>
      <c r="F1528" t="s">
        <v>33</v>
      </c>
      <c r="G1528" t="s">
        <v>67</v>
      </c>
      <c r="H1528" s="1">
        <v>21934</v>
      </c>
      <c r="I1528" s="3">
        <v>702</v>
      </c>
      <c r="J1528" s="3">
        <v>729087</v>
      </c>
      <c r="K1528" s="3">
        <v>16039.8</v>
      </c>
      <c r="L1528" s="2">
        <v>15.3</v>
      </c>
      <c r="M1528" s="11">
        <v>35.265240640000002</v>
      </c>
      <c r="N1528" s="3">
        <v>10</v>
      </c>
      <c r="O1528" s="3">
        <v>135166</v>
      </c>
      <c r="P1528" s="3">
        <v>256586</v>
      </c>
      <c r="Q1528" s="10">
        <v>0</v>
      </c>
      <c r="R1528" s="3">
        <f>(Таблица1[Размер кредита]-$AA$2)/$AA$3</f>
        <v>-1.6377321702138667</v>
      </c>
      <c r="S1528" s="3">
        <f>(Таблица1[Кредитный рейтинг]-$AA$7)/($AA$8-$AA$7)</f>
        <v>0.93475366178428765</v>
      </c>
      <c r="T1528" s="3">
        <f>(Таблица1[Срок с последнего нарушения кредитного договора (мес,)]-$AA$12)/($AA$13-$AA$12)</f>
        <v>0.40074137090909095</v>
      </c>
      <c r="U1528" s="3">
        <f>(Таблица1[Количество кредитных карт]-$AA$18)/($AA$19-$AA$18)</f>
        <v>0.21428571428571427</v>
      </c>
      <c r="V1528" s="3">
        <f>(Таблица1[Число нарушений кредитных договоров]-$AA$23)/($AA$24-$AA$23)</f>
        <v>0</v>
      </c>
      <c r="W1528" s="3">
        <f>Таблица1[[#This Row],[Годовой доход]]/12</f>
        <v>60757.25</v>
      </c>
      <c r="X1528" s="3">
        <f>Таблица1[[#This Row],[Ежемесячный платеж]]/Таблица1[[#This Row],[Ежем доход]]</f>
        <v>0.26399812368071301</v>
      </c>
      <c r="Y1528" s="3"/>
      <c r="Z1528" s="3"/>
      <c r="AA1528" s="3"/>
      <c r="AB1528" s="3"/>
    </row>
    <row r="1529" spans="1:28" x14ac:dyDescent="0.2">
      <c r="A1529">
        <v>400</v>
      </c>
      <c r="B1529" t="s">
        <v>442</v>
      </c>
      <c r="C1529" t="s">
        <v>18</v>
      </c>
      <c r="D1529" t="s">
        <v>29</v>
      </c>
      <c r="E1529" t="s">
        <v>37</v>
      </c>
      <c r="F1529" t="s">
        <v>21</v>
      </c>
      <c r="G1529" t="s">
        <v>25</v>
      </c>
      <c r="H1529" s="1">
        <v>516978</v>
      </c>
      <c r="I1529" s="3">
        <v>712</v>
      </c>
      <c r="J1529" s="3">
        <v>1261809</v>
      </c>
      <c r="K1529" s="3">
        <v>15457.07</v>
      </c>
      <c r="L1529" s="2">
        <v>11</v>
      </c>
      <c r="M1529" s="11">
        <v>35.265240640000002</v>
      </c>
      <c r="N1529" s="3">
        <v>15</v>
      </c>
      <c r="O1529" s="3">
        <v>179208</v>
      </c>
      <c r="P1529" s="3">
        <v>256190</v>
      </c>
      <c r="Q1529" s="10">
        <v>0</v>
      </c>
      <c r="R1529" s="3">
        <f>(Таблица1[Размер кредита]-$AA$2)/$AA$3</f>
        <v>1.1806923810900278</v>
      </c>
      <c r="S1529" s="3">
        <f>(Таблица1[Кредитный рейтинг]-$AA$7)/($AA$8-$AA$7)</f>
        <v>0.94806924101198398</v>
      </c>
      <c r="T1529" s="3">
        <f>(Таблица1[Срок с последнего нарушения кредитного договора (мес,)]-$AA$12)/($AA$13-$AA$12)</f>
        <v>0.40074137090909095</v>
      </c>
      <c r="U1529" s="3">
        <f>(Таблица1[Количество кредитных карт]-$AA$18)/($AA$19-$AA$18)</f>
        <v>0.33333333333333331</v>
      </c>
      <c r="V1529" s="3">
        <f>(Таблица1[Число нарушений кредитных договоров]-$AA$23)/($AA$24-$AA$23)</f>
        <v>0</v>
      </c>
      <c r="W1529" s="3">
        <f>Таблица1[[#This Row],[Годовой доход]]/12</f>
        <v>105150.75</v>
      </c>
      <c r="X1529" s="3">
        <f>Таблица1[[#This Row],[Ежемесячный платеж]]/Таблица1[[#This Row],[Ежем доход]]</f>
        <v>0.14699914170845191</v>
      </c>
      <c r="Y1529" s="3"/>
      <c r="Z1529" s="3"/>
      <c r="AA1529" s="3"/>
      <c r="AB1529" s="3"/>
    </row>
    <row r="1530" spans="1:28" x14ac:dyDescent="0.2">
      <c r="A1530">
        <v>245</v>
      </c>
      <c r="B1530" t="s">
        <v>287</v>
      </c>
      <c r="C1530" t="s">
        <v>18</v>
      </c>
      <c r="D1530" t="s">
        <v>19</v>
      </c>
      <c r="E1530" t="s">
        <v>20</v>
      </c>
      <c r="F1530" t="s">
        <v>21</v>
      </c>
      <c r="G1530" t="s">
        <v>25</v>
      </c>
      <c r="H1530" s="1">
        <v>131032</v>
      </c>
      <c r="I1530" s="3">
        <v>0</v>
      </c>
      <c r="J1530" s="3">
        <v>1168044</v>
      </c>
      <c r="K1530" s="3">
        <v>2696.86</v>
      </c>
      <c r="L1530" s="2">
        <v>9.9</v>
      </c>
      <c r="M1530" s="11">
        <v>31</v>
      </c>
      <c r="N1530" s="3">
        <v>8</v>
      </c>
      <c r="O1530" s="3">
        <v>77520</v>
      </c>
      <c r="P1530" s="3">
        <v>255684</v>
      </c>
      <c r="Q1530" s="10">
        <v>0</v>
      </c>
      <c r="R1530" s="3">
        <f>(Таблица1[Размер кредита]-$AA$2)/$AA$3</f>
        <v>-1.0166066102673725</v>
      </c>
      <c r="S1530" s="3">
        <f>(Таблица1[Кредитный рейтинг]-$AA$7)/($AA$8-$AA$7)</f>
        <v>0</v>
      </c>
      <c r="T1530" s="3">
        <f>(Таблица1[Срок с последнего нарушения кредитного договора (мес,)]-$AA$12)/($AA$13-$AA$12)</f>
        <v>0.35227272727272729</v>
      </c>
      <c r="U1530" s="3">
        <f>(Таблица1[Количество кредитных карт]-$AA$18)/($AA$19-$AA$18)</f>
        <v>0.16666666666666666</v>
      </c>
      <c r="V1530" s="3">
        <f>(Таблица1[Число нарушений кредитных договоров]-$AA$23)/($AA$24-$AA$23)</f>
        <v>0</v>
      </c>
      <c r="W1530" s="3">
        <f>Таблица1[[#This Row],[Годовой доход]]/12</f>
        <v>97337</v>
      </c>
      <c r="X1530" s="3">
        <f>Таблица1[[#This Row],[Ежемесячный платеж]]/Таблица1[[#This Row],[Ежем доход]]</f>
        <v>2.7706422018348626E-2</v>
      </c>
      <c r="Y1530" s="3"/>
      <c r="Z1530" s="3"/>
      <c r="AA1530" s="3"/>
      <c r="AB1530" s="3"/>
    </row>
    <row r="1531" spans="1:28" x14ac:dyDescent="0.2">
      <c r="A1531">
        <v>1607</v>
      </c>
      <c r="B1531" t="s">
        <v>1646</v>
      </c>
      <c r="C1531" t="s">
        <v>18</v>
      </c>
      <c r="D1531" t="s">
        <v>19</v>
      </c>
      <c r="E1531" t="s">
        <v>24</v>
      </c>
      <c r="F1531" t="s">
        <v>33</v>
      </c>
      <c r="G1531" t="s">
        <v>25</v>
      </c>
      <c r="H1531" s="1">
        <v>309594.52439999999</v>
      </c>
      <c r="I1531" s="3">
        <v>714</v>
      </c>
      <c r="J1531" s="3">
        <v>556263</v>
      </c>
      <c r="K1531" s="3">
        <v>3504.55</v>
      </c>
      <c r="L1531" s="2">
        <v>9.8000000000000007</v>
      </c>
      <c r="M1531" s="11">
        <v>35.265240640000002</v>
      </c>
      <c r="N1531" s="3">
        <v>4</v>
      </c>
      <c r="O1531" s="3">
        <v>102866</v>
      </c>
      <c r="P1531" s="3">
        <v>255618</v>
      </c>
      <c r="Q1531" s="10">
        <v>0</v>
      </c>
      <c r="R1531" s="3">
        <f>(Таблица1[Размер кредита]-$AA$2)/$AA$3</f>
        <v>-1.2411115481956205E-10</v>
      </c>
      <c r="S1531" s="3">
        <f>(Таблица1[Кредитный рейтинг]-$AA$7)/($AA$8-$AA$7)</f>
        <v>0.95073235685752333</v>
      </c>
      <c r="T1531" s="3">
        <f>(Таблица1[Срок с последнего нарушения кредитного договора (мес,)]-$AA$12)/($AA$13-$AA$12)</f>
        <v>0.40074137090909095</v>
      </c>
      <c r="U1531" s="3">
        <f>(Таблица1[Количество кредитных карт]-$AA$18)/($AA$19-$AA$18)</f>
        <v>7.1428571428571425E-2</v>
      </c>
      <c r="V1531" s="3">
        <f>(Таблица1[Число нарушений кредитных договоров]-$AA$23)/($AA$24-$AA$23)</f>
        <v>0</v>
      </c>
      <c r="W1531" s="3">
        <f>Таблица1[[#This Row],[Годовой доход]]/12</f>
        <v>46355.25</v>
      </c>
      <c r="X1531" s="3">
        <f>Таблица1[[#This Row],[Ежемесячный платеж]]/Таблица1[[#This Row],[Ежем доход]]</f>
        <v>7.5602008402500254E-2</v>
      </c>
      <c r="Y1531" s="3"/>
      <c r="Z1531" s="3"/>
      <c r="AA1531" s="3"/>
      <c r="AB1531" s="3"/>
    </row>
    <row r="1532" spans="1:28" x14ac:dyDescent="0.2">
      <c r="A1532">
        <v>473</v>
      </c>
      <c r="B1532" t="s">
        <v>514</v>
      </c>
      <c r="C1532" t="s">
        <v>18</v>
      </c>
      <c r="D1532" t="s">
        <v>19</v>
      </c>
      <c r="E1532" t="s">
        <v>47</v>
      </c>
      <c r="F1532" t="s">
        <v>33</v>
      </c>
      <c r="G1532" t="s">
        <v>25</v>
      </c>
      <c r="H1532" s="1">
        <v>311608</v>
      </c>
      <c r="I1532" s="3">
        <v>0</v>
      </c>
      <c r="J1532" s="3">
        <v>1168044</v>
      </c>
      <c r="K1532" s="3">
        <v>19115.14</v>
      </c>
      <c r="L1532" s="2">
        <v>15.9</v>
      </c>
      <c r="M1532" s="11">
        <v>35.265240640000002</v>
      </c>
      <c r="N1532" s="3">
        <v>8</v>
      </c>
      <c r="O1532" s="3">
        <v>120460</v>
      </c>
      <c r="P1532" s="3">
        <v>255464</v>
      </c>
      <c r="Q1532" s="10">
        <v>0</v>
      </c>
      <c r="R1532" s="3">
        <f>(Таблица1[Размер кредита]-$AA$2)/$AA$3</f>
        <v>1.1463282057859245E-2</v>
      </c>
      <c r="S1532" s="3">
        <f>(Таблица1[Кредитный рейтинг]-$AA$7)/($AA$8-$AA$7)</f>
        <v>0</v>
      </c>
      <c r="T1532" s="3">
        <f>(Таблица1[Срок с последнего нарушения кредитного договора (мес,)]-$AA$12)/($AA$13-$AA$12)</f>
        <v>0.40074137090909095</v>
      </c>
      <c r="U1532" s="3">
        <f>(Таблица1[Количество кредитных карт]-$AA$18)/($AA$19-$AA$18)</f>
        <v>0.16666666666666666</v>
      </c>
      <c r="V1532" s="3">
        <f>(Таблица1[Число нарушений кредитных договоров]-$AA$23)/($AA$24-$AA$23)</f>
        <v>0</v>
      </c>
      <c r="W1532" s="3">
        <f>Таблица1[[#This Row],[Годовой доход]]/12</f>
        <v>97337</v>
      </c>
      <c r="X1532" s="3">
        <f>Таблица1[[#This Row],[Ежемесячный платеж]]/Таблица1[[#This Row],[Ежем доход]]</f>
        <v>0.19638102674214328</v>
      </c>
      <c r="Y1532" s="3"/>
      <c r="Z1532" s="3"/>
      <c r="AA1532" s="3"/>
      <c r="AB1532" s="3"/>
    </row>
    <row r="1533" spans="1:28" x14ac:dyDescent="0.2">
      <c r="A1533">
        <v>1244</v>
      </c>
      <c r="B1533" t="s">
        <v>1283</v>
      </c>
      <c r="C1533" t="s">
        <v>18</v>
      </c>
      <c r="D1533" t="s">
        <v>19</v>
      </c>
      <c r="E1533" t="s">
        <v>24</v>
      </c>
      <c r="F1533" t="s">
        <v>27</v>
      </c>
      <c r="G1533" t="s">
        <v>25</v>
      </c>
      <c r="H1533" s="1">
        <v>154594</v>
      </c>
      <c r="I1533" s="3">
        <v>0</v>
      </c>
      <c r="J1533" s="3">
        <v>1168044</v>
      </c>
      <c r="K1533" s="3">
        <v>10075.51</v>
      </c>
      <c r="L1533" s="2">
        <v>12.7</v>
      </c>
      <c r="M1533" s="11">
        <v>35.265240640000002</v>
      </c>
      <c r="N1533" s="3">
        <v>7</v>
      </c>
      <c r="O1533" s="3">
        <v>97280</v>
      </c>
      <c r="P1533" s="3">
        <v>255420</v>
      </c>
      <c r="Q1533" s="10">
        <v>0</v>
      </c>
      <c r="R1533" s="3">
        <f>(Таблица1[Размер кредита]-$AA$2)/$AA$3</f>
        <v>-0.88246152563283031</v>
      </c>
      <c r="S1533" s="3">
        <f>(Таблица1[Кредитный рейтинг]-$AA$7)/($AA$8-$AA$7)</f>
        <v>0</v>
      </c>
      <c r="T1533" s="3">
        <f>(Таблица1[Срок с последнего нарушения кредитного договора (мес,)]-$AA$12)/($AA$13-$AA$12)</f>
        <v>0.40074137090909095</v>
      </c>
      <c r="U1533" s="3">
        <f>(Таблица1[Количество кредитных карт]-$AA$18)/($AA$19-$AA$18)</f>
        <v>0.14285714285714285</v>
      </c>
      <c r="V1533" s="3">
        <f>(Таблица1[Число нарушений кредитных договоров]-$AA$23)/($AA$24-$AA$23)</f>
        <v>0</v>
      </c>
      <c r="W1533" s="3">
        <f>Таблица1[[#This Row],[Годовой доход]]/12</f>
        <v>97337</v>
      </c>
      <c r="X1533" s="3">
        <f>Таблица1[[#This Row],[Ежемесячный платеж]]/Таблица1[[#This Row],[Ежем доход]]</f>
        <v>0.10351161428850283</v>
      </c>
      <c r="Y1533" s="3"/>
      <c r="Z1533" s="3"/>
      <c r="AA1533" s="3"/>
      <c r="AB1533" s="3"/>
    </row>
    <row r="1534" spans="1:28" x14ac:dyDescent="0.2">
      <c r="A1534">
        <v>1794</v>
      </c>
      <c r="B1534" t="s">
        <v>1832</v>
      </c>
      <c r="C1534" t="s">
        <v>35</v>
      </c>
      <c r="D1534" t="s">
        <v>29</v>
      </c>
      <c r="E1534" t="s">
        <v>30</v>
      </c>
      <c r="F1534" t="s">
        <v>21</v>
      </c>
      <c r="G1534" t="s">
        <v>25</v>
      </c>
      <c r="H1534" s="1">
        <v>370282</v>
      </c>
      <c r="I1534" s="3">
        <v>680</v>
      </c>
      <c r="J1534" s="3">
        <v>999001</v>
      </c>
      <c r="K1534" s="3">
        <v>11155.47</v>
      </c>
      <c r="L1534" s="2">
        <v>15.5</v>
      </c>
      <c r="M1534" s="11">
        <v>35.265240640000002</v>
      </c>
      <c r="N1534" s="3">
        <v>10</v>
      </c>
      <c r="O1534" s="3">
        <v>26904</v>
      </c>
      <c r="P1534" s="3">
        <v>255288</v>
      </c>
      <c r="Q1534" s="10">
        <v>1</v>
      </c>
      <c r="R1534" s="3">
        <f>(Таблица1[Размер кредита]-$AA$2)/$AA$3</f>
        <v>0.34551084575564106</v>
      </c>
      <c r="S1534" s="3">
        <f>(Таблица1[Кредитный рейтинг]-$AA$7)/($AA$8-$AA$7)</f>
        <v>0.90545938748335553</v>
      </c>
      <c r="T1534" s="3">
        <f>(Таблица1[Срок с последнего нарушения кредитного договора (мес,)]-$AA$12)/($AA$13-$AA$12)</f>
        <v>0.40074137090909095</v>
      </c>
      <c r="U1534" s="3">
        <f>(Таблица1[Количество кредитных карт]-$AA$18)/($AA$19-$AA$18)</f>
        <v>0.21428571428571427</v>
      </c>
      <c r="V1534" s="3">
        <f>(Таблица1[Число нарушений кредитных договоров]-$AA$23)/($AA$24-$AA$23)</f>
        <v>0.14285714285714285</v>
      </c>
      <c r="W1534" s="3">
        <f>Таблица1[[#This Row],[Годовой доход]]/12</f>
        <v>83250.083333333328</v>
      </c>
      <c r="X1534" s="3">
        <f>Таблица1[[#This Row],[Ежемесячный платеж]]/Таблица1[[#This Row],[Ежем доход]]</f>
        <v>0.13399950550600048</v>
      </c>
      <c r="Y1534" s="3"/>
      <c r="Z1534" s="3"/>
      <c r="AA1534" s="3"/>
      <c r="AB1534" s="3"/>
    </row>
    <row r="1535" spans="1:28" x14ac:dyDescent="0.2">
      <c r="A1535">
        <v>722</v>
      </c>
      <c r="B1535" t="s">
        <v>763</v>
      </c>
      <c r="C1535" t="s">
        <v>18</v>
      </c>
      <c r="D1535" t="s">
        <v>19</v>
      </c>
      <c r="E1535" t="s">
        <v>32</v>
      </c>
      <c r="F1535" t="s">
        <v>21</v>
      </c>
      <c r="G1535" t="s">
        <v>25</v>
      </c>
      <c r="H1535" s="1">
        <v>216128</v>
      </c>
      <c r="I1535" s="3">
        <v>715</v>
      </c>
      <c r="J1535" s="3">
        <v>1175929</v>
      </c>
      <c r="K1535" s="3">
        <v>15483.1</v>
      </c>
      <c r="L1535" s="2">
        <v>32.299999999999997</v>
      </c>
      <c r="M1535" s="11">
        <v>35.265240640000002</v>
      </c>
      <c r="N1535" s="3">
        <v>12</v>
      </c>
      <c r="O1535" s="3">
        <v>137332</v>
      </c>
      <c r="P1535" s="3">
        <v>255222</v>
      </c>
      <c r="Q1535" s="10">
        <v>2</v>
      </c>
      <c r="R1535" s="3">
        <f>(Таблица1[Размер кредита]-$AA$2)/$AA$3</f>
        <v>-0.53213117855270442</v>
      </c>
      <c r="S1535" s="3">
        <f>(Таблица1[Кредитный рейтинг]-$AA$7)/($AA$8-$AA$7)</f>
        <v>0.95206391478029295</v>
      </c>
      <c r="T1535" s="3">
        <f>(Таблица1[Срок с последнего нарушения кредитного договора (мес,)]-$AA$12)/($AA$13-$AA$12)</f>
        <v>0.40074137090909095</v>
      </c>
      <c r="U1535" s="3">
        <f>(Таблица1[Количество кредитных карт]-$AA$18)/($AA$19-$AA$18)</f>
        <v>0.26190476190476192</v>
      </c>
      <c r="V1535" s="3">
        <f>(Таблица1[Число нарушений кредитных договоров]-$AA$23)/($AA$24-$AA$23)</f>
        <v>0.2857142857142857</v>
      </c>
      <c r="W1535" s="3">
        <f>Таблица1[[#This Row],[Годовой доход]]/12</f>
        <v>97994.083333333328</v>
      </c>
      <c r="X1535" s="3">
        <f>Таблица1[[#This Row],[Ежемесячный платеж]]/Таблица1[[#This Row],[Ежем доход]]</f>
        <v>0.15800035546363769</v>
      </c>
      <c r="Y1535" s="3"/>
      <c r="Z1535" s="3"/>
      <c r="AA1535" s="3"/>
      <c r="AB1535" s="3"/>
    </row>
    <row r="1536" spans="1:28" x14ac:dyDescent="0.2">
      <c r="A1536">
        <v>1436</v>
      </c>
      <c r="B1536" t="s">
        <v>1475</v>
      </c>
      <c r="C1536" t="s">
        <v>18</v>
      </c>
      <c r="D1536" t="s">
        <v>19</v>
      </c>
      <c r="E1536" t="s">
        <v>24</v>
      </c>
      <c r="F1536" t="s">
        <v>33</v>
      </c>
      <c r="G1536" t="s">
        <v>25</v>
      </c>
      <c r="H1536" s="1">
        <v>110836</v>
      </c>
      <c r="I1536" s="3">
        <v>742</v>
      </c>
      <c r="J1536" s="3">
        <v>765700</v>
      </c>
      <c r="K1536" s="3">
        <v>3407.46</v>
      </c>
      <c r="L1536" s="2">
        <v>13.9</v>
      </c>
      <c r="M1536" s="11">
        <v>35.265240640000002</v>
      </c>
      <c r="N1536" s="3">
        <v>5</v>
      </c>
      <c r="O1536" s="3">
        <v>107293</v>
      </c>
      <c r="P1536" s="3">
        <v>255090</v>
      </c>
      <c r="Q1536" s="10">
        <v>0</v>
      </c>
      <c r="R1536" s="3">
        <f>(Таблица1[Размер кредита]-$AA$2)/$AA$3</f>
        <v>-1.1315881113826947</v>
      </c>
      <c r="S1536" s="3">
        <f>(Таблица1[Кредитный рейтинг]-$AA$7)/($AA$8-$AA$7)</f>
        <v>0.98801597869507318</v>
      </c>
      <c r="T1536" s="3">
        <f>(Таблица1[Срок с последнего нарушения кредитного договора (мес,)]-$AA$12)/($AA$13-$AA$12)</f>
        <v>0.40074137090909095</v>
      </c>
      <c r="U1536" s="3">
        <f>(Таблица1[Количество кредитных карт]-$AA$18)/($AA$19-$AA$18)</f>
        <v>9.5238095238095233E-2</v>
      </c>
      <c r="V1536" s="3">
        <f>(Таблица1[Число нарушений кредитных договоров]-$AA$23)/($AA$24-$AA$23)</f>
        <v>0</v>
      </c>
      <c r="W1536" s="3">
        <f>Таблица1[[#This Row],[Годовой доход]]/12</f>
        <v>63808.333333333336</v>
      </c>
      <c r="X1536" s="3">
        <f>Таблица1[[#This Row],[Ежемесячный платеж]]/Таблица1[[#This Row],[Ежем доход]]</f>
        <v>5.3401488833746895E-2</v>
      </c>
      <c r="Y1536" s="3"/>
      <c r="Z1536" s="3"/>
      <c r="AA1536" s="3"/>
      <c r="AB1536" s="3"/>
    </row>
    <row r="1537" spans="1:28" x14ac:dyDescent="0.2">
      <c r="A1537">
        <v>432</v>
      </c>
      <c r="B1537" t="s">
        <v>473</v>
      </c>
      <c r="C1537" t="s">
        <v>35</v>
      </c>
      <c r="D1537" t="s">
        <v>19</v>
      </c>
      <c r="E1537" t="s">
        <v>24</v>
      </c>
      <c r="F1537" t="s">
        <v>21</v>
      </c>
      <c r="G1537" t="s">
        <v>25</v>
      </c>
      <c r="H1537" s="1">
        <v>207636</v>
      </c>
      <c r="I1537" s="3">
        <v>0</v>
      </c>
      <c r="J1537" s="3">
        <v>1168044</v>
      </c>
      <c r="K1537" s="3">
        <v>15330.53</v>
      </c>
      <c r="L1537" s="2">
        <v>19.7</v>
      </c>
      <c r="M1537" s="11">
        <v>8</v>
      </c>
      <c r="N1537" s="3">
        <v>9</v>
      </c>
      <c r="O1537" s="3">
        <v>184281</v>
      </c>
      <c r="P1537" s="3">
        <v>254936</v>
      </c>
      <c r="Q1537" s="10">
        <v>0</v>
      </c>
      <c r="R1537" s="3">
        <f>(Таблица1[Размер кредита]-$AA$2)/$AA$3</f>
        <v>-0.58047851998027988</v>
      </c>
      <c r="S1537" s="3">
        <f>(Таблица1[Кредитный рейтинг]-$AA$7)/($AA$8-$AA$7)</f>
        <v>0</v>
      </c>
      <c r="T1537" s="3">
        <f>(Таблица1[Срок с последнего нарушения кредитного договора (мес,)]-$AA$12)/($AA$13-$AA$12)</f>
        <v>9.0909090909090912E-2</v>
      </c>
      <c r="U1537" s="3">
        <f>(Таблица1[Количество кредитных карт]-$AA$18)/($AA$19-$AA$18)</f>
        <v>0.19047619047619047</v>
      </c>
      <c r="V1537" s="3">
        <f>(Таблица1[Число нарушений кредитных договоров]-$AA$23)/($AA$24-$AA$23)</f>
        <v>0</v>
      </c>
      <c r="W1537" s="3">
        <f>Таблица1[[#This Row],[Годовой доход]]/12</f>
        <v>97337</v>
      </c>
      <c r="X1537" s="3">
        <f>Таблица1[[#This Row],[Ежемесячный платеж]]/Таблица1[[#This Row],[Ежем доход]]</f>
        <v>0.15749951200468476</v>
      </c>
      <c r="Y1537" s="3"/>
      <c r="Z1537" s="3"/>
      <c r="AA1537" s="3"/>
      <c r="AB1537" s="3"/>
    </row>
    <row r="1538" spans="1:28" x14ac:dyDescent="0.2">
      <c r="A1538">
        <v>1678</v>
      </c>
      <c r="B1538" t="s">
        <v>1716</v>
      </c>
      <c r="C1538" t="s">
        <v>18</v>
      </c>
      <c r="D1538" t="s">
        <v>29</v>
      </c>
      <c r="E1538" t="s">
        <v>24</v>
      </c>
      <c r="F1538" t="s">
        <v>21</v>
      </c>
      <c r="G1538" t="s">
        <v>25</v>
      </c>
      <c r="H1538" s="1">
        <v>482944</v>
      </c>
      <c r="I1538" s="3">
        <v>696</v>
      </c>
      <c r="J1538" s="3">
        <v>1327872</v>
      </c>
      <c r="K1538" s="3">
        <v>11618.88</v>
      </c>
      <c r="L1538" s="2">
        <v>22.8</v>
      </c>
      <c r="M1538" s="11">
        <v>39</v>
      </c>
      <c r="N1538" s="3">
        <v>10</v>
      </c>
      <c r="O1538" s="3">
        <v>207974</v>
      </c>
      <c r="P1538" s="3">
        <v>254540</v>
      </c>
      <c r="Q1538" s="10">
        <v>0</v>
      </c>
      <c r="R1538" s="3">
        <f>(Таблица1[Размер кредита]-$AA$2)/$AA$3</f>
        <v>0.98692725884013333</v>
      </c>
      <c r="S1538" s="3">
        <f>(Таблица1[Кредитный рейтинг]-$AA$7)/($AA$8-$AA$7)</f>
        <v>0.92676431424766981</v>
      </c>
      <c r="T1538" s="3">
        <f>(Таблица1[Срок с последнего нарушения кредитного договора (мес,)]-$AA$12)/($AA$13-$AA$12)</f>
        <v>0.44318181818181818</v>
      </c>
      <c r="U1538" s="3">
        <f>(Таблица1[Количество кредитных карт]-$AA$18)/($AA$19-$AA$18)</f>
        <v>0.21428571428571427</v>
      </c>
      <c r="V1538" s="3">
        <f>(Таблица1[Число нарушений кредитных договоров]-$AA$23)/($AA$24-$AA$23)</f>
        <v>0</v>
      </c>
      <c r="W1538" s="3">
        <f>Таблица1[[#This Row],[Годовой доход]]/12</f>
        <v>110656</v>
      </c>
      <c r="X1538" s="3">
        <f>Таблица1[[#This Row],[Ежемесячный платеж]]/Таблица1[[#This Row],[Ежем доход]]</f>
        <v>0.105</v>
      </c>
      <c r="Y1538" s="3"/>
      <c r="Z1538" s="3"/>
      <c r="AA1538" s="3"/>
      <c r="AB1538" s="3"/>
    </row>
    <row r="1539" spans="1:28" x14ac:dyDescent="0.2">
      <c r="A1539">
        <v>1380</v>
      </c>
      <c r="B1539" t="s">
        <v>1419</v>
      </c>
      <c r="C1539" t="s">
        <v>18</v>
      </c>
      <c r="D1539" t="s">
        <v>19</v>
      </c>
      <c r="E1539" t="s">
        <v>47</v>
      </c>
      <c r="F1539" t="s">
        <v>33</v>
      </c>
      <c r="G1539" t="s">
        <v>67</v>
      </c>
      <c r="H1539" s="1">
        <v>309594.52439999999</v>
      </c>
      <c r="I1539" s="3">
        <v>720</v>
      </c>
      <c r="J1539" s="3">
        <v>2003854</v>
      </c>
      <c r="K1539" s="3">
        <v>14294.27</v>
      </c>
      <c r="L1539" s="2">
        <v>22.6</v>
      </c>
      <c r="M1539" s="11">
        <v>35.265240640000002</v>
      </c>
      <c r="N1539" s="3">
        <v>9</v>
      </c>
      <c r="O1539" s="3">
        <v>137446</v>
      </c>
      <c r="P1539" s="3">
        <v>254232</v>
      </c>
      <c r="Q1539" s="10">
        <v>1</v>
      </c>
      <c r="R1539" s="3">
        <f>(Таблица1[Размер кредита]-$AA$2)/$AA$3</f>
        <v>-1.2411115481956205E-10</v>
      </c>
      <c r="S1539" s="3">
        <f>(Таблица1[Кредитный рейтинг]-$AA$7)/($AA$8-$AA$7)</f>
        <v>0.95872170439414117</v>
      </c>
      <c r="T1539" s="3">
        <f>(Таблица1[Срок с последнего нарушения кредитного договора (мес,)]-$AA$12)/($AA$13-$AA$12)</f>
        <v>0.40074137090909095</v>
      </c>
      <c r="U1539" s="3">
        <f>(Таблица1[Количество кредитных карт]-$AA$18)/($AA$19-$AA$18)</f>
        <v>0.19047619047619047</v>
      </c>
      <c r="V1539" s="3">
        <f>(Таблица1[Число нарушений кредитных договоров]-$AA$23)/($AA$24-$AA$23)</f>
        <v>0.14285714285714285</v>
      </c>
      <c r="W1539" s="3">
        <f>Таблица1[[#This Row],[Годовой доход]]/12</f>
        <v>166987.83333333334</v>
      </c>
      <c r="X1539" s="3">
        <f>Таблица1[[#This Row],[Ежемесячный платеж]]/Таблица1[[#This Row],[Ежем доход]]</f>
        <v>8.5600667513701101E-2</v>
      </c>
      <c r="Y1539" s="3"/>
      <c r="Z1539" s="3"/>
      <c r="AA1539" s="3"/>
      <c r="AB1539" s="3"/>
    </row>
    <row r="1540" spans="1:28" x14ac:dyDescent="0.2">
      <c r="A1540">
        <v>1804</v>
      </c>
      <c r="B1540" t="s">
        <v>1842</v>
      </c>
      <c r="C1540" t="s">
        <v>35</v>
      </c>
      <c r="D1540" t="s">
        <v>19</v>
      </c>
      <c r="E1540" t="s">
        <v>24</v>
      </c>
      <c r="F1540" t="s">
        <v>33</v>
      </c>
      <c r="G1540" t="s">
        <v>25</v>
      </c>
      <c r="H1540" s="1">
        <v>232540</v>
      </c>
      <c r="I1540" s="3">
        <v>0</v>
      </c>
      <c r="J1540" s="3">
        <v>1168044</v>
      </c>
      <c r="K1540" s="3">
        <v>18534.12</v>
      </c>
      <c r="L1540" s="2">
        <v>13.4</v>
      </c>
      <c r="M1540" s="11">
        <v>35.265240640000002</v>
      </c>
      <c r="N1540" s="3">
        <v>13</v>
      </c>
      <c r="O1540" s="3">
        <v>159847</v>
      </c>
      <c r="P1540" s="3">
        <v>253902</v>
      </c>
      <c r="Q1540" s="10">
        <v>0</v>
      </c>
      <c r="R1540" s="3">
        <f>(Таблица1[Размер кредита]-$AA$2)/$AA$3</f>
        <v>-0.43869305237402223</v>
      </c>
      <c r="S1540" s="3">
        <f>(Таблица1[Кредитный рейтинг]-$AA$7)/($AA$8-$AA$7)</f>
        <v>0</v>
      </c>
      <c r="T1540" s="3">
        <f>(Таблица1[Срок с последнего нарушения кредитного договора (мес,)]-$AA$12)/($AA$13-$AA$12)</f>
        <v>0.40074137090909095</v>
      </c>
      <c r="U1540" s="3">
        <f>(Таблица1[Количество кредитных карт]-$AA$18)/($AA$19-$AA$18)</f>
        <v>0.2857142857142857</v>
      </c>
      <c r="V1540" s="3">
        <f>(Таблица1[Число нарушений кредитных договоров]-$AA$23)/($AA$24-$AA$23)</f>
        <v>0</v>
      </c>
      <c r="W1540" s="3">
        <f>Таблица1[[#This Row],[Годовой доход]]/12</f>
        <v>97337</v>
      </c>
      <c r="X1540" s="3">
        <f>Таблица1[[#This Row],[Ежемесячный платеж]]/Таблица1[[#This Row],[Ежем доход]]</f>
        <v>0.19041186804606675</v>
      </c>
      <c r="Y1540" s="3"/>
      <c r="Z1540" s="3"/>
      <c r="AA1540" s="3"/>
      <c r="AB1540" s="3"/>
    </row>
    <row r="1541" spans="1:28" x14ac:dyDescent="0.2">
      <c r="A1541">
        <v>892</v>
      </c>
      <c r="B1541" t="s">
        <v>933</v>
      </c>
      <c r="C1541" t="s">
        <v>35</v>
      </c>
      <c r="D1541" t="s">
        <v>29</v>
      </c>
      <c r="E1541" t="s">
        <v>37</v>
      </c>
      <c r="F1541" t="s">
        <v>33</v>
      </c>
      <c r="G1541" t="s">
        <v>25</v>
      </c>
      <c r="H1541" s="1">
        <v>331188</v>
      </c>
      <c r="I1541" s="3">
        <v>641</v>
      </c>
      <c r="J1541" s="3">
        <v>1525472</v>
      </c>
      <c r="K1541" s="3">
        <v>17924.22</v>
      </c>
      <c r="L1541" s="2">
        <v>28.9</v>
      </c>
      <c r="M1541" s="11">
        <v>51</v>
      </c>
      <c r="N1541" s="3">
        <v>12</v>
      </c>
      <c r="O1541" s="3">
        <v>208506</v>
      </c>
      <c r="P1541" s="3">
        <v>253858</v>
      </c>
      <c r="Q1541" s="10">
        <v>0</v>
      </c>
      <c r="R1541" s="3">
        <f>(Таблица1[Размер кредита]-$AA$2)/$AA$3</f>
        <v>0.12293772213698403</v>
      </c>
      <c r="S1541" s="3">
        <f>(Таблица1[Кредитный рейтинг]-$AA$7)/($AA$8-$AA$7)</f>
        <v>0.8535286284953395</v>
      </c>
      <c r="T1541" s="3">
        <f>(Таблица1[Срок с последнего нарушения кредитного договора (мес,)]-$AA$12)/($AA$13-$AA$12)</f>
        <v>0.57954545454545459</v>
      </c>
      <c r="U1541" s="3">
        <f>(Таблица1[Количество кредитных карт]-$AA$18)/($AA$19-$AA$18)</f>
        <v>0.26190476190476192</v>
      </c>
      <c r="V1541" s="3">
        <f>(Таблица1[Число нарушений кредитных договоров]-$AA$23)/($AA$24-$AA$23)</f>
        <v>0</v>
      </c>
      <c r="W1541" s="3">
        <f>Таблица1[[#This Row],[Годовой доход]]/12</f>
        <v>127122.66666666667</v>
      </c>
      <c r="X1541" s="3">
        <f>Таблица1[[#This Row],[Ежемесячный платеж]]/Таблица1[[#This Row],[Ежем доход]]</f>
        <v>0.1409994021522519</v>
      </c>
      <c r="Y1541" s="3"/>
      <c r="Z1541" s="3"/>
      <c r="AA1541" s="3"/>
      <c r="AB1541" s="3"/>
    </row>
    <row r="1542" spans="1:28" x14ac:dyDescent="0.2">
      <c r="A1542">
        <v>638</v>
      </c>
      <c r="B1542" t="s">
        <v>679</v>
      </c>
      <c r="C1542" t="s">
        <v>18</v>
      </c>
      <c r="D1542" t="s">
        <v>19</v>
      </c>
      <c r="E1542" t="s">
        <v>24</v>
      </c>
      <c r="F1542" t="s">
        <v>27</v>
      </c>
      <c r="G1542" t="s">
        <v>75</v>
      </c>
      <c r="H1542" s="1">
        <v>61358</v>
      </c>
      <c r="I1542" s="3">
        <v>726</v>
      </c>
      <c r="J1542" s="3">
        <v>756884</v>
      </c>
      <c r="K1542" s="3">
        <v>19048.259999999998</v>
      </c>
      <c r="L1542" s="2">
        <v>21.5</v>
      </c>
      <c r="M1542" s="11">
        <v>27</v>
      </c>
      <c r="N1542" s="3">
        <v>9</v>
      </c>
      <c r="O1542" s="3">
        <v>134615</v>
      </c>
      <c r="P1542" s="3">
        <v>251812</v>
      </c>
      <c r="Q1542" s="10">
        <v>0</v>
      </c>
      <c r="R1542" s="3">
        <f>(Таблица1[Размер кредита]-$AA$2)/$AA$3</f>
        <v>-1.413280263897247</v>
      </c>
      <c r="S1542" s="3">
        <f>(Таблица1[Кредитный рейтинг]-$AA$7)/($AA$8-$AA$7)</f>
        <v>0.96671105193075901</v>
      </c>
      <c r="T1542" s="3">
        <f>(Таблица1[Срок с последнего нарушения кредитного договора (мес,)]-$AA$12)/($AA$13-$AA$12)</f>
        <v>0.30681818181818182</v>
      </c>
      <c r="U1542" s="3">
        <f>(Таблица1[Количество кредитных карт]-$AA$18)/($AA$19-$AA$18)</f>
        <v>0.19047619047619047</v>
      </c>
      <c r="V1542" s="3">
        <f>(Таблица1[Число нарушений кредитных договоров]-$AA$23)/($AA$24-$AA$23)</f>
        <v>0</v>
      </c>
      <c r="W1542" s="3">
        <f>Таблица1[[#This Row],[Годовой доход]]/12</f>
        <v>63073.666666666664</v>
      </c>
      <c r="X1542" s="3">
        <f>Таблица1[[#This Row],[Ежемесячный платеж]]/Таблица1[[#This Row],[Ежем доход]]</f>
        <v>0.30200020082337581</v>
      </c>
      <c r="Y1542" s="3"/>
      <c r="Z1542" s="3"/>
      <c r="AA1542" s="3"/>
      <c r="AB1542" s="3"/>
    </row>
    <row r="1543" spans="1:28" x14ac:dyDescent="0.2">
      <c r="A1543">
        <v>94</v>
      </c>
      <c r="B1543" t="s">
        <v>136</v>
      </c>
      <c r="C1543" t="s">
        <v>18</v>
      </c>
      <c r="D1543" t="s">
        <v>19</v>
      </c>
      <c r="E1543" t="s">
        <v>69</v>
      </c>
      <c r="F1543" t="s">
        <v>21</v>
      </c>
      <c r="G1543" t="s">
        <v>22</v>
      </c>
      <c r="H1543" s="1">
        <v>156772</v>
      </c>
      <c r="I1543" s="3">
        <v>748</v>
      </c>
      <c r="J1543" s="3">
        <v>1411966</v>
      </c>
      <c r="K1543" s="3">
        <v>22591.38</v>
      </c>
      <c r="L1543" s="2">
        <v>18</v>
      </c>
      <c r="M1543" s="11">
        <v>73</v>
      </c>
      <c r="N1543" s="3">
        <v>10</v>
      </c>
      <c r="O1543" s="3">
        <v>38456</v>
      </c>
      <c r="P1543" s="3">
        <v>251548</v>
      </c>
      <c r="Q1543" s="10">
        <v>0</v>
      </c>
      <c r="R1543" s="3">
        <f>(Таблица1[Размер кредита]-$AA$2)/$AA$3</f>
        <v>-0.87006155982627598</v>
      </c>
      <c r="S1543" s="3">
        <f>(Таблица1[Кредитный рейтинг]-$AA$7)/($AA$8-$AA$7)</f>
        <v>0.99600532623169102</v>
      </c>
      <c r="T1543" s="3">
        <f>(Таблица1[Срок с последнего нарушения кредитного договора (мес,)]-$AA$12)/($AA$13-$AA$12)</f>
        <v>0.82954545454545459</v>
      </c>
      <c r="U1543" s="3">
        <f>(Таблица1[Количество кредитных карт]-$AA$18)/($AA$19-$AA$18)</f>
        <v>0.21428571428571427</v>
      </c>
      <c r="V1543" s="3">
        <f>(Таблица1[Число нарушений кредитных договоров]-$AA$23)/($AA$24-$AA$23)</f>
        <v>0</v>
      </c>
      <c r="W1543" s="3">
        <f>Таблица1[[#This Row],[Годовой доход]]/12</f>
        <v>117663.83333333333</v>
      </c>
      <c r="X1543" s="3">
        <f>Таблица1[[#This Row],[Ежемесячный платеж]]/Таблица1[[#This Row],[Ежем доход]]</f>
        <v>0.19199935409209573</v>
      </c>
      <c r="Y1543" s="3"/>
      <c r="Z1543" s="3"/>
      <c r="AA1543" s="3"/>
      <c r="AB1543" s="3"/>
    </row>
    <row r="1544" spans="1:28" x14ac:dyDescent="0.2">
      <c r="A1544">
        <v>213</v>
      </c>
      <c r="B1544" t="s">
        <v>255</v>
      </c>
      <c r="C1544" t="s">
        <v>18</v>
      </c>
      <c r="D1544" t="s">
        <v>19</v>
      </c>
      <c r="E1544" t="s">
        <v>24</v>
      </c>
      <c r="F1544" t="s">
        <v>21</v>
      </c>
      <c r="G1544" t="s">
        <v>25</v>
      </c>
      <c r="H1544" s="1">
        <v>205854</v>
      </c>
      <c r="I1544" s="3">
        <v>717</v>
      </c>
      <c r="J1544" s="3">
        <v>1898860</v>
      </c>
      <c r="K1544" s="3">
        <v>31647.73</v>
      </c>
      <c r="L1544" s="2">
        <v>22.3</v>
      </c>
      <c r="M1544" s="11">
        <v>15</v>
      </c>
      <c r="N1544" s="3">
        <v>6</v>
      </c>
      <c r="O1544" s="3">
        <v>195738</v>
      </c>
      <c r="P1544" s="3">
        <v>251284</v>
      </c>
      <c r="Q1544" s="10">
        <v>0</v>
      </c>
      <c r="R1544" s="3">
        <f>(Таблица1[Размер кредита]-$AA$2)/$AA$3</f>
        <v>-0.59062394654927886</v>
      </c>
      <c r="S1544" s="3">
        <f>(Таблица1[Кредитный рейтинг]-$AA$7)/($AA$8-$AA$7)</f>
        <v>0.9547270306258322</v>
      </c>
      <c r="T1544" s="3">
        <f>(Таблица1[Срок с последнего нарушения кредитного договора (мес,)]-$AA$12)/($AA$13-$AA$12)</f>
        <v>0.17045454545454544</v>
      </c>
      <c r="U1544" s="3">
        <f>(Таблица1[Количество кредитных карт]-$AA$18)/($AA$19-$AA$18)</f>
        <v>0.11904761904761904</v>
      </c>
      <c r="V1544" s="3">
        <f>(Таблица1[Число нарушений кредитных договоров]-$AA$23)/($AA$24-$AA$23)</f>
        <v>0</v>
      </c>
      <c r="W1544" s="3">
        <f>Таблица1[[#This Row],[Годовой доход]]/12</f>
        <v>158238.33333333334</v>
      </c>
      <c r="X1544" s="3">
        <f>Таблица1[[#This Row],[Ежемесячный платеж]]/Таблица1[[#This Row],[Ежем доход]]</f>
        <v>0.20000040024014407</v>
      </c>
      <c r="Y1544" s="3"/>
      <c r="Z1544" s="3"/>
      <c r="AA1544" s="3"/>
      <c r="AB1544" s="3"/>
    </row>
    <row r="1545" spans="1:28" x14ac:dyDescent="0.2">
      <c r="A1545">
        <v>647</v>
      </c>
      <c r="B1545" t="s">
        <v>688</v>
      </c>
      <c r="C1545" t="s">
        <v>18</v>
      </c>
      <c r="D1545" t="s">
        <v>19</v>
      </c>
      <c r="E1545" t="s">
        <v>32</v>
      </c>
      <c r="F1545" t="s">
        <v>33</v>
      </c>
      <c r="G1545" t="s">
        <v>25</v>
      </c>
      <c r="H1545" s="1">
        <v>195712</v>
      </c>
      <c r="I1545" s="3">
        <v>0</v>
      </c>
      <c r="J1545" s="3">
        <v>1168044</v>
      </c>
      <c r="K1545" s="3">
        <v>25070.69</v>
      </c>
      <c r="L1545" s="2">
        <v>14.7</v>
      </c>
      <c r="M1545" s="11">
        <v>23</v>
      </c>
      <c r="N1545" s="3">
        <v>18</v>
      </c>
      <c r="O1545" s="3">
        <v>154850</v>
      </c>
      <c r="P1545" s="3">
        <v>251130</v>
      </c>
      <c r="Q1545" s="10">
        <v>0</v>
      </c>
      <c r="R1545" s="3">
        <f>(Таблица1[Размер кредита]-$AA$2)/$AA$3</f>
        <v>-0.64836520146666821</v>
      </c>
      <c r="S1545" s="3">
        <f>(Таблица1[Кредитный рейтинг]-$AA$7)/($AA$8-$AA$7)</f>
        <v>0</v>
      </c>
      <c r="T1545" s="3">
        <f>(Таблица1[Срок с последнего нарушения кредитного договора (мес,)]-$AA$12)/($AA$13-$AA$12)</f>
        <v>0.26136363636363635</v>
      </c>
      <c r="U1545" s="3">
        <f>(Таблица1[Количество кредитных карт]-$AA$18)/($AA$19-$AA$18)</f>
        <v>0.40476190476190477</v>
      </c>
      <c r="V1545" s="3">
        <f>(Таблица1[Число нарушений кредитных договоров]-$AA$23)/($AA$24-$AA$23)</f>
        <v>0</v>
      </c>
      <c r="W1545" s="3">
        <f>Таблица1[[#This Row],[Годовой доход]]/12</f>
        <v>97337</v>
      </c>
      <c r="X1545" s="3">
        <f>Таблица1[[#This Row],[Ежемесячный платеж]]/Таблица1[[#This Row],[Ежем доход]]</f>
        <v>0.25756587936755804</v>
      </c>
      <c r="Y1545" s="3"/>
      <c r="Z1545" s="3"/>
      <c r="AA1545" s="3"/>
      <c r="AB1545" s="3"/>
    </row>
    <row r="1546" spans="1:28" x14ac:dyDescent="0.2">
      <c r="A1546">
        <v>289</v>
      </c>
      <c r="B1546" t="s">
        <v>331</v>
      </c>
      <c r="C1546" t="s">
        <v>18</v>
      </c>
      <c r="D1546" t="s">
        <v>19</v>
      </c>
      <c r="E1546" t="s">
        <v>52</v>
      </c>
      <c r="F1546" t="s">
        <v>33</v>
      </c>
      <c r="G1546" t="s">
        <v>25</v>
      </c>
      <c r="H1546" s="1">
        <v>132022</v>
      </c>
      <c r="I1546" s="3">
        <v>727</v>
      </c>
      <c r="J1546" s="3">
        <v>855095</v>
      </c>
      <c r="K1546" s="3">
        <v>14180.08</v>
      </c>
      <c r="L1546" s="2">
        <v>17.600000000000001</v>
      </c>
      <c r="M1546" s="11">
        <v>55</v>
      </c>
      <c r="N1546" s="3">
        <v>10</v>
      </c>
      <c r="O1546" s="3">
        <v>130131</v>
      </c>
      <c r="P1546" s="3">
        <v>251108</v>
      </c>
      <c r="Q1546" s="10">
        <v>0</v>
      </c>
      <c r="R1546" s="3">
        <f>(Таблица1[Размер кредита]-$AA$2)/$AA$3</f>
        <v>-1.0109702621734842</v>
      </c>
      <c r="S1546" s="3">
        <f>(Таблица1[Кредитный рейтинг]-$AA$7)/($AA$8-$AA$7)</f>
        <v>0.96804260985352863</v>
      </c>
      <c r="T1546" s="3">
        <f>(Таблица1[Срок с последнего нарушения кредитного договора (мес,)]-$AA$12)/($AA$13-$AA$12)</f>
        <v>0.625</v>
      </c>
      <c r="U1546" s="3">
        <f>(Таблица1[Количество кредитных карт]-$AA$18)/($AA$19-$AA$18)</f>
        <v>0.21428571428571427</v>
      </c>
      <c r="V1546" s="3">
        <f>(Таблица1[Число нарушений кредитных договоров]-$AA$23)/($AA$24-$AA$23)</f>
        <v>0</v>
      </c>
      <c r="W1546" s="3">
        <f>Таблица1[[#This Row],[Годовой доход]]/12</f>
        <v>71257.916666666672</v>
      </c>
      <c r="X1546" s="3">
        <f>Таблица1[[#This Row],[Ежемесячный платеж]]/Таблица1[[#This Row],[Ежем доход]]</f>
        <v>0.19899655593822907</v>
      </c>
      <c r="Y1546" s="3"/>
      <c r="Z1546" s="3"/>
      <c r="AA1546" s="3"/>
      <c r="AB1546" s="3"/>
    </row>
    <row r="1547" spans="1:28" x14ac:dyDescent="0.2">
      <c r="A1547">
        <v>386</v>
      </c>
      <c r="B1547" t="s">
        <v>428</v>
      </c>
      <c r="C1547" t="s">
        <v>35</v>
      </c>
      <c r="D1547" t="s">
        <v>19</v>
      </c>
      <c r="E1547" t="s">
        <v>24</v>
      </c>
      <c r="F1547" t="s">
        <v>21</v>
      </c>
      <c r="G1547" t="s">
        <v>25</v>
      </c>
      <c r="H1547" s="1">
        <v>767690</v>
      </c>
      <c r="I1547" s="3">
        <v>731</v>
      </c>
      <c r="J1547" s="3">
        <v>1629098</v>
      </c>
      <c r="K1547" s="3">
        <v>14118.71</v>
      </c>
      <c r="L1547" s="2">
        <v>16.8</v>
      </c>
      <c r="M1547" s="11">
        <v>35.265240640000002</v>
      </c>
      <c r="N1547" s="3">
        <v>6</v>
      </c>
      <c r="O1547" s="3">
        <v>167371</v>
      </c>
      <c r="P1547" s="3">
        <v>250074</v>
      </c>
      <c r="Q1547" s="10">
        <v>0</v>
      </c>
      <c r="R1547" s="3">
        <f>(Таблица1[Размер кредита]-$AA$2)/$AA$3</f>
        <v>2.608066222822282</v>
      </c>
      <c r="S1547" s="3">
        <f>(Таблица1[Кредитный рейтинг]-$AA$7)/($AA$8-$AA$7)</f>
        <v>0.97336884154460723</v>
      </c>
      <c r="T1547" s="3">
        <f>(Таблица1[Срок с последнего нарушения кредитного договора (мес,)]-$AA$12)/($AA$13-$AA$12)</f>
        <v>0.40074137090909095</v>
      </c>
      <c r="U1547" s="3">
        <f>(Таблица1[Количество кредитных карт]-$AA$18)/($AA$19-$AA$18)</f>
        <v>0.11904761904761904</v>
      </c>
      <c r="V1547" s="3">
        <f>(Таблица1[Число нарушений кредитных договоров]-$AA$23)/($AA$24-$AA$23)</f>
        <v>0</v>
      </c>
      <c r="W1547" s="3">
        <f>Таблица1[[#This Row],[Годовой доход]]/12</f>
        <v>135758.16666666666</v>
      </c>
      <c r="X1547" s="3">
        <f>Таблица1[[#This Row],[Ежемесячный платеж]]/Таблица1[[#This Row],[Ежем доход]]</f>
        <v>0.1039989736651816</v>
      </c>
      <c r="Y1547" s="3"/>
      <c r="Z1547" s="3"/>
      <c r="AA1547" s="3"/>
      <c r="AB1547" s="3"/>
    </row>
    <row r="1548" spans="1:28" x14ac:dyDescent="0.2">
      <c r="A1548">
        <v>1760</v>
      </c>
      <c r="B1548" t="s">
        <v>1798</v>
      </c>
      <c r="C1548" t="s">
        <v>35</v>
      </c>
      <c r="D1548" t="s">
        <v>19</v>
      </c>
      <c r="E1548" t="s">
        <v>24</v>
      </c>
      <c r="F1548" t="s">
        <v>33</v>
      </c>
      <c r="G1548" t="s">
        <v>25</v>
      </c>
      <c r="H1548" s="1">
        <v>199078</v>
      </c>
      <c r="I1548" s="3">
        <v>721</v>
      </c>
      <c r="J1548" s="3">
        <v>1031548</v>
      </c>
      <c r="K1548" s="3">
        <v>20716.84</v>
      </c>
      <c r="L1548" s="2">
        <v>37.1</v>
      </c>
      <c r="M1548" s="11">
        <v>70</v>
      </c>
      <c r="N1548" s="3">
        <v>10</v>
      </c>
      <c r="O1548" s="3">
        <v>163001</v>
      </c>
      <c r="P1548" s="3">
        <v>249986</v>
      </c>
      <c r="Q1548" s="10">
        <v>0</v>
      </c>
      <c r="R1548" s="3">
        <f>(Таблица1[Размер кредита]-$AA$2)/$AA$3</f>
        <v>-0.62920161794744789</v>
      </c>
      <c r="S1548" s="3">
        <f>(Таблица1[Кредитный рейтинг]-$AA$7)/($AA$8-$AA$7)</f>
        <v>0.96005326231691079</v>
      </c>
      <c r="T1548" s="3">
        <f>(Таблица1[Срок с последнего нарушения кредитного договора (мес,)]-$AA$12)/($AA$13-$AA$12)</f>
        <v>0.79545454545454541</v>
      </c>
      <c r="U1548" s="3">
        <f>(Таблица1[Количество кредитных карт]-$AA$18)/($AA$19-$AA$18)</f>
        <v>0.21428571428571427</v>
      </c>
      <c r="V1548" s="3">
        <f>(Таблица1[Число нарушений кредитных договоров]-$AA$23)/($AA$24-$AA$23)</f>
        <v>0</v>
      </c>
      <c r="W1548" s="3">
        <f>Таблица1[[#This Row],[Годовой доход]]/12</f>
        <v>85962.333333333328</v>
      </c>
      <c r="X1548" s="3">
        <f>Таблица1[[#This Row],[Ежемесячный платеж]]/Таблица1[[#This Row],[Ежем доход]]</f>
        <v>0.24099904221616447</v>
      </c>
      <c r="Y1548" s="3"/>
      <c r="Z1548" s="3"/>
      <c r="AA1548" s="3"/>
      <c r="AB1548" s="3"/>
    </row>
    <row r="1549" spans="1:28" x14ac:dyDescent="0.2">
      <c r="A1549">
        <v>806</v>
      </c>
      <c r="B1549" t="s">
        <v>847</v>
      </c>
      <c r="C1549" t="s">
        <v>18</v>
      </c>
      <c r="D1549" t="s">
        <v>19</v>
      </c>
      <c r="E1549" t="s">
        <v>41</v>
      </c>
      <c r="F1549" t="s">
        <v>33</v>
      </c>
      <c r="G1549" t="s">
        <v>25</v>
      </c>
      <c r="H1549" s="1">
        <v>264924</v>
      </c>
      <c r="I1549" s="3">
        <v>0</v>
      </c>
      <c r="J1549" s="3">
        <v>1168044</v>
      </c>
      <c r="K1549" s="3">
        <v>12297.94</v>
      </c>
      <c r="L1549" s="2">
        <v>20</v>
      </c>
      <c r="M1549" s="11">
        <v>36</v>
      </c>
      <c r="N1549" s="3">
        <v>6</v>
      </c>
      <c r="O1549" s="3">
        <v>132924</v>
      </c>
      <c r="P1549" s="3">
        <v>249480</v>
      </c>
      <c r="Q1549" s="10">
        <v>0</v>
      </c>
      <c r="R1549" s="3">
        <f>(Таблица1[Размер кредита]-$AA$2)/$AA$3</f>
        <v>-0.25432184361394167</v>
      </c>
      <c r="S1549" s="3">
        <f>(Таблица1[Кредитный рейтинг]-$AA$7)/($AA$8-$AA$7)</f>
        <v>0</v>
      </c>
      <c r="T1549" s="3">
        <f>(Таблица1[Срок с последнего нарушения кредитного договора (мес,)]-$AA$12)/($AA$13-$AA$12)</f>
        <v>0.40909090909090912</v>
      </c>
      <c r="U1549" s="3">
        <f>(Таблица1[Количество кредитных карт]-$AA$18)/($AA$19-$AA$18)</f>
        <v>0.11904761904761904</v>
      </c>
      <c r="V1549" s="3">
        <f>(Таблица1[Число нарушений кредитных договоров]-$AA$23)/($AA$24-$AA$23)</f>
        <v>0</v>
      </c>
      <c r="W1549" s="3">
        <f>Таблица1[[#This Row],[Годовой доход]]/12</f>
        <v>97337</v>
      </c>
      <c r="X1549" s="3">
        <f>Таблица1[[#This Row],[Ежемесячный платеж]]/Таблица1[[#This Row],[Ежем доход]]</f>
        <v>0.12634393909818467</v>
      </c>
      <c r="Y1549" s="3"/>
      <c r="Z1549" s="3"/>
      <c r="AA1549" s="3"/>
      <c r="AB1549" s="3"/>
    </row>
    <row r="1550" spans="1:28" x14ac:dyDescent="0.2">
      <c r="A1550">
        <v>1778</v>
      </c>
      <c r="B1550" t="s">
        <v>1816</v>
      </c>
      <c r="C1550" t="s">
        <v>18</v>
      </c>
      <c r="D1550" t="s">
        <v>19</v>
      </c>
      <c r="E1550" t="s">
        <v>30</v>
      </c>
      <c r="F1550" t="s">
        <v>21</v>
      </c>
      <c r="G1550" t="s">
        <v>25</v>
      </c>
      <c r="H1550" s="1">
        <v>184536</v>
      </c>
      <c r="I1550" s="3">
        <v>0</v>
      </c>
      <c r="J1550" s="3">
        <v>1168044</v>
      </c>
      <c r="K1550" s="3">
        <v>15721.17</v>
      </c>
      <c r="L1550" s="2">
        <v>18.5</v>
      </c>
      <c r="M1550" s="11">
        <v>35.265240640000002</v>
      </c>
      <c r="N1550" s="3">
        <v>10</v>
      </c>
      <c r="O1550" s="3">
        <v>55138</v>
      </c>
      <c r="P1550" s="3">
        <v>249392</v>
      </c>
      <c r="Q1550" s="10">
        <v>1</v>
      </c>
      <c r="R1550" s="3">
        <f>(Таблица1[Размер кредита]-$AA$2)/$AA$3</f>
        <v>-0.71199330883767431</v>
      </c>
      <c r="S1550" s="3">
        <f>(Таблица1[Кредитный рейтинг]-$AA$7)/($AA$8-$AA$7)</f>
        <v>0</v>
      </c>
      <c r="T1550" s="3">
        <f>(Таблица1[Срок с последнего нарушения кредитного договора (мес,)]-$AA$12)/($AA$13-$AA$12)</f>
        <v>0.40074137090909095</v>
      </c>
      <c r="U1550" s="3">
        <f>(Таблица1[Количество кредитных карт]-$AA$18)/($AA$19-$AA$18)</f>
        <v>0.21428571428571427</v>
      </c>
      <c r="V1550" s="3">
        <f>(Таблица1[Число нарушений кредитных договоров]-$AA$23)/($AA$24-$AA$23)</f>
        <v>0.14285714285714285</v>
      </c>
      <c r="W1550" s="3">
        <f>Таблица1[[#This Row],[Годовой доход]]/12</f>
        <v>97337</v>
      </c>
      <c r="X1550" s="3">
        <f>Таблица1[[#This Row],[Ежемесячный платеж]]/Таблица1[[#This Row],[Ежем доход]]</f>
        <v>0.16151278547725942</v>
      </c>
      <c r="Y1550" s="3"/>
      <c r="Z1550" s="3"/>
      <c r="AA1550" s="3"/>
      <c r="AB1550" s="3"/>
    </row>
    <row r="1551" spans="1:28" x14ac:dyDescent="0.2">
      <c r="A1551">
        <v>528</v>
      </c>
      <c r="B1551" t="s">
        <v>569</v>
      </c>
      <c r="C1551" t="s">
        <v>18</v>
      </c>
      <c r="D1551" t="s">
        <v>29</v>
      </c>
      <c r="E1551" t="s">
        <v>50</v>
      </c>
      <c r="F1551" t="s">
        <v>21</v>
      </c>
      <c r="G1551" t="s">
        <v>2038</v>
      </c>
      <c r="H1551" s="1">
        <v>264836</v>
      </c>
      <c r="I1551" s="3">
        <v>703</v>
      </c>
      <c r="J1551" s="3">
        <v>1277066</v>
      </c>
      <c r="K1551" s="3">
        <v>14473.44</v>
      </c>
      <c r="L1551" s="2">
        <v>17.2</v>
      </c>
      <c r="M1551" s="11">
        <v>35.265240640000002</v>
      </c>
      <c r="N1551" s="3">
        <v>7</v>
      </c>
      <c r="O1551" s="3">
        <v>40280</v>
      </c>
      <c r="P1551" s="3">
        <v>249370</v>
      </c>
      <c r="Q1551" s="10">
        <v>0</v>
      </c>
      <c r="R1551" s="3">
        <f>(Таблица1[Размер кредита]-$AA$2)/$AA$3</f>
        <v>-0.25482285233339841</v>
      </c>
      <c r="S1551" s="3">
        <f>(Таблица1[Кредитный рейтинг]-$AA$7)/($AA$8-$AA$7)</f>
        <v>0.93608521970705727</v>
      </c>
      <c r="T1551" s="3">
        <f>(Таблица1[Срок с последнего нарушения кредитного договора (мес,)]-$AA$12)/($AA$13-$AA$12)</f>
        <v>0.40074137090909095</v>
      </c>
      <c r="U1551" s="3">
        <f>(Таблица1[Количество кредитных карт]-$AA$18)/($AA$19-$AA$18)</f>
        <v>0.14285714285714285</v>
      </c>
      <c r="V1551" s="3">
        <f>(Таблица1[Число нарушений кредитных договоров]-$AA$23)/($AA$24-$AA$23)</f>
        <v>0</v>
      </c>
      <c r="W1551" s="3">
        <f>Таблица1[[#This Row],[Годовой доход]]/12</f>
        <v>106422.16666666667</v>
      </c>
      <c r="X1551" s="3">
        <f>Таблица1[[#This Row],[Ежемесячный платеж]]/Таблица1[[#This Row],[Ежем доход]]</f>
        <v>0.13600023804564526</v>
      </c>
      <c r="Y1551" s="3"/>
      <c r="Z1551" s="3"/>
      <c r="AA1551" s="3"/>
      <c r="AB1551" s="3"/>
    </row>
    <row r="1552" spans="1:28" x14ac:dyDescent="0.2">
      <c r="A1552">
        <v>1880</v>
      </c>
      <c r="B1552" t="s">
        <v>1916</v>
      </c>
      <c r="C1552" t="s">
        <v>18</v>
      </c>
      <c r="D1552" t="s">
        <v>19</v>
      </c>
      <c r="E1552" t="s">
        <v>41</v>
      </c>
      <c r="F1552" t="s">
        <v>33</v>
      </c>
      <c r="G1552" t="s">
        <v>25</v>
      </c>
      <c r="H1552" s="1">
        <v>263846</v>
      </c>
      <c r="I1552" s="3">
        <v>724</v>
      </c>
      <c r="J1552" s="3">
        <v>759544</v>
      </c>
      <c r="K1552" s="3">
        <v>13355.29</v>
      </c>
      <c r="L1552" s="2">
        <v>12.5</v>
      </c>
      <c r="M1552" s="11">
        <v>25</v>
      </c>
      <c r="N1552" s="3">
        <v>10</v>
      </c>
      <c r="O1552" s="3">
        <v>123253</v>
      </c>
      <c r="P1552" s="3">
        <v>248622</v>
      </c>
      <c r="Q1552" s="10">
        <v>0</v>
      </c>
      <c r="R1552" s="3">
        <f>(Таблица1[Размер кредита]-$AA$2)/$AA$3</f>
        <v>-0.26045920042728676</v>
      </c>
      <c r="S1552" s="3">
        <f>(Таблица1[Кредитный рейтинг]-$AA$7)/($AA$8-$AA$7)</f>
        <v>0.96404793608521966</v>
      </c>
      <c r="T1552" s="3">
        <f>(Таблица1[Срок с последнего нарушения кредитного договора (мес,)]-$AA$12)/($AA$13-$AA$12)</f>
        <v>0.28409090909090912</v>
      </c>
      <c r="U1552" s="3">
        <f>(Таблица1[Количество кредитных карт]-$AA$18)/($AA$19-$AA$18)</f>
        <v>0.21428571428571427</v>
      </c>
      <c r="V1552" s="3">
        <f>(Таблица1[Число нарушений кредитных договоров]-$AA$23)/($AA$24-$AA$23)</f>
        <v>0</v>
      </c>
      <c r="W1552" s="3">
        <f>Таблица1[[#This Row],[Годовой доход]]/12</f>
        <v>63295.333333333336</v>
      </c>
      <c r="X1552" s="3">
        <f>Таблица1[[#This Row],[Ежемесячный платеж]]/Таблица1[[#This Row],[Ежем доход]]</f>
        <v>0.21099959975985591</v>
      </c>
      <c r="Y1552" s="3"/>
      <c r="Z1552" s="3"/>
      <c r="AA1552" s="3"/>
      <c r="AB1552" s="3"/>
    </row>
    <row r="1553" spans="1:28" x14ac:dyDescent="0.2">
      <c r="A1553">
        <v>357</v>
      </c>
      <c r="B1553" t="s">
        <v>399</v>
      </c>
      <c r="C1553" t="s">
        <v>18</v>
      </c>
      <c r="D1553" t="s">
        <v>19</v>
      </c>
      <c r="E1553" t="s">
        <v>24</v>
      </c>
      <c r="F1553" t="s">
        <v>33</v>
      </c>
      <c r="G1553" t="s">
        <v>25</v>
      </c>
      <c r="H1553" s="1">
        <v>131934</v>
      </c>
      <c r="I1553" s="3">
        <v>0</v>
      </c>
      <c r="J1553" s="3">
        <v>1168044</v>
      </c>
      <c r="K1553" s="3">
        <v>10640.95</v>
      </c>
      <c r="L1553" s="2">
        <v>16.7</v>
      </c>
      <c r="M1553" s="11">
        <v>47</v>
      </c>
      <c r="N1553" s="3">
        <v>7</v>
      </c>
      <c r="O1553" s="3">
        <v>136154</v>
      </c>
      <c r="P1553" s="3">
        <v>248270</v>
      </c>
      <c r="Q1553" s="10">
        <v>0</v>
      </c>
      <c r="R1553" s="3">
        <f>(Таблица1[Размер кредита]-$AA$2)/$AA$3</f>
        <v>-1.011471270892941</v>
      </c>
      <c r="S1553" s="3">
        <f>(Таблица1[Кредитный рейтинг]-$AA$7)/($AA$8-$AA$7)</f>
        <v>0</v>
      </c>
      <c r="T1553" s="3">
        <f>(Таблица1[Срок с последнего нарушения кредитного договора (мес,)]-$AA$12)/($AA$13-$AA$12)</f>
        <v>0.53409090909090906</v>
      </c>
      <c r="U1553" s="3">
        <f>(Таблица1[Количество кредитных карт]-$AA$18)/($AA$19-$AA$18)</f>
        <v>0.14285714285714285</v>
      </c>
      <c r="V1553" s="3">
        <f>(Таблица1[Число нарушений кредитных договоров]-$AA$23)/($AA$24-$AA$23)</f>
        <v>0</v>
      </c>
      <c r="W1553" s="3">
        <f>Таблица1[[#This Row],[Годовой доход]]/12</f>
        <v>97337</v>
      </c>
      <c r="X1553" s="3">
        <f>Таблица1[[#This Row],[Ежемесячный платеж]]/Таблица1[[#This Row],[Ежем доход]]</f>
        <v>0.109320710521179</v>
      </c>
      <c r="Y1553" s="3"/>
      <c r="Z1553" s="3"/>
      <c r="AA1553" s="3"/>
      <c r="AB1553" s="3"/>
    </row>
    <row r="1554" spans="1:28" x14ac:dyDescent="0.2">
      <c r="A1554">
        <v>1859</v>
      </c>
      <c r="B1554" t="s">
        <v>1896</v>
      </c>
      <c r="C1554" t="s">
        <v>18</v>
      </c>
      <c r="D1554" t="s">
        <v>19</v>
      </c>
      <c r="E1554" t="s">
        <v>24</v>
      </c>
      <c r="F1554" t="s">
        <v>33</v>
      </c>
      <c r="G1554" t="s">
        <v>25</v>
      </c>
      <c r="H1554" s="1">
        <v>163548</v>
      </c>
      <c r="I1554" s="3">
        <v>739</v>
      </c>
      <c r="J1554" s="3">
        <v>405859</v>
      </c>
      <c r="K1554" s="3">
        <v>4160.05</v>
      </c>
      <c r="L1554" s="2">
        <v>12.4</v>
      </c>
      <c r="M1554" s="11">
        <v>66</v>
      </c>
      <c r="N1554" s="3">
        <v>11</v>
      </c>
      <c r="O1554" s="3">
        <v>63460</v>
      </c>
      <c r="P1554" s="3">
        <v>247390</v>
      </c>
      <c r="Q1554" s="10">
        <v>1</v>
      </c>
      <c r="R1554" s="3">
        <f>(Таблица1[Размер кредита]-$AA$2)/$AA$3</f>
        <v>-0.83148388842810694</v>
      </c>
      <c r="S1554" s="3">
        <f>(Таблица1[Кредитный рейтинг]-$AA$7)/($AA$8-$AA$7)</f>
        <v>0.98402130492676432</v>
      </c>
      <c r="T1554" s="3">
        <f>(Таблица1[Срок с последнего нарушения кредитного договора (мес,)]-$AA$12)/($AA$13-$AA$12)</f>
        <v>0.75</v>
      </c>
      <c r="U1554" s="3">
        <f>(Таблица1[Количество кредитных карт]-$AA$18)/($AA$19-$AA$18)</f>
        <v>0.23809523809523808</v>
      </c>
      <c r="V1554" s="3">
        <f>(Таблица1[Число нарушений кредитных договоров]-$AA$23)/($AA$24-$AA$23)</f>
        <v>0.14285714285714285</v>
      </c>
      <c r="W1554" s="3">
        <f>Таблица1[[#This Row],[Годовой доход]]/12</f>
        <v>33821.583333333336</v>
      </c>
      <c r="X1554" s="3">
        <f>Таблица1[[#This Row],[Ежемесячный платеж]]/Таблица1[[#This Row],[Ежем доход]]</f>
        <v>0.12299985955713684</v>
      </c>
      <c r="Y1554" s="3"/>
      <c r="Z1554" s="3"/>
      <c r="AA1554" s="3"/>
      <c r="AB1554" s="3"/>
    </row>
    <row r="1555" spans="1:28" x14ac:dyDescent="0.2">
      <c r="A1555">
        <v>1434</v>
      </c>
      <c r="B1555" t="s">
        <v>1473</v>
      </c>
      <c r="C1555" t="s">
        <v>18</v>
      </c>
      <c r="D1555" t="s">
        <v>19</v>
      </c>
      <c r="E1555" t="s">
        <v>24</v>
      </c>
      <c r="F1555" t="s">
        <v>21</v>
      </c>
      <c r="G1555" t="s">
        <v>25</v>
      </c>
      <c r="H1555" s="1">
        <v>24684</v>
      </c>
      <c r="I1555" s="3">
        <v>724</v>
      </c>
      <c r="J1555" s="3">
        <v>697547</v>
      </c>
      <c r="K1555" s="3">
        <v>18310.490000000002</v>
      </c>
      <c r="L1555" s="2">
        <v>13.3</v>
      </c>
      <c r="M1555" s="11">
        <v>35.265240640000002</v>
      </c>
      <c r="N1555" s="3">
        <v>6</v>
      </c>
      <c r="O1555" s="3">
        <v>31445</v>
      </c>
      <c r="P1555" s="3">
        <v>246026</v>
      </c>
      <c r="Q1555" s="10">
        <v>0</v>
      </c>
      <c r="R1555" s="3">
        <f>(Таблица1[Размер кредита]-$AA$2)/$AA$3</f>
        <v>-1.6220756477308436</v>
      </c>
      <c r="S1555" s="3">
        <f>(Таблица1[Кредитный рейтинг]-$AA$7)/($AA$8-$AA$7)</f>
        <v>0.96404793608521966</v>
      </c>
      <c r="T1555" s="3">
        <f>(Таблица1[Срок с последнего нарушения кредитного договора (мес,)]-$AA$12)/($AA$13-$AA$12)</f>
        <v>0.40074137090909095</v>
      </c>
      <c r="U1555" s="3">
        <f>(Таблица1[Количество кредитных карт]-$AA$18)/($AA$19-$AA$18)</f>
        <v>0.11904761904761904</v>
      </c>
      <c r="V1555" s="3">
        <f>(Таблица1[Число нарушений кредитных договоров]-$AA$23)/($AA$24-$AA$23)</f>
        <v>0</v>
      </c>
      <c r="W1555" s="3">
        <f>Таблица1[[#This Row],[Годовой доход]]/12</f>
        <v>58128.916666666664</v>
      </c>
      <c r="X1555" s="3">
        <f>Таблица1[[#This Row],[Ежемесячный платеж]]/Таблица1[[#This Row],[Ежем доход]]</f>
        <v>0.31499795712690332</v>
      </c>
      <c r="Y1555" s="3"/>
      <c r="Z1555" s="3"/>
      <c r="AA1555" s="3"/>
      <c r="AB1555" s="3"/>
    </row>
    <row r="1556" spans="1:28" x14ac:dyDescent="0.2">
      <c r="A1556">
        <v>631</v>
      </c>
      <c r="B1556" t="s">
        <v>672</v>
      </c>
      <c r="C1556" t="s">
        <v>18</v>
      </c>
      <c r="D1556" t="s">
        <v>19</v>
      </c>
      <c r="E1556" t="s">
        <v>69</v>
      </c>
      <c r="F1556" t="s">
        <v>33</v>
      </c>
      <c r="G1556" t="s">
        <v>25</v>
      </c>
      <c r="H1556" s="1">
        <v>86988</v>
      </c>
      <c r="I1556" s="3">
        <v>0</v>
      </c>
      <c r="J1556" s="3">
        <v>1168044</v>
      </c>
      <c r="K1556" s="3">
        <v>1991.96</v>
      </c>
      <c r="L1556" s="2">
        <v>10.199999999999999</v>
      </c>
      <c r="M1556" s="11">
        <v>35.265240640000002</v>
      </c>
      <c r="N1556" s="3">
        <v>5</v>
      </c>
      <c r="O1556" s="3">
        <v>80294</v>
      </c>
      <c r="P1556" s="3">
        <v>245982</v>
      </c>
      <c r="Q1556" s="10">
        <v>0</v>
      </c>
      <c r="R1556" s="3">
        <f>(Таблица1[Размер кредита]-$AA$2)/$AA$3</f>
        <v>-1.2673614743554713</v>
      </c>
      <c r="S1556" s="3">
        <f>(Таблица1[Кредитный рейтинг]-$AA$7)/($AA$8-$AA$7)</f>
        <v>0</v>
      </c>
      <c r="T1556" s="3">
        <f>(Таблица1[Срок с последнего нарушения кредитного договора (мес,)]-$AA$12)/($AA$13-$AA$12)</f>
        <v>0.40074137090909095</v>
      </c>
      <c r="U1556" s="3">
        <f>(Таблица1[Количество кредитных карт]-$AA$18)/($AA$19-$AA$18)</f>
        <v>9.5238095238095233E-2</v>
      </c>
      <c r="V1556" s="3">
        <f>(Таблица1[Число нарушений кредитных договоров]-$AA$23)/($AA$24-$AA$23)</f>
        <v>0</v>
      </c>
      <c r="W1556" s="3">
        <f>Таблица1[[#This Row],[Годовой доход]]/12</f>
        <v>97337</v>
      </c>
      <c r="X1556" s="3">
        <f>Таблица1[[#This Row],[Ежемесячный платеж]]/Таблица1[[#This Row],[Ежем доход]]</f>
        <v>2.0464571540113215E-2</v>
      </c>
      <c r="Y1556" s="3"/>
      <c r="Z1556" s="3"/>
      <c r="AA1556" s="3"/>
      <c r="AB1556" s="3"/>
    </row>
    <row r="1557" spans="1:28" x14ac:dyDescent="0.2">
      <c r="A1557">
        <v>1924</v>
      </c>
      <c r="B1557" t="s">
        <v>1960</v>
      </c>
      <c r="C1557" t="s">
        <v>18</v>
      </c>
      <c r="D1557" t="s">
        <v>19</v>
      </c>
      <c r="E1557" t="s">
        <v>37</v>
      </c>
      <c r="F1557" t="s">
        <v>21</v>
      </c>
      <c r="G1557" t="s">
        <v>25</v>
      </c>
      <c r="H1557" s="1">
        <v>261140</v>
      </c>
      <c r="I1557" s="3">
        <v>0</v>
      </c>
      <c r="J1557" s="3">
        <v>1168044</v>
      </c>
      <c r="K1557" s="3">
        <v>13720.28</v>
      </c>
      <c r="L1557" s="2">
        <v>42.7</v>
      </c>
      <c r="M1557" s="11">
        <v>19</v>
      </c>
      <c r="N1557" s="3">
        <v>8</v>
      </c>
      <c r="O1557" s="3">
        <v>147307</v>
      </c>
      <c r="P1557" s="3">
        <v>245784</v>
      </c>
      <c r="Q1557" s="10">
        <v>0</v>
      </c>
      <c r="R1557" s="3">
        <f>(Таблица1[Размер кредита]-$AA$2)/$AA$3</f>
        <v>-0.27586521855058155</v>
      </c>
      <c r="S1557" s="3">
        <f>(Таблица1[Кредитный рейтинг]-$AA$7)/($AA$8-$AA$7)</f>
        <v>0</v>
      </c>
      <c r="T1557" s="3">
        <f>(Таблица1[Срок с последнего нарушения кредитного договора (мес,)]-$AA$12)/($AA$13-$AA$12)</f>
        <v>0.21590909090909091</v>
      </c>
      <c r="U1557" s="3">
        <f>(Таблица1[Количество кредитных карт]-$AA$18)/($AA$19-$AA$18)</f>
        <v>0.16666666666666666</v>
      </c>
      <c r="V1557" s="3">
        <f>(Таблица1[Число нарушений кредитных договоров]-$AA$23)/($AA$24-$AA$23)</f>
        <v>0</v>
      </c>
      <c r="W1557" s="3">
        <f>Таблица1[[#This Row],[Годовой доход]]/12</f>
        <v>97337</v>
      </c>
      <c r="X1557" s="3">
        <f>Таблица1[[#This Row],[Ежемесячный платеж]]/Таблица1[[#This Row],[Ежем доход]]</f>
        <v>0.14095647081788015</v>
      </c>
      <c r="Y1557" s="3"/>
      <c r="Z1557" s="3"/>
      <c r="AA1557" s="3"/>
      <c r="AB1557" s="3"/>
    </row>
    <row r="1558" spans="1:28" x14ac:dyDescent="0.2">
      <c r="A1558">
        <v>1045</v>
      </c>
      <c r="B1558" s="4" t="s">
        <v>1084</v>
      </c>
      <c r="C1558" t="s">
        <v>18</v>
      </c>
      <c r="D1558" t="s">
        <v>29</v>
      </c>
      <c r="E1558" t="s">
        <v>41</v>
      </c>
      <c r="F1558" t="s">
        <v>27</v>
      </c>
      <c r="G1558" t="s">
        <v>25</v>
      </c>
      <c r="H1558" s="1">
        <v>353826</v>
      </c>
      <c r="I1558" s="3">
        <v>0</v>
      </c>
      <c r="J1558" s="3">
        <v>1168044</v>
      </c>
      <c r="K1558" s="3">
        <v>13120.83</v>
      </c>
      <c r="L1558" s="2">
        <v>20</v>
      </c>
      <c r="M1558" s="11">
        <v>16</v>
      </c>
      <c r="N1558" s="3">
        <v>2</v>
      </c>
      <c r="O1558" s="3">
        <v>200355</v>
      </c>
      <c r="P1558" s="3">
        <v>245498</v>
      </c>
      <c r="Q1558" s="10">
        <v>0</v>
      </c>
      <c r="R1558" s="3">
        <f>(Таблица1[Размер кредита]-$AA$2)/$AA$3</f>
        <v>0.25182221521723058</v>
      </c>
      <c r="S1558" s="3">
        <f>(Таблица1[Кредитный рейтинг]-$AA$7)/($AA$8-$AA$7)</f>
        <v>0</v>
      </c>
      <c r="T1558" s="3">
        <f>(Таблица1[Срок с последнего нарушения кредитного договора (мес,)]-$AA$12)/($AA$13-$AA$12)</f>
        <v>0.18181818181818182</v>
      </c>
      <c r="U1558" s="3">
        <f>(Таблица1[Количество кредитных карт]-$AA$18)/($AA$19-$AA$18)</f>
        <v>2.3809523809523808E-2</v>
      </c>
      <c r="V1558" s="3">
        <f>(Таблица1[Число нарушений кредитных договоров]-$AA$23)/($AA$24-$AA$23)</f>
        <v>0</v>
      </c>
      <c r="W1558" s="3">
        <f>Таблица1[[#This Row],[Годовой доход]]/12</f>
        <v>97337</v>
      </c>
      <c r="X1558" s="3">
        <f>Таблица1[[#This Row],[Ежемесячный платеж]]/Таблица1[[#This Row],[Ежем доход]]</f>
        <v>0.13479796993948859</v>
      </c>
      <c r="Y1558" s="3"/>
      <c r="Z1558" s="3"/>
      <c r="AA1558" s="3"/>
      <c r="AB1558" s="3"/>
    </row>
    <row r="1559" spans="1:28" x14ac:dyDescent="0.2">
      <c r="A1559">
        <v>561</v>
      </c>
      <c r="B1559" t="s">
        <v>602</v>
      </c>
      <c r="C1559" t="s">
        <v>18</v>
      </c>
      <c r="D1559" t="s">
        <v>19</v>
      </c>
      <c r="E1559" t="s">
        <v>32</v>
      </c>
      <c r="F1559" t="s">
        <v>33</v>
      </c>
      <c r="G1559" t="s">
        <v>25</v>
      </c>
      <c r="H1559" s="1">
        <v>110462</v>
      </c>
      <c r="I1559" s="3">
        <v>738</v>
      </c>
      <c r="J1559" s="3">
        <v>1526384</v>
      </c>
      <c r="K1559" s="3">
        <v>5075.28</v>
      </c>
      <c r="L1559" s="2">
        <v>23.4</v>
      </c>
      <c r="M1559" s="11">
        <v>69</v>
      </c>
      <c r="N1559" s="3">
        <v>6</v>
      </c>
      <c r="O1559" s="3">
        <v>175864</v>
      </c>
      <c r="P1559" s="3">
        <v>245344</v>
      </c>
      <c r="Q1559" s="10">
        <v>0</v>
      </c>
      <c r="R1559" s="3">
        <f>(Таблица1[Размер кредита]-$AA$2)/$AA$3</f>
        <v>-1.1337173984403857</v>
      </c>
      <c r="S1559" s="3">
        <f>(Таблица1[Кредитный рейтинг]-$AA$7)/($AA$8-$AA$7)</f>
        <v>0.9826897470039947</v>
      </c>
      <c r="T1559" s="3">
        <f>(Таблица1[Срок с последнего нарушения кредитного договора (мес,)]-$AA$12)/($AA$13-$AA$12)</f>
        <v>0.78409090909090906</v>
      </c>
      <c r="U1559" s="3">
        <f>(Таблица1[Количество кредитных карт]-$AA$18)/($AA$19-$AA$18)</f>
        <v>0.11904761904761904</v>
      </c>
      <c r="V1559" s="3">
        <f>(Таблица1[Число нарушений кредитных договоров]-$AA$23)/($AA$24-$AA$23)</f>
        <v>0</v>
      </c>
      <c r="W1559" s="3">
        <f>Таблица1[[#This Row],[Годовой доход]]/12</f>
        <v>127198.66666666667</v>
      </c>
      <c r="X1559" s="3">
        <f>Таблица1[[#This Row],[Ежемесячный платеж]]/Таблица1[[#This Row],[Ежем доход]]</f>
        <v>3.9900418243377811E-2</v>
      </c>
      <c r="Y1559" s="3"/>
      <c r="Z1559" s="3"/>
      <c r="AA1559" s="3"/>
      <c r="AB1559" s="3"/>
    </row>
    <row r="1560" spans="1:28" x14ac:dyDescent="0.2">
      <c r="A1560">
        <v>25</v>
      </c>
      <c r="B1560" t="s">
        <v>60</v>
      </c>
      <c r="C1560" t="s">
        <v>18</v>
      </c>
      <c r="D1560" t="s">
        <v>29</v>
      </c>
      <c r="E1560" t="s">
        <v>47</v>
      </c>
      <c r="F1560" t="s">
        <v>21</v>
      </c>
      <c r="G1560" t="s">
        <v>25</v>
      </c>
      <c r="H1560" s="1">
        <v>244926</v>
      </c>
      <c r="I1560" s="3">
        <v>704</v>
      </c>
      <c r="J1560" s="3">
        <v>1249953</v>
      </c>
      <c r="K1560" s="3">
        <v>6812.26</v>
      </c>
      <c r="L1560" s="2">
        <v>14.4</v>
      </c>
      <c r="M1560" s="11">
        <v>35.265240640000002</v>
      </c>
      <c r="N1560" s="3">
        <v>6</v>
      </c>
      <c r="O1560" s="3">
        <v>143051</v>
      </c>
      <c r="P1560" s="3">
        <v>245014</v>
      </c>
      <c r="Q1560" s="10">
        <v>1</v>
      </c>
      <c r="R1560" s="3">
        <f>(Таблица1[Размер кредита]-$AA$2)/$AA$3</f>
        <v>-0.368176075110486</v>
      </c>
      <c r="S1560" s="3">
        <f>(Таблица1[Кредитный рейтинг]-$AA$7)/($AA$8-$AA$7)</f>
        <v>0.93741677762982689</v>
      </c>
      <c r="T1560" s="3">
        <f>(Таблица1[Срок с последнего нарушения кредитного договора (мес,)]-$AA$12)/($AA$13-$AA$12)</f>
        <v>0.40074137090909095</v>
      </c>
      <c r="U1560" s="3">
        <f>(Таблица1[Количество кредитных карт]-$AA$18)/($AA$19-$AA$18)</f>
        <v>0.11904761904761904</v>
      </c>
      <c r="V1560" s="3">
        <f>(Таблица1[Число нарушений кредитных договоров]-$AA$23)/($AA$24-$AA$23)</f>
        <v>0.14285714285714285</v>
      </c>
      <c r="W1560" s="3">
        <f>Таблица1[[#This Row],[Годовой доход]]/12</f>
        <v>104162.75</v>
      </c>
      <c r="X1560" s="3">
        <f>Таблица1[[#This Row],[Ежемесячный платеж]]/Таблица1[[#This Row],[Ежем доход]]</f>
        <v>6.540015504582973E-2</v>
      </c>
      <c r="Y1560" s="3"/>
      <c r="Z1560" s="3"/>
      <c r="AA1560" s="3"/>
      <c r="AB1560" s="3"/>
    </row>
    <row r="1561" spans="1:28" x14ac:dyDescent="0.2">
      <c r="A1561">
        <v>1080</v>
      </c>
      <c r="B1561" t="s">
        <v>1119</v>
      </c>
      <c r="C1561" t="s">
        <v>35</v>
      </c>
      <c r="D1561" t="s">
        <v>19</v>
      </c>
      <c r="E1561" t="s">
        <v>30</v>
      </c>
      <c r="F1561" t="s">
        <v>33</v>
      </c>
      <c r="G1561" t="s">
        <v>25</v>
      </c>
      <c r="H1561" s="1">
        <v>98406</v>
      </c>
      <c r="I1561" s="3">
        <v>684</v>
      </c>
      <c r="J1561" s="3">
        <v>660953</v>
      </c>
      <c r="K1561" s="3">
        <v>4742.3999999999996</v>
      </c>
      <c r="L1561" s="2">
        <v>17.399999999999999</v>
      </c>
      <c r="M1561" s="11">
        <v>35.265240640000002</v>
      </c>
      <c r="N1561" s="3">
        <v>8</v>
      </c>
      <c r="O1561" s="3">
        <v>153121</v>
      </c>
      <c r="P1561" s="3">
        <v>244882</v>
      </c>
      <c r="Q1561" s="10">
        <v>0</v>
      </c>
      <c r="R1561" s="3">
        <f>(Таблица1[Размер кредита]-$AA$2)/$AA$3</f>
        <v>-1.2023555930059593</v>
      </c>
      <c r="S1561" s="3">
        <f>(Таблица1[Кредитный рейтинг]-$AA$7)/($AA$8-$AA$7)</f>
        <v>0.91078561917443412</v>
      </c>
      <c r="T1561" s="3">
        <f>(Таблица1[Срок с последнего нарушения кредитного договора (мес,)]-$AA$12)/($AA$13-$AA$12)</f>
        <v>0.40074137090909095</v>
      </c>
      <c r="U1561" s="3">
        <f>(Таблица1[Количество кредитных карт]-$AA$18)/($AA$19-$AA$18)</f>
        <v>0.16666666666666666</v>
      </c>
      <c r="V1561" s="3">
        <f>(Таблица1[Число нарушений кредитных договоров]-$AA$23)/($AA$24-$AA$23)</f>
        <v>0</v>
      </c>
      <c r="W1561" s="3">
        <f>Таблица1[[#This Row],[Годовой доход]]/12</f>
        <v>55079.416666666664</v>
      </c>
      <c r="X1561" s="3">
        <f>Таблица1[[#This Row],[Ежемесячный платеж]]/Таблица1[[#This Row],[Ежем доход]]</f>
        <v>8.6101129732371287E-2</v>
      </c>
      <c r="Y1561" s="3"/>
      <c r="Z1561" s="3"/>
      <c r="AA1561" s="3"/>
      <c r="AB1561" s="3"/>
    </row>
    <row r="1562" spans="1:28" x14ac:dyDescent="0.2">
      <c r="A1562">
        <v>1951</v>
      </c>
      <c r="B1562" t="s">
        <v>1987</v>
      </c>
      <c r="C1562" t="s">
        <v>35</v>
      </c>
      <c r="D1562" t="s">
        <v>19</v>
      </c>
      <c r="E1562" t="s">
        <v>24</v>
      </c>
      <c r="F1562" t="s">
        <v>33</v>
      </c>
      <c r="G1562" t="s">
        <v>25</v>
      </c>
      <c r="H1562" s="1">
        <v>273922</v>
      </c>
      <c r="I1562" s="3">
        <v>704</v>
      </c>
      <c r="J1562" s="3">
        <v>1038616</v>
      </c>
      <c r="K1562" s="3">
        <v>13069.34</v>
      </c>
      <c r="L1562" s="2">
        <v>16.2</v>
      </c>
      <c r="M1562" s="11">
        <v>35.265240640000002</v>
      </c>
      <c r="N1562" s="3">
        <v>11</v>
      </c>
      <c r="O1562" s="3">
        <v>201970</v>
      </c>
      <c r="P1562" s="3">
        <v>244882</v>
      </c>
      <c r="Q1562" s="10">
        <v>0</v>
      </c>
      <c r="R1562" s="3">
        <f>(Таблица1[Размер кредита]-$AA$2)/$AA$3</f>
        <v>-0.20309370204948995</v>
      </c>
      <c r="S1562" s="3">
        <f>(Таблица1[Кредитный рейтинг]-$AA$7)/($AA$8-$AA$7)</f>
        <v>0.93741677762982689</v>
      </c>
      <c r="T1562" s="3">
        <f>(Таблица1[Срок с последнего нарушения кредитного договора (мес,)]-$AA$12)/($AA$13-$AA$12)</f>
        <v>0.40074137090909095</v>
      </c>
      <c r="U1562" s="3">
        <f>(Таблица1[Количество кредитных карт]-$AA$18)/($AA$19-$AA$18)</f>
        <v>0.23809523809523808</v>
      </c>
      <c r="V1562" s="3">
        <f>(Таблица1[Число нарушений кредитных договоров]-$AA$23)/($AA$24-$AA$23)</f>
        <v>0</v>
      </c>
      <c r="W1562" s="3">
        <f>Таблица1[[#This Row],[Годовой доход]]/12</f>
        <v>86551.333333333328</v>
      </c>
      <c r="X1562" s="3">
        <f>Таблица1[[#This Row],[Ежемесячный платеж]]/Таблица1[[#This Row],[Ежем доход]]</f>
        <v>0.1510010244402166</v>
      </c>
      <c r="Y1562" s="3"/>
      <c r="Z1562" s="3"/>
      <c r="AA1562" s="3"/>
      <c r="AB1562" s="3"/>
    </row>
    <row r="1563" spans="1:28" x14ac:dyDescent="0.2">
      <c r="A1563">
        <v>494</v>
      </c>
      <c r="B1563" t="s">
        <v>535</v>
      </c>
      <c r="C1563" t="s">
        <v>18</v>
      </c>
      <c r="D1563" t="s">
        <v>19</v>
      </c>
      <c r="E1563" t="s">
        <v>32</v>
      </c>
      <c r="F1563" t="s">
        <v>33</v>
      </c>
      <c r="G1563" t="s">
        <v>39</v>
      </c>
      <c r="H1563" s="1">
        <v>309594.52439999999</v>
      </c>
      <c r="I1563" s="3">
        <v>748</v>
      </c>
      <c r="J1563" s="3">
        <v>902538</v>
      </c>
      <c r="K1563" s="3">
        <v>14688.71</v>
      </c>
      <c r="L1563" s="2">
        <v>26.5</v>
      </c>
      <c r="M1563" s="11">
        <v>35.265240640000002</v>
      </c>
      <c r="N1563" s="3">
        <v>6</v>
      </c>
      <c r="O1563" s="3">
        <v>3173</v>
      </c>
      <c r="P1563" s="3">
        <v>244750</v>
      </c>
      <c r="Q1563" s="10">
        <v>0</v>
      </c>
      <c r="R1563" s="3">
        <f>(Таблица1[Размер кредита]-$AA$2)/$AA$3</f>
        <v>-1.2411115481956205E-10</v>
      </c>
      <c r="S1563" s="3">
        <f>(Таблица1[Кредитный рейтинг]-$AA$7)/($AA$8-$AA$7)</f>
        <v>0.99600532623169102</v>
      </c>
      <c r="T1563" s="3">
        <f>(Таблица1[Срок с последнего нарушения кредитного договора (мес,)]-$AA$12)/($AA$13-$AA$12)</f>
        <v>0.40074137090909095</v>
      </c>
      <c r="U1563" s="3">
        <f>(Таблица1[Количество кредитных карт]-$AA$18)/($AA$19-$AA$18)</f>
        <v>0.11904761904761904</v>
      </c>
      <c r="V1563" s="3">
        <f>(Таблица1[Число нарушений кредитных договоров]-$AA$23)/($AA$24-$AA$23)</f>
        <v>0</v>
      </c>
      <c r="W1563" s="3">
        <f>Таблица1[[#This Row],[Годовой доход]]/12</f>
        <v>75211.5</v>
      </c>
      <c r="X1563" s="3">
        <f>Таблица1[[#This Row],[Ежемесячный платеж]]/Таблица1[[#This Row],[Ежем доход]]</f>
        <v>0.1952987242642415</v>
      </c>
      <c r="Y1563" s="3"/>
      <c r="Z1563" s="3"/>
      <c r="AA1563" s="3"/>
      <c r="AB1563" s="3"/>
    </row>
    <row r="1564" spans="1:28" x14ac:dyDescent="0.2">
      <c r="A1564">
        <v>127</v>
      </c>
      <c r="B1564" t="s">
        <v>169</v>
      </c>
      <c r="C1564" t="s">
        <v>18</v>
      </c>
      <c r="D1564" t="s">
        <v>19</v>
      </c>
      <c r="E1564" t="s">
        <v>37</v>
      </c>
      <c r="F1564" t="s">
        <v>33</v>
      </c>
      <c r="G1564" t="s">
        <v>25</v>
      </c>
      <c r="H1564" s="1">
        <v>133078</v>
      </c>
      <c r="I1564" s="3">
        <v>709</v>
      </c>
      <c r="J1564" s="3">
        <v>804460</v>
      </c>
      <c r="K1564" s="3">
        <v>9117.34</v>
      </c>
      <c r="L1564" s="2">
        <v>12.5</v>
      </c>
      <c r="M1564" s="11">
        <v>35.265240640000002</v>
      </c>
      <c r="N1564" s="3">
        <v>10</v>
      </c>
      <c r="O1564" s="3">
        <v>111568</v>
      </c>
      <c r="P1564" s="3">
        <v>243760</v>
      </c>
      <c r="Q1564" s="10">
        <v>0</v>
      </c>
      <c r="R1564" s="3">
        <f>(Таблица1[Размер кредита]-$AA$2)/$AA$3</f>
        <v>-1.0049581575400033</v>
      </c>
      <c r="S1564" s="3">
        <f>(Таблица1[Кредитный рейтинг]-$AA$7)/($AA$8-$AA$7)</f>
        <v>0.94407456724367511</v>
      </c>
      <c r="T1564" s="3">
        <f>(Таблица1[Срок с последнего нарушения кредитного договора (мес,)]-$AA$12)/($AA$13-$AA$12)</f>
        <v>0.40074137090909095</v>
      </c>
      <c r="U1564" s="3">
        <f>(Таблица1[Количество кредитных карт]-$AA$18)/($AA$19-$AA$18)</f>
        <v>0.21428571428571427</v>
      </c>
      <c r="V1564" s="3">
        <f>(Таблица1[Число нарушений кредитных договоров]-$AA$23)/($AA$24-$AA$23)</f>
        <v>0</v>
      </c>
      <c r="W1564" s="3">
        <f>Таблица1[[#This Row],[Годовой доход]]/12</f>
        <v>67038.333333333328</v>
      </c>
      <c r="X1564" s="3">
        <f>Таблица1[[#This Row],[Ежемесячный платеж]]/Таблица1[[#This Row],[Ежем доход]]</f>
        <v>0.13600188946622579</v>
      </c>
      <c r="Y1564" s="3"/>
      <c r="Z1564" s="3"/>
      <c r="AA1564" s="3"/>
      <c r="AB1564" s="3"/>
    </row>
    <row r="1565" spans="1:28" x14ac:dyDescent="0.2">
      <c r="A1565">
        <v>1623</v>
      </c>
      <c r="B1565" t="s">
        <v>1662</v>
      </c>
      <c r="C1565" t="s">
        <v>18</v>
      </c>
      <c r="D1565" t="s">
        <v>19</v>
      </c>
      <c r="E1565" t="s">
        <v>24</v>
      </c>
      <c r="F1565" t="s">
        <v>33</v>
      </c>
      <c r="G1565" t="s">
        <v>75</v>
      </c>
      <c r="H1565" s="1">
        <v>65230</v>
      </c>
      <c r="I1565" s="3">
        <v>741</v>
      </c>
      <c r="J1565" s="3">
        <v>1107776</v>
      </c>
      <c r="K1565" s="3">
        <v>5686.7</v>
      </c>
      <c r="L1565" s="2">
        <v>18.2</v>
      </c>
      <c r="M1565" s="11">
        <v>35.265240640000002</v>
      </c>
      <c r="N1565" s="3">
        <v>7</v>
      </c>
      <c r="O1565" s="3">
        <v>36347</v>
      </c>
      <c r="P1565" s="3">
        <v>243298</v>
      </c>
      <c r="Q1565" s="10">
        <v>0</v>
      </c>
      <c r="R1565" s="3">
        <f>(Таблица1[Размер кредита]-$AA$2)/$AA$3</f>
        <v>-1.3912358802411504</v>
      </c>
      <c r="S1565" s="3">
        <f>(Таблица1[Кредитный рейтинг]-$AA$7)/($AA$8-$AA$7)</f>
        <v>0.98668442077230356</v>
      </c>
      <c r="T1565" s="3">
        <f>(Таблица1[Срок с последнего нарушения кредитного договора (мес,)]-$AA$12)/($AA$13-$AA$12)</f>
        <v>0.40074137090909095</v>
      </c>
      <c r="U1565" s="3">
        <f>(Таблица1[Количество кредитных карт]-$AA$18)/($AA$19-$AA$18)</f>
        <v>0.14285714285714285</v>
      </c>
      <c r="V1565" s="3">
        <f>(Таблица1[Число нарушений кредитных договоров]-$AA$23)/($AA$24-$AA$23)</f>
        <v>0</v>
      </c>
      <c r="W1565" s="3">
        <f>Таблица1[[#This Row],[Годовой доход]]/12</f>
        <v>92314.666666666672</v>
      </c>
      <c r="X1565" s="3">
        <f>Таблица1[[#This Row],[Ежемесячный платеж]]/Таблица1[[#This Row],[Ежем доход]]</f>
        <v>6.1601262349066953E-2</v>
      </c>
      <c r="Y1565" s="3"/>
      <c r="Z1565" s="3"/>
      <c r="AA1565" s="3"/>
      <c r="AB1565" s="3"/>
    </row>
    <row r="1566" spans="1:28" x14ac:dyDescent="0.2">
      <c r="A1566">
        <v>772</v>
      </c>
      <c r="B1566" t="s">
        <v>813</v>
      </c>
      <c r="C1566" t="s">
        <v>18</v>
      </c>
      <c r="D1566" t="s">
        <v>19</v>
      </c>
      <c r="E1566" t="s">
        <v>24</v>
      </c>
      <c r="F1566" t="s">
        <v>21</v>
      </c>
      <c r="G1566" t="s">
        <v>25</v>
      </c>
      <c r="H1566" s="1">
        <v>137852</v>
      </c>
      <c r="I1566" s="3">
        <v>732</v>
      </c>
      <c r="J1566" s="3">
        <v>1395227</v>
      </c>
      <c r="K1566" s="3">
        <v>2813.71</v>
      </c>
      <c r="L1566" s="2">
        <v>21.2</v>
      </c>
      <c r="M1566" s="11">
        <v>52</v>
      </c>
      <c r="N1566" s="3">
        <v>10</v>
      </c>
      <c r="O1566" s="3">
        <v>76627</v>
      </c>
      <c r="P1566" s="3">
        <v>243078</v>
      </c>
      <c r="Q1566" s="10">
        <v>0</v>
      </c>
      <c r="R1566" s="3">
        <f>(Таблица1[Размер кредита]-$AA$2)/$AA$3</f>
        <v>-0.97777843450947521</v>
      </c>
      <c r="S1566" s="3">
        <f>(Таблица1[Кредитный рейтинг]-$AA$7)/($AA$8-$AA$7)</f>
        <v>0.97470039946737685</v>
      </c>
      <c r="T1566" s="3">
        <f>(Таблица1[Срок с последнего нарушения кредитного договора (мес,)]-$AA$12)/($AA$13-$AA$12)</f>
        <v>0.59090909090909094</v>
      </c>
      <c r="U1566" s="3">
        <f>(Таблица1[Количество кредитных карт]-$AA$18)/($AA$19-$AA$18)</f>
        <v>0.21428571428571427</v>
      </c>
      <c r="V1566" s="3">
        <f>(Таблица1[Число нарушений кредитных договоров]-$AA$23)/($AA$24-$AA$23)</f>
        <v>0</v>
      </c>
      <c r="W1566" s="3">
        <f>Таблица1[[#This Row],[Годовой доход]]/12</f>
        <v>116268.91666666667</v>
      </c>
      <c r="X1566" s="3">
        <f>Таблица1[[#This Row],[Ежемесячный платеж]]/Таблица1[[#This Row],[Ежем доход]]</f>
        <v>2.4200019064998024E-2</v>
      </c>
      <c r="Y1566" s="3"/>
      <c r="Z1566" s="3"/>
      <c r="AA1566" s="3"/>
      <c r="AB1566" s="3"/>
    </row>
    <row r="1567" spans="1:28" x14ac:dyDescent="0.2">
      <c r="A1567">
        <v>373</v>
      </c>
      <c r="B1567" t="s">
        <v>415</v>
      </c>
      <c r="C1567" t="s">
        <v>18</v>
      </c>
      <c r="D1567" t="s">
        <v>19</v>
      </c>
      <c r="E1567" t="s">
        <v>24</v>
      </c>
      <c r="F1567" t="s">
        <v>21</v>
      </c>
      <c r="G1567" t="s">
        <v>25</v>
      </c>
      <c r="H1567" s="1">
        <v>353232</v>
      </c>
      <c r="I1567" s="3">
        <v>712</v>
      </c>
      <c r="J1567" s="3">
        <v>823707</v>
      </c>
      <c r="K1567" s="3">
        <v>13659.67</v>
      </c>
      <c r="L1567" s="2">
        <v>9.8000000000000007</v>
      </c>
      <c r="M1567" s="11">
        <v>41</v>
      </c>
      <c r="N1567" s="3">
        <v>9</v>
      </c>
      <c r="O1567" s="3">
        <v>117496</v>
      </c>
      <c r="P1567" s="3">
        <v>242968</v>
      </c>
      <c r="Q1567" s="10">
        <v>0</v>
      </c>
      <c r="R1567" s="3">
        <f>(Таблица1[Размер кредита]-$AA$2)/$AA$3</f>
        <v>0.24844040636089756</v>
      </c>
      <c r="S1567" s="3">
        <f>(Таблица1[Кредитный рейтинг]-$AA$7)/($AA$8-$AA$7)</f>
        <v>0.94806924101198398</v>
      </c>
      <c r="T1567" s="3">
        <f>(Таблица1[Срок с последнего нарушения кредитного договора (мес,)]-$AA$12)/($AA$13-$AA$12)</f>
        <v>0.46590909090909088</v>
      </c>
      <c r="U1567" s="3">
        <f>(Таблица1[Количество кредитных карт]-$AA$18)/($AA$19-$AA$18)</f>
        <v>0.19047619047619047</v>
      </c>
      <c r="V1567" s="3">
        <f>(Таблица1[Число нарушений кредитных договоров]-$AA$23)/($AA$24-$AA$23)</f>
        <v>0</v>
      </c>
      <c r="W1567" s="3">
        <f>Таблица1[[#This Row],[Годовой доход]]/12</f>
        <v>68642.25</v>
      </c>
      <c r="X1567" s="3">
        <f>Таблица1[[#This Row],[Ежемесячный платеж]]/Таблица1[[#This Row],[Ежем доход]]</f>
        <v>0.1989979932184624</v>
      </c>
      <c r="Y1567" s="3"/>
      <c r="Z1567" s="3"/>
      <c r="AA1567" s="3"/>
      <c r="AB1567" s="3"/>
    </row>
    <row r="1568" spans="1:28" x14ac:dyDescent="0.2">
      <c r="A1568">
        <v>83</v>
      </c>
      <c r="B1568" t="s">
        <v>125</v>
      </c>
      <c r="C1568" t="s">
        <v>18</v>
      </c>
      <c r="D1568" t="s">
        <v>29</v>
      </c>
      <c r="E1568" t="s">
        <v>20</v>
      </c>
      <c r="F1568" t="s">
        <v>21</v>
      </c>
      <c r="G1568" t="s">
        <v>25</v>
      </c>
      <c r="H1568" s="1">
        <v>392282</v>
      </c>
      <c r="I1568" s="3">
        <v>688</v>
      </c>
      <c r="J1568" s="3">
        <v>974662</v>
      </c>
      <c r="K1568" s="3">
        <v>10396.42</v>
      </c>
      <c r="L1568" s="2">
        <v>12</v>
      </c>
      <c r="M1568" s="11">
        <v>10</v>
      </c>
      <c r="N1568" s="3">
        <v>11</v>
      </c>
      <c r="O1568" s="3">
        <v>35663</v>
      </c>
      <c r="P1568" s="3">
        <v>242946</v>
      </c>
      <c r="Q1568" s="10">
        <v>0</v>
      </c>
      <c r="R1568" s="3">
        <f>(Таблица1[Размер кредита]-$AA$2)/$AA$3</f>
        <v>0.47076302561982625</v>
      </c>
      <c r="S1568" s="3">
        <f>(Таблица1[Кредитный рейтинг]-$AA$7)/($AA$8-$AA$7)</f>
        <v>0.91611185086551261</v>
      </c>
      <c r="T1568" s="3">
        <f>(Таблица1[Срок с последнего нарушения кредитного договора (мес,)]-$AA$12)/($AA$13-$AA$12)</f>
        <v>0.11363636363636363</v>
      </c>
      <c r="U1568" s="3">
        <f>(Таблица1[Количество кредитных карт]-$AA$18)/($AA$19-$AA$18)</f>
        <v>0.23809523809523808</v>
      </c>
      <c r="V1568" s="3">
        <f>(Таблица1[Число нарушений кредитных договоров]-$AA$23)/($AA$24-$AA$23)</f>
        <v>0</v>
      </c>
      <c r="W1568" s="3">
        <f>Таблица1[[#This Row],[Годовой доход]]/12</f>
        <v>81221.833333333328</v>
      </c>
      <c r="X1568" s="3">
        <f>Таблица1[[#This Row],[Ежемесячный платеж]]/Таблица1[[#This Row],[Ежем доход]]</f>
        <v>0.12800031190299818</v>
      </c>
      <c r="Y1568" s="3"/>
      <c r="Z1568" s="3"/>
      <c r="AA1568" s="3"/>
      <c r="AB1568" s="3"/>
    </row>
    <row r="1569" spans="1:28" x14ac:dyDescent="0.2">
      <c r="A1569">
        <v>1622</v>
      </c>
      <c r="B1569" t="s">
        <v>1661</v>
      </c>
      <c r="C1569" t="s">
        <v>35</v>
      </c>
      <c r="D1569" t="s">
        <v>29</v>
      </c>
      <c r="E1569" t="s">
        <v>24</v>
      </c>
      <c r="F1569" t="s">
        <v>21</v>
      </c>
      <c r="G1569" t="s">
        <v>25</v>
      </c>
      <c r="H1569" s="1">
        <v>242748</v>
      </c>
      <c r="I1569" s="3">
        <v>680</v>
      </c>
      <c r="J1569" s="3">
        <v>795910</v>
      </c>
      <c r="K1569" s="3">
        <v>8887.44</v>
      </c>
      <c r="L1569" s="2">
        <v>11.3</v>
      </c>
      <c r="M1569" s="11">
        <v>28</v>
      </c>
      <c r="N1569" s="3">
        <v>6</v>
      </c>
      <c r="O1569" s="3">
        <v>111169</v>
      </c>
      <c r="P1569" s="3">
        <v>242880</v>
      </c>
      <c r="Q1569" s="10">
        <v>1</v>
      </c>
      <c r="R1569" s="3">
        <f>(Таблица1[Размер кредита]-$AA$2)/$AA$3</f>
        <v>-0.38057604091704034</v>
      </c>
      <c r="S1569" s="3">
        <f>(Таблица1[Кредитный рейтинг]-$AA$7)/($AA$8-$AA$7)</f>
        <v>0.90545938748335553</v>
      </c>
      <c r="T1569" s="3">
        <f>(Таблица1[Срок с последнего нарушения кредитного договора (мес,)]-$AA$12)/($AA$13-$AA$12)</f>
        <v>0.31818181818181818</v>
      </c>
      <c r="U1569" s="3">
        <f>(Таблица1[Количество кредитных карт]-$AA$18)/($AA$19-$AA$18)</f>
        <v>0.11904761904761904</v>
      </c>
      <c r="V1569" s="3">
        <f>(Таблица1[Число нарушений кредитных договоров]-$AA$23)/($AA$24-$AA$23)</f>
        <v>0.14285714285714285</v>
      </c>
      <c r="W1569" s="3">
        <f>Таблица1[[#This Row],[Годовой доход]]/12</f>
        <v>66325.833333333328</v>
      </c>
      <c r="X1569" s="3">
        <f>Таблица1[[#This Row],[Ежемесячный платеж]]/Таблица1[[#This Row],[Ежем доход]]</f>
        <v>0.1339966579135832</v>
      </c>
      <c r="Y1569" s="3"/>
      <c r="Z1569" s="3"/>
      <c r="AA1569" s="3"/>
      <c r="AB1569" s="3"/>
    </row>
    <row r="1570" spans="1:28" x14ac:dyDescent="0.2">
      <c r="A1570">
        <v>384</v>
      </c>
      <c r="B1570" t="s">
        <v>426</v>
      </c>
      <c r="C1570" t="s">
        <v>35</v>
      </c>
      <c r="D1570" t="s">
        <v>19</v>
      </c>
      <c r="E1570" t="s">
        <v>24</v>
      </c>
      <c r="F1570" t="s">
        <v>33</v>
      </c>
      <c r="G1570" t="s">
        <v>25</v>
      </c>
      <c r="H1570" s="1">
        <v>79948</v>
      </c>
      <c r="I1570" s="3">
        <v>741</v>
      </c>
      <c r="J1570" s="3">
        <v>230147</v>
      </c>
      <c r="K1570" s="3">
        <v>4372.66</v>
      </c>
      <c r="L1570" s="2">
        <v>8.9</v>
      </c>
      <c r="M1570" s="11">
        <v>35.265240640000002</v>
      </c>
      <c r="N1570" s="3">
        <v>11</v>
      </c>
      <c r="O1570" s="3">
        <v>110086</v>
      </c>
      <c r="P1570" s="3">
        <v>242792</v>
      </c>
      <c r="Q1570" s="10">
        <v>0</v>
      </c>
      <c r="R1570" s="3">
        <f>(Таблица1[Размер кредита]-$AA$2)/$AA$3</f>
        <v>-1.3074421719120106</v>
      </c>
      <c r="S1570" s="3">
        <f>(Таблица1[Кредитный рейтинг]-$AA$7)/($AA$8-$AA$7)</f>
        <v>0.98668442077230356</v>
      </c>
      <c r="T1570" s="3">
        <f>(Таблица1[Срок с последнего нарушения кредитного договора (мес,)]-$AA$12)/($AA$13-$AA$12)</f>
        <v>0.40074137090909095</v>
      </c>
      <c r="U1570" s="3">
        <f>(Таблица1[Количество кредитных карт]-$AA$18)/($AA$19-$AA$18)</f>
        <v>0.23809523809523808</v>
      </c>
      <c r="V1570" s="3">
        <f>(Таблица1[Число нарушений кредитных договоров]-$AA$23)/($AA$24-$AA$23)</f>
        <v>0</v>
      </c>
      <c r="W1570" s="3">
        <f>Таблица1[[#This Row],[Годовой доход]]/12</f>
        <v>19178.916666666668</v>
      </c>
      <c r="X1570" s="3">
        <f>Таблица1[[#This Row],[Ежемесячный платеж]]/Таблица1[[#This Row],[Ежем доход]]</f>
        <v>0.2279930653017419</v>
      </c>
      <c r="Y1570" s="3"/>
      <c r="Z1570" s="3"/>
      <c r="AA1570" s="3"/>
      <c r="AB1570" s="3"/>
    </row>
    <row r="1571" spans="1:28" x14ac:dyDescent="0.2">
      <c r="A1571">
        <v>1200</v>
      </c>
      <c r="B1571" t="s">
        <v>1239</v>
      </c>
      <c r="C1571" t="s">
        <v>18</v>
      </c>
      <c r="D1571" t="s">
        <v>19</v>
      </c>
      <c r="E1571" t="s">
        <v>69</v>
      </c>
      <c r="F1571" t="s">
        <v>21</v>
      </c>
      <c r="G1571" t="s">
        <v>25</v>
      </c>
      <c r="H1571" s="1">
        <v>343552</v>
      </c>
      <c r="I1571" s="3">
        <v>0</v>
      </c>
      <c r="J1571" s="3">
        <v>1168044</v>
      </c>
      <c r="K1571" s="3">
        <v>12334.23</v>
      </c>
      <c r="L1571" s="2">
        <v>18</v>
      </c>
      <c r="M1571" s="11">
        <v>41</v>
      </c>
      <c r="N1571" s="3">
        <v>7</v>
      </c>
      <c r="O1571" s="3">
        <v>160550</v>
      </c>
      <c r="P1571" s="3">
        <v>242704</v>
      </c>
      <c r="Q1571" s="10">
        <v>0</v>
      </c>
      <c r="R1571" s="3">
        <f>(Таблица1[Размер кредита]-$AA$2)/$AA$3</f>
        <v>0.19332944722065609</v>
      </c>
      <c r="S1571" s="3">
        <f>(Таблица1[Кредитный рейтинг]-$AA$7)/($AA$8-$AA$7)</f>
        <v>0</v>
      </c>
      <c r="T1571" s="3">
        <f>(Таблица1[Срок с последнего нарушения кредитного договора (мес,)]-$AA$12)/($AA$13-$AA$12)</f>
        <v>0.46590909090909088</v>
      </c>
      <c r="U1571" s="3">
        <f>(Таблица1[Количество кредитных карт]-$AA$18)/($AA$19-$AA$18)</f>
        <v>0.14285714285714285</v>
      </c>
      <c r="V1571" s="3">
        <f>(Таблица1[Число нарушений кредитных договоров]-$AA$23)/($AA$24-$AA$23)</f>
        <v>0</v>
      </c>
      <c r="W1571" s="3">
        <f>Таблица1[[#This Row],[Годовой доход]]/12</f>
        <v>97337</v>
      </c>
      <c r="X1571" s="3">
        <f>Таблица1[[#This Row],[Ежемесячный платеж]]/Таблица1[[#This Row],[Ежем доход]]</f>
        <v>0.12671676751903183</v>
      </c>
      <c r="Y1571" s="3"/>
      <c r="Z1571" s="3"/>
      <c r="AA1571" s="3"/>
      <c r="AB1571" s="3"/>
    </row>
    <row r="1572" spans="1:28" x14ac:dyDescent="0.2">
      <c r="A1572">
        <v>1501</v>
      </c>
      <c r="B1572" t="s">
        <v>1540</v>
      </c>
      <c r="C1572" t="s">
        <v>35</v>
      </c>
      <c r="D1572" t="s">
        <v>19</v>
      </c>
      <c r="E1572" t="s">
        <v>37</v>
      </c>
      <c r="F1572" t="s">
        <v>33</v>
      </c>
      <c r="G1572" t="s">
        <v>67</v>
      </c>
      <c r="H1572" s="1">
        <v>107448</v>
      </c>
      <c r="I1572" s="3">
        <v>692</v>
      </c>
      <c r="J1572" s="3">
        <v>668059</v>
      </c>
      <c r="K1572" s="3">
        <v>4804.53</v>
      </c>
      <c r="L1572" s="2">
        <v>17.399999999999999</v>
      </c>
      <c r="M1572" s="11">
        <v>35.265240640000002</v>
      </c>
      <c r="N1572" s="3">
        <v>4</v>
      </c>
      <c r="O1572" s="3">
        <v>131404</v>
      </c>
      <c r="P1572" s="3">
        <v>242660</v>
      </c>
      <c r="Q1572" s="10">
        <v>0</v>
      </c>
      <c r="R1572" s="3">
        <f>(Таблица1[Размер кредита]-$AA$2)/$AA$3</f>
        <v>-1.150876947081779</v>
      </c>
      <c r="S1572" s="3">
        <f>(Таблица1[Кредитный рейтинг]-$AA$7)/($AA$8-$AA$7)</f>
        <v>0.92143808255659121</v>
      </c>
      <c r="T1572" s="3">
        <f>(Таблица1[Срок с последнего нарушения кредитного договора (мес,)]-$AA$12)/($AA$13-$AA$12)</f>
        <v>0.40074137090909095</v>
      </c>
      <c r="U1572" s="3">
        <f>(Таблица1[Количество кредитных карт]-$AA$18)/($AA$19-$AA$18)</f>
        <v>7.1428571428571425E-2</v>
      </c>
      <c r="V1572" s="3">
        <f>(Таблица1[Число нарушений кредитных договоров]-$AA$23)/($AA$24-$AA$23)</f>
        <v>0</v>
      </c>
      <c r="W1572" s="3">
        <f>Таблица1[[#This Row],[Годовой доход]]/12</f>
        <v>55671.583333333336</v>
      </c>
      <c r="X1572" s="3">
        <f>Таблица1[[#This Row],[Ежемесячный платеж]]/Таблица1[[#This Row],[Ежем доход]]</f>
        <v>8.6301299735502393E-2</v>
      </c>
      <c r="Y1572" s="3"/>
      <c r="Z1572" s="3"/>
      <c r="AA1572" s="3"/>
      <c r="AB1572" s="3"/>
    </row>
    <row r="1573" spans="1:28" x14ac:dyDescent="0.2">
      <c r="A1573">
        <v>1320</v>
      </c>
      <c r="B1573" t="s">
        <v>1359</v>
      </c>
      <c r="C1573" t="s">
        <v>18</v>
      </c>
      <c r="D1573" t="s">
        <v>19</v>
      </c>
      <c r="E1573" t="s">
        <v>24</v>
      </c>
      <c r="F1573" t="s">
        <v>33</v>
      </c>
      <c r="G1573" t="s">
        <v>25</v>
      </c>
      <c r="H1573" s="1">
        <v>325512</v>
      </c>
      <c r="I1573" s="3">
        <v>713</v>
      </c>
      <c r="J1573" s="3">
        <v>930601</v>
      </c>
      <c r="K1573" s="3">
        <v>15044.77</v>
      </c>
      <c r="L1573" s="2">
        <v>12.2</v>
      </c>
      <c r="M1573" s="11">
        <v>20</v>
      </c>
      <c r="N1573" s="3">
        <v>6</v>
      </c>
      <c r="O1573" s="3">
        <v>161025</v>
      </c>
      <c r="P1573" s="3">
        <v>242462</v>
      </c>
      <c r="Q1573" s="10">
        <v>0</v>
      </c>
      <c r="R1573" s="3">
        <f>(Таблица1[Размер кредита]-$AA$2)/$AA$3</f>
        <v>9.0622659732024269E-2</v>
      </c>
      <c r="S1573" s="3">
        <f>(Таблица1[Кредитный рейтинг]-$AA$7)/($AA$8-$AA$7)</f>
        <v>0.94940079893475371</v>
      </c>
      <c r="T1573" s="3">
        <f>(Таблица1[Срок с последнего нарушения кредитного договора (мес,)]-$AA$12)/($AA$13-$AA$12)</f>
        <v>0.22727272727272727</v>
      </c>
      <c r="U1573" s="3">
        <f>(Таблица1[Количество кредитных карт]-$AA$18)/($AA$19-$AA$18)</f>
        <v>0.11904761904761904</v>
      </c>
      <c r="V1573" s="3">
        <f>(Таблица1[Число нарушений кредитных договоров]-$AA$23)/($AA$24-$AA$23)</f>
        <v>0</v>
      </c>
      <c r="W1573" s="3">
        <f>Таблица1[[#This Row],[Годовой доход]]/12</f>
        <v>77550.083333333328</v>
      </c>
      <c r="X1573" s="3">
        <f>Таблица1[[#This Row],[Ежемесячный платеж]]/Таблица1[[#This Row],[Ежем доход]]</f>
        <v>0.19400069417505464</v>
      </c>
      <c r="Y1573" s="3"/>
      <c r="Z1573" s="3"/>
      <c r="AA1573" s="3"/>
      <c r="AB1573" s="3"/>
    </row>
    <row r="1574" spans="1:28" x14ac:dyDescent="0.2">
      <c r="A1574">
        <v>1063</v>
      </c>
      <c r="B1574" t="s">
        <v>1102</v>
      </c>
      <c r="C1574" t="s">
        <v>18</v>
      </c>
      <c r="D1574" t="s">
        <v>19</v>
      </c>
      <c r="E1574" t="s">
        <v>24</v>
      </c>
      <c r="F1574" t="s">
        <v>21</v>
      </c>
      <c r="G1574" t="s">
        <v>25</v>
      </c>
      <c r="H1574" s="1">
        <v>455400</v>
      </c>
      <c r="I1574" s="3">
        <v>732</v>
      </c>
      <c r="J1574" s="3">
        <v>1375581</v>
      </c>
      <c r="K1574" s="3">
        <v>23384.82</v>
      </c>
      <c r="L1574" s="2">
        <v>19.7</v>
      </c>
      <c r="M1574" s="11">
        <v>69</v>
      </c>
      <c r="N1574" s="3">
        <v>7</v>
      </c>
      <c r="O1574" s="3">
        <v>186352</v>
      </c>
      <c r="P1574" s="3">
        <v>242198</v>
      </c>
      <c r="Q1574" s="10">
        <v>0</v>
      </c>
      <c r="R1574" s="3">
        <f>(Таблица1[Размер кредита]-$AA$2)/$AA$3</f>
        <v>0.83011152965017343</v>
      </c>
      <c r="S1574" s="3">
        <f>(Таблица1[Кредитный рейтинг]-$AA$7)/($AA$8-$AA$7)</f>
        <v>0.97470039946737685</v>
      </c>
      <c r="T1574" s="3">
        <f>(Таблица1[Срок с последнего нарушения кредитного договора (мес,)]-$AA$12)/($AA$13-$AA$12)</f>
        <v>0.78409090909090906</v>
      </c>
      <c r="U1574" s="3">
        <f>(Таблица1[Количество кредитных карт]-$AA$18)/($AA$19-$AA$18)</f>
        <v>0.14285714285714285</v>
      </c>
      <c r="V1574" s="3">
        <f>(Таблица1[Число нарушений кредитных договоров]-$AA$23)/($AA$24-$AA$23)</f>
        <v>0</v>
      </c>
      <c r="W1574" s="3">
        <f>Таблица1[[#This Row],[Годовой доход]]/12</f>
        <v>114631.75</v>
      </c>
      <c r="X1574" s="3">
        <f>Таблица1[[#This Row],[Ежемесячный платеж]]/Таблица1[[#This Row],[Ежем доход]]</f>
        <v>0.20399950275556292</v>
      </c>
      <c r="Y1574" s="3"/>
      <c r="Z1574" s="3"/>
      <c r="AA1574" s="3"/>
      <c r="AB1574" s="3"/>
    </row>
    <row r="1575" spans="1:28" x14ac:dyDescent="0.2">
      <c r="A1575">
        <v>1027</v>
      </c>
      <c r="B1575" t="s">
        <v>1066</v>
      </c>
      <c r="C1575" t="s">
        <v>18</v>
      </c>
      <c r="D1575" t="s">
        <v>19</v>
      </c>
      <c r="E1575" t="s">
        <v>63</v>
      </c>
      <c r="F1575" t="s">
        <v>33</v>
      </c>
      <c r="G1575" t="s">
        <v>25</v>
      </c>
      <c r="H1575" s="1">
        <v>82126</v>
      </c>
      <c r="I1575" s="3">
        <v>717</v>
      </c>
      <c r="J1575" s="3">
        <v>2015672</v>
      </c>
      <c r="K1575" s="3">
        <v>23180.38</v>
      </c>
      <c r="L1575" s="2">
        <v>24</v>
      </c>
      <c r="M1575" s="11">
        <v>35.265240640000002</v>
      </c>
      <c r="N1575" s="3">
        <v>8</v>
      </c>
      <c r="O1575" s="3">
        <v>157016</v>
      </c>
      <c r="P1575" s="3">
        <v>242088</v>
      </c>
      <c r="Q1575" s="10">
        <v>0</v>
      </c>
      <c r="R1575" s="3">
        <f>(Таблица1[Размер кредита]-$AA$2)/$AA$3</f>
        <v>-1.2950422061054563</v>
      </c>
      <c r="S1575" s="3">
        <f>(Таблица1[Кредитный рейтинг]-$AA$7)/($AA$8-$AA$7)</f>
        <v>0.9547270306258322</v>
      </c>
      <c r="T1575" s="3">
        <f>(Таблица1[Срок с последнего нарушения кредитного договора (мес,)]-$AA$12)/($AA$13-$AA$12)</f>
        <v>0.40074137090909095</v>
      </c>
      <c r="U1575" s="3">
        <f>(Таблица1[Количество кредитных карт]-$AA$18)/($AA$19-$AA$18)</f>
        <v>0.16666666666666666</v>
      </c>
      <c r="V1575" s="3">
        <f>(Таблица1[Число нарушений кредитных договоров]-$AA$23)/($AA$24-$AA$23)</f>
        <v>0</v>
      </c>
      <c r="W1575" s="3">
        <f>Таблица1[[#This Row],[Годовой доход]]/12</f>
        <v>167972.66666666666</v>
      </c>
      <c r="X1575" s="3">
        <f>Таблица1[[#This Row],[Ежемесячный платеж]]/Таблица1[[#This Row],[Ежем доход]]</f>
        <v>0.13800090490913205</v>
      </c>
      <c r="Y1575" s="3"/>
      <c r="Z1575" s="3"/>
      <c r="AA1575" s="3"/>
      <c r="AB1575" s="3"/>
    </row>
    <row r="1576" spans="1:28" x14ac:dyDescent="0.2">
      <c r="A1576">
        <v>604</v>
      </c>
      <c r="B1576" t="s">
        <v>645</v>
      </c>
      <c r="C1576" t="s">
        <v>18</v>
      </c>
      <c r="D1576" t="s">
        <v>19</v>
      </c>
      <c r="E1576" t="s">
        <v>30</v>
      </c>
      <c r="F1576" t="s">
        <v>21</v>
      </c>
      <c r="G1576" t="s">
        <v>22</v>
      </c>
      <c r="H1576" s="1">
        <v>266068</v>
      </c>
      <c r="I1576" s="3">
        <v>0</v>
      </c>
      <c r="J1576" s="3">
        <v>1168044</v>
      </c>
      <c r="K1576" s="3">
        <v>2970.46</v>
      </c>
      <c r="L1576" s="2">
        <v>20.7</v>
      </c>
      <c r="M1576" s="11">
        <v>52</v>
      </c>
      <c r="N1576" s="3">
        <v>13</v>
      </c>
      <c r="O1576" s="3">
        <v>97717</v>
      </c>
      <c r="P1576" s="3">
        <v>241758</v>
      </c>
      <c r="Q1576" s="10">
        <v>2</v>
      </c>
      <c r="R1576" s="3">
        <f>(Таблица1[Размер кредита]-$AA$2)/$AA$3</f>
        <v>-0.24780873026100406</v>
      </c>
      <c r="S1576" s="3">
        <f>(Таблица1[Кредитный рейтинг]-$AA$7)/($AA$8-$AA$7)</f>
        <v>0</v>
      </c>
      <c r="T1576" s="3">
        <f>(Таблица1[Срок с последнего нарушения кредитного договора (мес,)]-$AA$12)/($AA$13-$AA$12)</f>
        <v>0.59090909090909094</v>
      </c>
      <c r="U1576" s="3">
        <f>(Таблица1[Количество кредитных карт]-$AA$18)/($AA$19-$AA$18)</f>
        <v>0.2857142857142857</v>
      </c>
      <c r="V1576" s="3">
        <f>(Таблица1[Число нарушений кредитных договоров]-$AA$23)/($AA$24-$AA$23)</f>
        <v>0.2857142857142857</v>
      </c>
      <c r="W1576" s="3">
        <f>Таблица1[[#This Row],[Годовой доход]]/12</f>
        <v>97337</v>
      </c>
      <c r="X1576" s="3">
        <f>Таблица1[[#This Row],[Ежемесячный платеж]]/Таблица1[[#This Row],[Ежем доход]]</f>
        <v>3.0517275034159672E-2</v>
      </c>
      <c r="Y1576" s="3"/>
      <c r="Z1576" s="3"/>
      <c r="AA1576" s="3"/>
      <c r="AB1576" s="3"/>
    </row>
    <row r="1577" spans="1:28" x14ac:dyDescent="0.2">
      <c r="A1577">
        <v>1789</v>
      </c>
      <c r="B1577" t="s">
        <v>1827</v>
      </c>
      <c r="C1577" t="s">
        <v>18</v>
      </c>
      <c r="D1577" t="s">
        <v>19</v>
      </c>
      <c r="E1577" t="s">
        <v>20</v>
      </c>
      <c r="F1577" t="s">
        <v>21</v>
      </c>
      <c r="G1577" t="s">
        <v>25</v>
      </c>
      <c r="H1577" s="1">
        <v>766920</v>
      </c>
      <c r="I1577" s="3">
        <v>0</v>
      </c>
      <c r="J1577" s="3">
        <v>1168044</v>
      </c>
      <c r="K1577" s="3">
        <v>43296.63</v>
      </c>
      <c r="L1577" s="2">
        <v>18.5</v>
      </c>
      <c r="M1577" s="11">
        <v>7</v>
      </c>
      <c r="N1577" s="3">
        <v>15</v>
      </c>
      <c r="O1577" s="3">
        <v>125780</v>
      </c>
      <c r="P1577" s="3">
        <v>241538</v>
      </c>
      <c r="Q1577" s="10">
        <v>0</v>
      </c>
      <c r="R1577" s="3">
        <f>(Таблица1[Размер кредита]-$AA$2)/$AA$3</f>
        <v>2.6036823965270353</v>
      </c>
      <c r="S1577" s="3">
        <f>(Таблица1[Кредитный рейтинг]-$AA$7)/($AA$8-$AA$7)</f>
        <v>0</v>
      </c>
      <c r="T1577" s="3">
        <f>(Таблица1[Срок с последнего нарушения кредитного договора (мес,)]-$AA$12)/($AA$13-$AA$12)</f>
        <v>7.9545454545454544E-2</v>
      </c>
      <c r="U1577" s="3">
        <f>(Таблица1[Количество кредитных карт]-$AA$18)/($AA$19-$AA$18)</f>
        <v>0.33333333333333331</v>
      </c>
      <c r="V1577" s="3">
        <f>(Таблица1[Число нарушений кредитных договоров]-$AA$23)/($AA$24-$AA$23)</f>
        <v>0</v>
      </c>
      <c r="W1577" s="3">
        <f>Таблица1[[#This Row],[Годовой доход]]/12</f>
        <v>97337</v>
      </c>
      <c r="X1577" s="3">
        <f>Таблица1[[#This Row],[Ежемесячный платеж]]/Таблица1[[#This Row],[Ежем доход]]</f>
        <v>0.4448116338083154</v>
      </c>
      <c r="Y1577" s="3"/>
      <c r="Z1577" s="3"/>
      <c r="AA1577" s="3"/>
      <c r="AB1577" s="3"/>
    </row>
    <row r="1578" spans="1:28" x14ac:dyDescent="0.2">
      <c r="A1578">
        <v>284</v>
      </c>
      <c r="B1578" t="s">
        <v>326</v>
      </c>
      <c r="C1578" t="s">
        <v>35</v>
      </c>
      <c r="D1578" t="s">
        <v>19</v>
      </c>
      <c r="E1578" t="s">
        <v>41</v>
      </c>
      <c r="F1578" t="s">
        <v>33</v>
      </c>
      <c r="G1578" t="s">
        <v>25</v>
      </c>
      <c r="H1578" s="1">
        <v>88528</v>
      </c>
      <c r="I1578" s="3">
        <v>696</v>
      </c>
      <c r="J1578" s="3">
        <v>993833</v>
      </c>
      <c r="K1578" s="3">
        <v>2550.94</v>
      </c>
      <c r="L1578" s="2">
        <v>20.8</v>
      </c>
      <c r="M1578" s="11">
        <v>35</v>
      </c>
      <c r="N1578" s="3">
        <v>11</v>
      </c>
      <c r="O1578" s="3">
        <v>38532</v>
      </c>
      <c r="P1578" s="3">
        <v>241142</v>
      </c>
      <c r="Q1578" s="10">
        <v>0</v>
      </c>
      <c r="R1578" s="3">
        <f>(Таблица1[Размер кредита]-$AA$2)/$AA$3</f>
        <v>-1.2585938217649784</v>
      </c>
      <c r="S1578" s="3">
        <f>(Таблица1[Кредитный рейтинг]-$AA$7)/($AA$8-$AA$7)</f>
        <v>0.92676431424766981</v>
      </c>
      <c r="T1578" s="3">
        <f>(Таблица1[Срок с последнего нарушения кредитного договора (мес,)]-$AA$12)/($AA$13-$AA$12)</f>
        <v>0.39772727272727271</v>
      </c>
      <c r="U1578" s="3">
        <f>(Таблица1[Количество кредитных карт]-$AA$18)/($AA$19-$AA$18)</f>
        <v>0.23809523809523808</v>
      </c>
      <c r="V1578" s="3">
        <f>(Таблица1[Число нарушений кредитных договоров]-$AA$23)/($AA$24-$AA$23)</f>
        <v>0</v>
      </c>
      <c r="W1578" s="3">
        <f>Таблица1[[#This Row],[Годовой доход]]/12</f>
        <v>82819.416666666672</v>
      </c>
      <c r="X1578" s="3">
        <f>Таблица1[[#This Row],[Ежемесячный платеж]]/Таблица1[[#This Row],[Ежем доход]]</f>
        <v>3.0801231192765784E-2</v>
      </c>
      <c r="Y1578" s="3"/>
      <c r="Z1578" s="3"/>
      <c r="AA1578" s="3"/>
      <c r="AB1578" s="3"/>
    </row>
    <row r="1579" spans="1:28" x14ac:dyDescent="0.2">
      <c r="A1579">
        <v>509</v>
      </c>
      <c r="B1579" t="s">
        <v>550</v>
      </c>
      <c r="C1579" t="s">
        <v>18</v>
      </c>
      <c r="D1579" t="s">
        <v>19</v>
      </c>
      <c r="E1579" t="s">
        <v>41</v>
      </c>
      <c r="F1579" t="s">
        <v>33</v>
      </c>
      <c r="G1579" t="s">
        <v>25</v>
      </c>
      <c r="H1579" s="1">
        <v>43054</v>
      </c>
      <c r="I1579" s="3">
        <v>747</v>
      </c>
      <c r="J1579" s="3">
        <v>490713</v>
      </c>
      <c r="K1579" s="3">
        <v>8346.32</v>
      </c>
      <c r="L1579" s="2">
        <v>21.7</v>
      </c>
      <c r="M1579" s="11">
        <v>81</v>
      </c>
      <c r="N1579" s="3">
        <v>10</v>
      </c>
      <c r="O1579" s="3">
        <v>75962</v>
      </c>
      <c r="P1579" s="3">
        <v>240988</v>
      </c>
      <c r="Q1579" s="10">
        <v>0</v>
      </c>
      <c r="R1579" s="3">
        <f>(Таблица1[Размер кредита]-$AA$2)/$AA$3</f>
        <v>-1.517490077544249</v>
      </c>
      <c r="S1579" s="3">
        <f>(Таблица1[Кредитный рейтинг]-$AA$7)/($AA$8-$AA$7)</f>
        <v>0.9946737683089214</v>
      </c>
      <c r="T1579" s="3">
        <f>(Таблица1[Срок с последнего нарушения кредитного договора (мес,)]-$AA$12)/($AA$13-$AA$12)</f>
        <v>0.92045454545454541</v>
      </c>
      <c r="U1579" s="3">
        <f>(Таблица1[Количество кредитных карт]-$AA$18)/($AA$19-$AA$18)</f>
        <v>0.21428571428571427</v>
      </c>
      <c r="V1579" s="3">
        <f>(Таблица1[Число нарушений кредитных договоров]-$AA$23)/($AA$24-$AA$23)</f>
        <v>0</v>
      </c>
      <c r="W1579" s="3">
        <f>Таблица1[[#This Row],[Годовой доход]]/12</f>
        <v>40892.75</v>
      </c>
      <c r="X1579" s="3">
        <f>Таблица1[[#This Row],[Ежемесячный платеж]]/Таблица1[[#This Row],[Ежем доход]]</f>
        <v>0.20410268323847136</v>
      </c>
      <c r="Y1579" s="3"/>
      <c r="Z1579" s="3"/>
      <c r="AA1579" s="3"/>
      <c r="AB1579" s="3"/>
    </row>
    <row r="1580" spans="1:28" x14ac:dyDescent="0.2">
      <c r="A1580">
        <v>318</v>
      </c>
      <c r="B1580" t="s">
        <v>360</v>
      </c>
      <c r="C1580" t="s">
        <v>18</v>
      </c>
      <c r="D1580" t="s">
        <v>19</v>
      </c>
      <c r="E1580" t="s">
        <v>20</v>
      </c>
      <c r="F1580" t="s">
        <v>33</v>
      </c>
      <c r="G1580" t="s">
        <v>67</v>
      </c>
      <c r="H1580" s="1">
        <v>175076</v>
      </c>
      <c r="I1580" s="3">
        <v>742</v>
      </c>
      <c r="J1580" s="3">
        <v>748486</v>
      </c>
      <c r="K1580" s="3">
        <v>7983.8</v>
      </c>
      <c r="L1580" s="2">
        <v>36.4</v>
      </c>
      <c r="M1580" s="11">
        <v>35.265240640000002</v>
      </c>
      <c r="N1580" s="3">
        <v>7</v>
      </c>
      <c r="O1580" s="3">
        <v>184490</v>
      </c>
      <c r="P1580" s="3">
        <v>240856</v>
      </c>
      <c r="Q1580" s="10">
        <v>0</v>
      </c>
      <c r="R1580" s="3">
        <f>(Таблица1[Размер кредита]-$AA$2)/$AA$3</f>
        <v>-0.76585174617927387</v>
      </c>
      <c r="S1580" s="3">
        <f>(Таблица1[Кредитный рейтинг]-$AA$7)/($AA$8-$AA$7)</f>
        <v>0.98801597869507318</v>
      </c>
      <c r="T1580" s="3">
        <f>(Таблица1[Срок с последнего нарушения кредитного договора (мес,)]-$AA$12)/($AA$13-$AA$12)</f>
        <v>0.40074137090909095</v>
      </c>
      <c r="U1580" s="3">
        <f>(Таблица1[Количество кредитных карт]-$AA$18)/($AA$19-$AA$18)</f>
        <v>0.14285714285714285</v>
      </c>
      <c r="V1580" s="3">
        <f>(Таблица1[Число нарушений кредитных договоров]-$AA$23)/($AA$24-$AA$23)</f>
        <v>0</v>
      </c>
      <c r="W1580" s="3">
        <f>Таблица1[[#This Row],[Годовой доход]]/12</f>
        <v>62373.833333333336</v>
      </c>
      <c r="X1580" s="3">
        <f>Таблица1[[#This Row],[Ежемесячный платеж]]/Таблица1[[#This Row],[Ежем доход]]</f>
        <v>0.12799918769355739</v>
      </c>
      <c r="Y1580" s="3"/>
      <c r="Z1580" s="3"/>
      <c r="AA1580" s="3"/>
      <c r="AB1580" s="3"/>
    </row>
    <row r="1581" spans="1:28" x14ac:dyDescent="0.2">
      <c r="A1581">
        <v>1361</v>
      </c>
      <c r="B1581" t="s">
        <v>1400</v>
      </c>
      <c r="C1581" t="s">
        <v>18</v>
      </c>
      <c r="D1581" t="s">
        <v>29</v>
      </c>
      <c r="E1581" t="s">
        <v>63</v>
      </c>
      <c r="F1581" t="s">
        <v>21</v>
      </c>
      <c r="G1581" t="s">
        <v>22</v>
      </c>
      <c r="H1581" s="1">
        <v>278740</v>
      </c>
      <c r="I1581" s="3">
        <v>0</v>
      </c>
      <c r="J1581" s="3">
        <v>1168044</v>
      </c>
      <c r="K1581" s="3">
        <v>16457.8</v>
      </c>
      <c r="L1581" s="2">
        <v>16.7</v>
      </c>
      <c r="M1581" s="11">
        <v>48</v>
      </c>
      <c r="N1581" s="3">
        <v>14</v>
      </c>
      <c r="O1581" s="3">
        <v>72542</v>
      </c>
      <c r="P1581" s="3">
        <v>240680</v>
      </c>
      <c r="Q1581" s="10">
        <v>0</v>
      </c>
      <c r="R1581" s="3">
        <f>(Таблица1[Размер кредита]-$AA$2)/$AA$3</f>
        <v>-0.1756634746592334</v>
      </c>
      <c r="S1581" s="3">
        <f>(Таблица1[Кредитный рейтинг]-$AA$7)/($AA$8-$AA$7)</f>
        <v>0</v>
      </c>
      <c r="T1581" s="3">
        <f>(Таблица1[Срок с последнего нарушения кредитного договора (мес,)]-$AA$12)/($AA$13-$AA$12)</f>
        <v>0.54545454545454541</v>
      </c>
      <c r="U1581" s="3">
        <f>(Таблица1[Количество кредитных карт]-$AA$18)/($AA$19-$AA$18)</f>
        <v>0.30952380952380953</v>
      </c>
      <c r="V1581" s="3">
        <f>(Таблица1[Число нарушений кредитных договоров]-$AA$23)/($AA$24-$AA$23)</f>
        <v>0</v>
      </c>
      <c r="W1581" s="3">
        <f>Таблица1[[#This Row],[Годовой доход]]/12</f>
        <v>97337</v>
      </c>
      <c r="X1581" s="3">
        <f>Таблица1[[#This Row],[Ежемесячный платеж]]/Таблица1[[#This Row],[Ежем доход]]</f>
        <v>0.16908061682607847</v>
      </c>
      <c r="Y1581" s="3"/>
      <c r="Z1581" s="3"/>
      <c r="AA1581" s="3"/>
      <c r="AB1581" s="3"/>
    </row>
    <row r="1582" spans="1:28" x14ac:dyDescent="0.2">
      <c r="A1582">
        <v>252</v>
      </c>
      <c r="B1582" t="s">
        <v>294</v>
      </c>
      <c r="C1582" t="s">
        <v>35</v>
      </c>
      <c r="D1582" t="s">
        <v>19</v>
      </c>
      <c r="E1582" t="s">
        <v>32</v>
      </c>
      <c r="F1582" t="s">
        <v>21</v>
      </c>
      <c r="G1582" t="s">
        <v>25</v>
      </c>
      <c r="H1582" s="1">
        <v>218130</v>
      </c>
      <c r="I1582" s="3">
        <v>728</v>
      </c>
      <c r="J1582" s="3">
        <v>602832</v>
      </c>
      <c r="K1582" s="3">
        <v>9142.7999999999993</v>
      </c>
      <c r="L1582" s="2">
        <v>17.600000000000001</v>
      </c>
      <c r="M1582" s="11">
        <v>26</v>
      </c>
      <c r="N1582" s="3">
        <v>10</v>
      </c>
      <c r="O1582" s="3">
        <v>202616</v>
      </c>
      <c r="P1582" s="3">
        <v>239888</v>
      </c>
      <c r="Q1582" s="10">
        <v>0</v>
      </c>
      <c r="R1582" s="3">
        <f>(Таблица1[Размер кредита]-$AA$2)/$AA$3</f>
        <v>-0.52073323018506357</v>
      </c>
      <c r="S1582" s="3">
        <f>(Таблица1[Кредитный рейтинг]-$AA$7)/($AA$8-$AA$7)</f>
        <v>0.96937416777629826</v>
      </c>
      <c r="T1582" s="3">
        <f>(Таблица1[Срок с последнего нарушения кредитного договора (мес,)]-$AA$12)/($AA$13-$AA$12)</f>
        <v>0.29545454545454547</v>
      </c>
      <c r="U1582" s="3">
        <f>(Таблица1[Количество кредитных карт]-$AA$18)/($AA$19-$AA$18)</f>
        <v>0.21428571428571427</v>
      </c>
      <c r="V1582" s="3">
        <f>(Таблица1[Число нарушений кредитных договоров]-$AA$23)/($AA$24-$AA$23)</f>
        <v>0</v>
      </c>
      <c r="W1582" s="3">
        <f>Таблица1[[#This Row],[Годовой доход]]/12</f>
        <v>50236</v>
      </c>
      <c r="X1582" s="3">
        <f>Таблица1[[#This Row],[Ежемесячный платеж]]/Таблица1[[#This Row],[Ежем доход]]</f>
        <v>0.1819969742813918</v>
      </c>
      <c r="Y1582" s="3"/>
      <c r="Z1582" s="3"/>
      <c r="AA1582" s="3"/>
      <c r="AB1582" s="3"/>
    </row>
    <row r="1583" spans="1:28" x14ac:dyDescent="0.2">
      <c r="A1583">
        <v>952</v>
      </c>
      <c r="B1583" t="s">
        <v>993</v>
      </c>
      <c r="C1583" t="s">
        <v>18</v>
      </c>
      <c r="D1583" t="s">
        <v>29</v>
      </c>
      <c r="E1583" t="s">
        <v>20</v>
      </c>
      <c r="F1583" t="s">
        <v>33</v>
      </c>
      <c r="G1583" t="s">
        <v>67</v>
      </c>
      <c r="H1583" s="1">
        <v>108834</v>
      </c>
      <c r="I1583" s="3">
        <v>704</v>
      </c>
      <c r="J1583" s="3">
        <v>1447344</v>
      </c>
      <c r="K1583" s="3">
        <v>11168.58</v>
      </c>
      <c r="L1583" s="2">
        <v>11</v>
      </c>
      <c r="M1583" s="11">
        <v>31</v>
      </c>
      <c r="N1583" s="3">
        <v>4</v>
      </c>
      <c r="O1583" s="3">
        <v>48868</v>
      </c>
      <c r="P1583" s="3">
        <v>239778</v>
      </c>
      <c r="Q1583" s="10">
        <v>0</v>
      </c>
      <c r="R1583" s="3">
        <f>(Таблица1[Размер кредита]-$AA$2)/$AA$3</f>
        <v>-1.1429860597503354</v>
      </c>
      <c r="S1583" s="3">
        <f>(Таблица1[Кредитный рейтинг]-$AA$7)/($AA$8-$AA$7)</f>
        <v>0.93741677762982689</v>
      </c>
      <c r="T1583" s="3">
        <f>(Таблица1[Срок с последнего нарушения кредитного договора (мес,)]-$AA$12)/($AA$13-$AA$12)</f>
        <v>0.35227272727272729</v>
      </c>
      <c r="U1583" s="3">
        <f>(Таблица1[Количество кредитных карт]-$AA$18)/($AA$19-$AA$18)</f>
        <v>7.1428571428571425E-2</v>
      </c>
      <c r="V1583" s="3">
        <f>(Таблица1[Число нарушений кредитных договоров]-$AA$23)/($AA$24-$AA$23)</f>
        <v>0</v>
      </c>
      <c r="W1583" s="3">
        <f>Таблица1[[#This Row],[Годовой доход]]/12</f>
        <v>120612</v>
      </c>
      <c r="X1583" s="3">
        <f>Таблица1[[#This Row],[Ежемесячный платеж]]/Таблица1[[#This Row],[Ежем доход]]</f>
        <v>9.2599243856332697E-2</v>
      </c>
      <c r="Y1583" s="3"/>
      <c r="Z1583" s="3"/>
      <c r="AA1583" s="3"/>
      <c r="AB1583" s="3"/>
    </row>
    <row r="1584" spans="1:28" x14ac:dyDescent="0.2">
      <c r="A1584">
        <v>1370</v>
      </c>
      <c r="B1584" t="s">
        <v>1409</v>
      </c>
      <c r="C1584" t="s">
        <v>18</v>
      </c>
      <c r="D1584" t="s">
        <v>19</v>
      </c>
      <c r="E1584" t="s">
        <v>20</v>
      </c>
      <c r="F1584" t="s">
        <v>33</v>
      </c>
      <c r="G1584" t="s">
        <v>25</v>
      </c>
      <c r="H1584" s="1">
        <v>189376</v>
      </c>
      <c r="I1584" s="3">
        <v>733</v>
      </c>
      <c r="J1584" s="3">
        <v>1127916</v>
      </c>
      <c r="K1584" s="3">
        <v>18704.55</v>
      </c>
      <c r="L1584" s="2">
        <v>14.4</v>
      </c>
      <c r="M1584" s="11">
        <v>35.265240640000002</v>
      </c>
      <c r="N1584" s="3">
        <v>24</v>
      </c>
      <c r="O1584" s="3">
        <v>137731</v>
      </c>
      <c r="P1584" s="3">
        <v>239470</v>
      </c>
      <c r="Q1584" s="10">
        <v>0</v>
      </c>
      <c r="R1584" s="3">
        <f>(Таблица1[Размер кредита]-$AA$2)/$AA$3</f>
        <v>-0.68443782926755348</v>
      </c>
      <c r="S1584" s="3">
        <f>(Таблица1[Кредитный рейтинг]-$AA$7)/($AA$8-$AA$7)</f>
        <v>0.97603195739014648</v>
      </c>
      <c r="T1584" s="3">
        <f>(Таблица1[Срок с последнего нарушения кредитного договора (мес,)]-$AA$12)/($AA$13-$AA$12)</f>
        <v>0.40074137090909095</v>
      </c>
      <c r="U1584" s="3">
        <f>(Таблица1[Количество кредитных карт]-$AA$18)/($AA$19-$AA$18)</f>
        <v>0.54761904761904767</v>
      </c>
      <c r="V1584" s="3">
        <f>(Таблица1[Число нарушений кредитных договоров]-$AA$23)/($AA$24-$AA$23)</f>
        <v>0</v>
      </c>
      <c r="W1584" s="3">
        <f>Таблица1[[#This Row],[Годовой доход]]/12</f>
        <v>93993</v>
      </c>
      <c r="X1584" s="3">
        <f>Таблица1[[#This Row],[Ежемесячный платеж]]/Таблица1[[#This Row],[Ежем доход]]</f>
        <v>0.19899939357186172</v>
      </c>
      <c r="Y1584" s="3"/>
      <c r="Z1584" s="3"/>
      <c r="AA1584" s="3"/>
      <c r="AB1584" s="3"/>
    </row>
    <row r="1585" spans="1:28" x14ac:dyDescent="0.2">
      <c r="A1585">
        <v>656</v>
      </c>
      <c r="B1585" t="s">
        <v>697</v>
      </c>
      <c r="C1585" t="s">
        <v>18</v>
      </c>
      <c r="D1585" t="s">
        <v>19</v>
      </c>
      <c r="E1585" t="s">
        <v>69</v>
      </c>
      <c r="F1585" t="s">
        <v>33</v>
      </c>
      <c r="G1585" t="s">
        <v>25</v>
      </c>
      <c r="H1585" s="1">
        <v>217624</v>
      </c>
      <c r="I1585" s="3">
        <v>0</v>
      </c>
      <c r="J1585" s="3">
        <v>1168044</v>
      </c>
      <c r="K1585" s="3">
        <v>10853.94</v>
      </c>
      <c r="L1585" s="2">
        <v>12.4</v>
      </c>
      <c r="M1585" s="11">
        <v>35.265240640000002</v>
      </c>
      <c r="N1585" s="3">
        <v>7</v>
      </c>
      <c r="O1585" s="3">
        <v>107274</v>
      </c>
      <c r="P1585" s="3">
        <v>239338</v>
      </c>
      <c r="Q1585" s="10">
        <v>0</v>
      </c>
      <c r="R1585" s="3">
        <f>(Таблица1[Размер кредита]-$AA$2)/$AA$3</f>
        <v>-0.52361403032193976</v>
      </c>
      <c r="S1585" s="3">
        <f>(Таблица1[Кредитный рейтинг]-$AA$7)/($AA$8-$AA$7)</f>
        <v>0</v>
      </c>
      <c r="T1585" s="3">
        <f>(Таблица1[Срок с последнего нарушения кредитного договора (мес,)]-$AA$12)/($AA$13-$AA$12)</f>
        <v>0.40074137090909095</v>
      </c>
      <c r="U1585" s="3">
        <f>(Таблица1[Количество кредитных карт]-$AA$18)/($AA$19-$AA$18)</f>
        <v>0.14285714285714285</v>
      </c>
      <c r="V1585" s="3">
        <f>(Таблица1[Число нарушений кредитных договоров]-$AA$23)/($AA$24-$AA$23)</f>
        <v>0</v>
      </c>
      <c r="W1585" s="3">
        <f>Таблица1[[#This Row],[Годовой доход]]/12</f>
        <v>97337</v>
      </c>
      <c r="X1585" s="3">
        <f>Таблица1[[#This Row],[Ежемесячный платеж]]/Таблица1[[#This Row],[Ежем доход]]</f>
        <v>0.11150888151473747</v>
      </c>
      <c r="Y1585" s="3"/>
      <c r="Z1585" s="3"/>
      <c r="AA1585" s="3"/>
      <c r="AB1585" s="3"/>
    </row>
    <row r="1586" spans="1:28" x14ac:dyDescent="0.2">
      <c r="A1586">
        <v>732</v>
      </c>
      <c r="B1586" t="s">
        <v>773</v>
      </c>
      <c r="C1586" t="s">
        <v>18</v>
      </c>
      <c r="D1586" t="s">
        <v>19</v>
      </c>
      <c r="E1586" t="s">
        <v>24</v>
      </c>
      <c r="F1586" t="s">
        <v>33</v>
      </c>
      <c r="G1586" t="s">
        <v>25</v>
      </c>
      <c r="H1586" s="1">
        <v>217338</v>
      </c>
      <c r="I1586" s="3">
        <v>704</v>
      </c>
      <c r="J1586" s="3">
        <v>2721674</v>
      </c>
      <c r="K1586" s="3">
        <v>29257.91</v>
      </c>
      <c r="L1586" s="2">
        <v>18.600000000000001</v>
      </c>
      <c r="M1586" s="11">
        <v>10</v>
      </c>
      <c r="N1586" s="3">
        <v>7</v>
      </c>
      <c r="O1586" s="3">
        <v>160493</v>
      </c>
      <c r="P1586" s="3">
        <v>239162</v>
      </c>
      <c r="Q1586" s="10">
        <v>1</v>
      </c>
      <c r="R1586" s="3">
        <f>(Таблица1[Размер кредита]-$AA$2)/$AA$3</f>
        <v>-0.52524230866017418</v>
      </c>
      <c r="S1586" s="3">
        <f>(Таблица1[Кредитный рейтинг]-$AA$7)/($AA$8-$AA$7)</f>
        <v>0.93741677762982689</v>
      </c>
      <c r="T1586" s="3">
        <f>(Таблица1[Срок с последнего нарушения кредитного договора (мес,)]-$AA$12)/($AA$13-$AA$12)</f>
        <v>0.11363636363636363</v>
      </c>
      <c r="U1586" s="3">
        <f>(Таблица1[Количество кредитных карт]-$AA$18)/($AA$19-$AA$18)</f>
        <v>0.14285714285714285</v>
      </c>
      <c r="V1586" s="3">
        <f>(Таблица1[Число нарушений кредитных договоров]-$AA$23)/($AA$24-$AA$23)</f>
        <v>0.14285714285714285</v>
      </c>
      <c r="W1586" s="3">
        <f>Таблица1[[#This Row],[Годовой доход]]/12</f>
        <v>226806.16666666666</v>
      </c>
      <c r="X1586" s="3">
        <f>Таблица1[[#This Row],[Ежемесячный платеж]]/Таблица1[[#This Row],[Ежем доход]]</f>
        <v>0.12899962302612289</v>
      </c>
      <c r="Y1586" s="3"/>
      <c r="Z1586" s="3"/>
      <c r="AA1586" s="3"/>
      <c r="AB1586" s="3"/>
    </row>
    <row r="1587" spans="1:28" x14ac:dyDescent="0.2">
      <c r="A1587">
        <v>1721</v>
      </c>
      <c r="B1587" t="s">
        <v>1759</v>
      </c>
      <c r="C1587" t="s">
        <v>35</v>
      </c>
      <c r="D1587" t="s">
        <v>19</v>
      </c>
      <c r="E1587" t="s">
        <v>37</v>
      </c>
      <c r="F1587" t="s">
        <v>33</v>
      </c>
      <c r="G1587" t="s">
        <v>2038</v>
      </c>
      <c r="H1587" s="1">
        <v>22198</v>
      </c>
      <c r="I1587" s="3">
        <v>747</v>
      </c>
      <c r="J1587" s="3">
        <v>1437407</v>
      </c>
      <c r="K1587" s="3">
        <v>2898.83</v>
      </c>
      <c r="L1587" s="2">
        <v>23</v>
      </c>
      <c r="M1587" s="11">
        <v>35.265240640000002</v>
      </c>
      <c r="N1587" s="3">
        <v>4</v>
      </c>
      <c r="O1587" s="3">
        <v>109212</v>
      </c>
      <c r="P1587" s="3">
        <v>239030</v>
      </c>
      <c r="Q1587" s="10">
        <v>0</v>
      </c>
      <c r="R1587" s="3">
        <f>(Таблица1[Размер кредита]-$AA$2)/$AA$3</f>
        <v>-1.6362291440554966</v>
      </c>
      <c r="S1587" s="3">
        <f>(Таблица1[Кредитный рейтинг]-$AA$7)/($AA$8-$AA$7)</f>
        <v>0.9946737683089214</v>
      </c>
      <c r="T1587" s="3">
        <f>(Таблица1[Срок с последнего нарушения кредитного договора (мес,)]-$AA$12)/($AA$13-$AA$12)</f>
        <v>0.40074137090909095</v>
      </c>
      <c r="U1587" s="3">
        <f>(Таблица1[Количество кредитных карт]-$AA$18)/($AA$19-$AA$18)</f>
        <v>7.1428571428571425E-2</v>
      </c>
      <c r="V1587" s="3">
        <f>(Таблица1[Число нарушений кредитных договоров]-$AA$23)/($AA$24-$AA$23)</f>
        <v>0</v>
      </c>
      <c r="W1587" s="3">
        <f>Таблица1[[#This Row],[Годовой доход]]/12</f>
        <v>119783.91666666667</v>
      </c>
      <c r="X1587" s="3">
        <f>Таблица1[[#This Row],[Ежемесячный платеж]]/Таблица1[[#This Row],[Ежем доход]]</f>
        <v>2.420049436241788E-2</v>
      </c>
      <c r="Y1587" s="3"/>
      <c r="Z1587" s="3"/>
      <c r="AA1587" s="3"/>
      <c r="AB1587" s="3"/>
    </row>
    <row r="1588" spans="1:28" x14ac:dyDescent="0.2">
      <c r="A1588">
        <v>1764</v>
      </c>
      <c r="B1588" t="s">
        <v>1802</v>
      </c>
      <c r="C1588" t="s">
        <v>35</v>
      </c>
      <c r="D1588" t="s">
        <v>19</v>
      </c>
      <c r="E1588" t="s">
        <v>52</v>
      </c>
      <c r="F1588" t="s">
        <v>21</v>
      </c>
      <c r="G1588" t="s">
        <v>22</v>
      </c>
      <c r="H1588" s="1">
        <v>110726</v>
      </c>
      <c r="I1588" s="3">
        <v>710</v>
      </c>
      <c r="J1588" s="3">
        <v>1606526</v>
      </c>
      <c r="K1588" s="3">
        <v>16333.16</v>
      </c>
      <c r="L1588" s="2">
        <v>25.6</v>
      </c>
      <c r="M1588" s="11">
        <v>35.265240640000002</v>
      </c>
      <c r="N1588" s="3">
        <v>12</v>
      </c>
      <c r="O1588" s="3">
        <v>130663</v>
      </c>
      <c r="P1588" s="3">
        <v>239008</v>
      </c>
      <c r="Q1588" s="10">
        <v>0</v>
      </c>
      <c r="R1588" s="3">
        <f>(Таблица1[Размер кредита]-$AA$2)/$AA$3</f>
        <v>-1.1322143722820155</v>
      </c>
      <c r="S1588" s="3">
        <f>(Таблица1[Кредитный рейтинг]-$AA$7)/($AA$8-$AA$7)</f>
        <v>0.94540612516644473</v>
      </c>
      <c r="T1588" s="3">
        <f>(Таблица1[Срок с последнего нарушения кредитного договора (мес,)]-$AA$12)/($AA$13-$AA$12)</f>
        <v>0.40074137090909095</v>
      </c>
      <c r="U1588" s="3">
        <f>(Таблица1[Количество кредитных карт]-$AA$18)/($AA$19-$AA$18)</f>
        <v>0.26190476190476192</v>
      </c>
      <c r="V1588" s="3">
        <f>(Таблица1[Число нарушений кредитных договоров]-$AA$23)/($AA$24-$AA$23)</f>
        <v>0</v>
      </c>
      <c r="W1588" s="3">
        <f>Таблица1[[#This Row],[Годовой доход]]/12</f>
        <v>133877.16666666666</v>
      </c>
      <c r="X1588" s="3">
        <f>Таблица1[[#This Row],[Ежемесячный платеж]]/Таблица1[[#This Row],[Ежем доход]]</f>
        <v>0.12200108806206686</v>
      </c>
      <c r="Y1588" s="3"/>
      <c r="Z1588" s="3"/>
      <c r="AA1588" s="3"/>
      <c r="AB1588" s="3"/>
    </row>
    <row r="1589" spans="1:28" x14ac:dyDescent="0.2">
      <c r="A1589">
        <v>344</v>
      </c>
      <c r="B1589" t="s">
        <v>386</v>
      </c>
      <c r="C1589" t="s">
        <v>18</v>
      </c>
      <c r="D1589" t="s">
        <v>29</v>
      </c>
      <c r="E1589" t="s">
        <v>52</v>
      </c>
      <c r="F1589" t="s">
        <v>21</v>
      </c>
      <c r="G1589" t="s">
        <v>25</v>
      </c>
      <c r="H1589" s="1">
        <v>446336</v>
      </c>
      <c r="I1589" s="3">
        <v>683</v>
      </c>
      <c r="J1589" s="3">
        <v>1117865</v>
      </c>
      <c r="K1589" s="3">
        <v>7573.59</v>
      </c>
      <c r="L1589" s="2">
        <v>15.9</v>
      </c>
      <c r="M1589" s="11">
        <v>36</v>
      </c>
      <c r="N1589" s="3">
        <v>4</v>
      </c>
      <c r="O1589" s="3">
        <v>148960</v>
      </c>
      <c r="P1589" s="3">
        <v>238898</v>
      </c>
      <c r="Q1589" s="10">
        <v>1</v>
      </c>
      <c r="R1589" s="3">
        <f>(Таблица1[Размер кредита]-$AA$2)/$AA$3</f>
        <v>0.77850763154612923</v>
      </c>
      <c r="S1589" s="3">
        <f>(Таблица1[Кредитный рейтинг]-$AA$7)/($AA$8-$AA$7)</f>
        <v>0.9094540612516645</v>
      </c>
      <c r="T1589" s="3">
        <f>(Таблица1[Срок с последнего нарушения кредитного договора (мес,)]-$AA$12)/($AA$13-$AA$12)</f>
        <v>0.40909090909090912</v>
      </c>
      <c r="U1589" s="3">
        <f>(Таблица1[Количество кредитных карт]-$AA$18)/($AA$19-$AA$18)</f>
        <v>7.1428571428571425E-2</v>
      </c>
      <c r="V1589" s="3">
        <f>(Таблица1[Число нарушений кредитных договоров]-$AA$23)/($AA$24-$AA$23)</f>
        <v>0.14285714285714285</v>
      </c>
      <c r="W1589" s="3">
        <f>Таблица1[[#This Row],[Годовой доход]]/12</f>
        <v>93155.416666666672</v>
      </c>
      <c r="X1589" s="3">
        <f>Таблица1[[#This Row],[Ежемесячный платеж]]/Таблица1[[#This Row],[Ежем доход]]</f>
        <v>8.1300586385654794E-2</v>
      </c>
      <c r="Y1589" s="3"/>
      <c r="Z1589" s="3"/>
      <c r="AA1589" s="3"/>
      <c r="AB1589" s="3"/>
    </row>
    <row r="1590" spans="1:28" x14ac:dyDescent="0.2">
      <c r="A1590">
        <v>572</v>
      </c>
      <c r="B1590" t="s">
        <v>613</v>
      </c>
      <c r="C1590" t="s">
        <v>35</v>
      </c>
      <c r="D1590" t="s">
        <v>19</v>
      </c>
      <c r="E1590" t="s">
        <v>41</v>
      </c>
      <c r="F1590" t="s">
        <v>33</v>
      </c>
      <c r="G1590" t="s">
        <v>70</v>
      </c>
      <c r="H1590" s="1">
        <v>225192</v>
      </c>
      <c r="I1590" s="3">
        <v>0</v>
      </c>
      <c r="J1590" s="3">
        <v>1168044</v>
      </c>
      <c r="K1590" s="3">
        <v>24796.71</v>
      </c>
      <c r="L1590" s="2">
        <v>19.7</v>
      </c>
      <c r="M1590" s="11">
        <v>35.265240640000002</v>
      </c>
      <c r="N1590" s="3">
        <v>8</v>
      </c>
      <c r="O1590" s="3">
        <v>113487</v>
      </c>
      <c r="P1590" s="3">
        <v>238898</v>
      </c>
      <c r="Q1590" s="10">
        <v>0</v>
      </c>
      <c r="R1590" s="3">
        <f>(Таблица1[Размер кредита]-$AA$2)/$AA$3</f>
        <v>-0.48052728044866005</v>
      </c>
      <c r="S1590" s="3">
        <f>(Таблица1[Кредитный рейтинг]-$AA$7)/($AA$8-$AA$7)</f>
        <v>0</v>
      </c>
      <c r="T1590" s="3">
        <f>(Таблица1[Срок с последнего нарушения кредитного договора (мес,)]-$AA$12)/($AA$13-$AA$12)</f>
        <v>0.40074137090909095</v>
      </c>
      <c r="U1590" s="3">
        <f>(Таблица1[Количество кредитных карт]-$AA$18)/($AA$19-$AA$18)</f>
        <v>0.16666666666666666</v>
      </c>
      <c r="V1590" s="3">
        <f>(Таблица1[Число нарушений кредитных договоров]-$AA$23)/($AA$24-$AA$23)</f>
        <v>0</v>
      </c>
      <c r="W1590" s="3">
        <f>Таблица1[[#This Row],[Годовой доход]]/12</f>
        <v>97337</v>
      </c>
      <c r="X1590" s="3">
        <f>Таблица1[[#This Row],[Ежемесячный платеж]]/Таблица1[[#This Row],[Ежем доход]]</f>
        <v>0.25475112238922504</v>
      </c>
      <c r="Y1590" s="3"/>
      <c r="Z1590" s="3"/>
      <c r="AA1590" s="3"/>
      <c r="AB1590" s="3"/>
    </row>
    <row r="1591" spans="1:28" x14ac:dyDescent="0.2">
      <c r="A1591">
        <v>1176</v>
      </c>
      <c r="B1591" t="s">
        <v>1215</v>
      </c>
      <c r="C1591" t="s">
        <v>18</v>
      </c>
      <c r="D1591" t="s">
        <v>19</v>
      </c>
      <c r="E1591" t="s">
        <v>50</v>
      </c>
      <c r="F1591" t="s">
        <v>33</v>
      </c>
      <c r="G1591" t="s">
        <v>25</v>
      </c>
      <c r="H1591" s="1">
        <v>225126</v>
      </c>
      <c r="I1591" s="3">
        <v>720</v>
      </c>
      <c r="J1591" s="3">
        <v>731044</v>
      </c>
      <c r="K1591" s="3">
        <v>7188.46</v>
      </c>
      <c r="L1591" s="2">
        <v>19.399999999999999</v>
      </c>
      <c r="M1591" s="11">
        <v>15</v>
      </c>
      <c r="N1591" s="3">
        <v>10</v>
      </c>
      <c r="O1591" s="3">
        <v>200013</v>
      </c>
      <c r="P1591" s="3">
        <v>238744</v>
      </c>
      <c r="Q1591" s="10">
        <v>1</v>
      </c>
      <c r="R1591" s="3">
        <f>(Таблица1[Размер кредита]-$AA$2)/$AA$3</f>
        <v>-0.48090303698825265</v>
      </c>
      <c r="S1591" s="3">
        <f>(Таблица1[Кредитный рейтинг]-$AA$7)/($AA$8-$AA$7)</f>
        <v>0.95872170439414117</v>
      </c>
      <c r="T1591" s="3">
        <f>(Таблица1[Срок с последнего нарушения кредитного договора (мес,)]-$AA$12)/($AA$13-$AA$12)</f>
        <v>0.17045454545454544</v>
      </c>
      <c r="U1591" s="3">
        <f>(Таблица1[Количество кредитных карт]-$AA$18)/($AA$19-$AA$18)</f>
        <v>0.21428571428571427</v>
      </c>
      <c r="V1591" s="3">
        <f>(Таблица1[Число нарушений кредитных договоров]-$AA$23)/($AA$24-$AA$23)</f>
        <v>0.14285714285714285</v>
      </c>
      <c r="W1591" s="3">
        <f>Таблица1[[#This Row],[Годовой доход]]/12</f>
        <v>60920.333333333336</v>
      </c>
      <c r="X1591" s="3">
        <f>Таблица1[[#This Row],[Ежемесячный платеж]]/Таблица1[[#This Row],[Ежем доход]]</f>
        <v>0.11799771285996465</v>
      </c>
      <c r="Y1591" s="3"/>
      <c r="Z1591" s="3"/>
      <c r="AA1591" s="3"/>
      <c r="AB1591" s="3"/>
    </row>
    <row r="1592" spans="1:28" x14ac:dyDescent="0.2">
      <c r="A1592">
        <v>131</v>
      </c>
      <c r="B1592" t="s">
        <v>173</v>
      </c>
      <c r="C1592" t="s">
        <v>18</v>
      </c>
      <c r="D1592" t="s">
        <v>19</v>
      </c>
      <c r="E1592" t="s">
        <v>69</v>
      </c>
      <c r="F1592" t="s">
        <v>27</v>
      </c>
      <c r="G1592" t="s">
        <v>25</v>
      </c>
      <c r="H1592" s="1">
        <v>309594.52439999999</v>
      </c>
      <c r="I1592" s="3">
        <v>734</v>
      </c>
      <c r="J1592" s="3">
        <v>622991</v>
      </c>
      <c r="K1592" s="3">
        <v>8046.88</v>
      </c>
      <c r="L1592" s="2">
        <v>10.7</v>
      </c>
      <c r="M1592" s="11">
        <v>75</v>
      </c>
      <c r="N1592" s="3">
        <v>15</v>
      </c>
      <c r="O1592" s="3">
        <v>69179</v>
      </c>
      <c r="P1592" s="3">
        <v>238370</v>
      </c>
      <c r="Q1592" s="10">
        <v>0</v>
      </c>
      <c r="R1592" s="3">
        <f>(Таблица1[Размер кредита]-$AA$2)/$AA$3</f>
        <v>-1.2411115481956205E-10</v>
      </c>
      <c r="S1592" s="3">
        <f>(Таблица1[Кредитный рейтинг]-$AA$7)/($AA$8-$AA$7)</f>
        <v>0.9773635153129161</v>
      </c>
      <c r="T1592" s="3">
        <f>(Таблица1[Срок с последнего нарушения кредитного договора (мес,)]-$AA$12)/($AA$13-$AA$12)</f>
        <v>0.85227272727272729</v>
      </c>
      <c r="U1592" s="3">
        <f>(Таблица1[Количество кредитных карт]-$AA$18)/($AA$19-$AA$18)</f>
        <v>0.33333333333333331</v>
      </c>
      <c r="V1592" s="3">
        <f>(Таблица1[Число нарушений кредитных договоров]-$AA$23)/($AA$24-$AA$23)</f>
        <v>0</v>
      </c>
      <c r="W1592" s="3">
        <f>Таблица1[[#This Row],[Годовой доход]]/12</f>
        <v>51915.916666666664</v>
      </c>
      <c r="X1592" s="3">
        <f>Таблица1[[#This Row],[Ежемесячный платеж]]/Таблица1[[#This Row],[Ежем доход]]</f>
        <v>0.15499832260819177</v>
      </c>
      <c r="Y1592" s="3"/>
      <c r="Z1592" s="3"/>
      <c r="AA1592" s="3"/>
      <c r="AB1592" s="3"/>
    </row>
    <row r="1593" spans="1:28" x14ac:dyDescent="0.2">
      <c r="A1593">
        <v>1037</v>
      </c>
      <c r="B1593" t="s">
        <v>1076</v>
      </c>
      <c r="C1593" t="s">
        <v>35</v>
      </c>
      <c r="D1593" t="s">
        <v>19</v>
      </c>
      <c r="E1593" t="s">
        <v>24</v>
      </c>
      <c r="F1593" t="s">
        <v>21</v>
      </c>
      <c r="G1593" t="s">
        <v>25</v>
      </c>
      <c r="H1593" s="1">
        <v>216238</v>
      </c>
      <c r="I1593" s="3">
        <v>0</v>
      </c>
      <c r="J1593" s="3">
        <v>1168044</v>
      </c>
      <c r="K1593" s="3">
        <v>5168.38</v>
      </c>
      <c r="L1593" s="2">
        <v>31.7</v>
      </c>
      <c r="M1593" s="11">
        <v>35.265240640000002</v>
      </c>
      <c r="N1593" s="3">
        <v>2</v>
      </c>
      <c r="O1593" s="3">
        <v>155629</v>
      </c>
      <c r="P1593" s="3">
        <v>237710</v>
      </c>
      <c r="Q1593" s="10">
        <v>0</v>
      </c>
      <c r="R1593" s="3">
        <f>(Таблица1[Размер кредита]-$AA$2)/$AA$3</f>
        <v>-0.53150491765338348</v>
      </c>
      <c r="S1593" s="3">
        <f>(Таблица1[Кредитный рейтинг]-$AA$7)/($AA$8-$AA$7)</f>
        <v>0</v>
      </c>
      <c r="T1593" s="3">
        <f>(Таблица1[Срок с последнего нарушения кредитного договора (мес,)]-$AA$12)/($AA$13-$AA$12)</f>
        <v>0.40074137090909095</v>
      </c>
      <c r="U1593" s="3">
        <f>(Таблица1[Количество кредитных карт]-$AA$18)/($AA$19-$AA$18)</f>
        <v>2.3809523809523808E-2</v>
      </c>
      <c r="V1593" s="3">
        <f>(Таблица1[Число нарушений кредитных договоров]-$AA$23)/($AA$24-$AA$23)</f>
        <v>0</v>
      </c>
      <c r="W1593" s="3">
        <f>Таблица1[[#This Row],[Годовой доход]]/12</f>
        <v>97337</v>
      </c>
      <c r="X1593" s="3">
        <f>Таблица1[[#This Row],[Ежемесячный платеж]]/Таблица1[[#This Row],[Ежем доход]]</f>
        <v>5.3097794261175092E-2</v>
      </c>
      <c r="Y1593" s="3"/>
      <c r="Z1593" s="3"/>
      <c r="AA1593" s="3"/>
      <c r="AB1593" s="3"/>
    </row>
    <row r="1594" spans="1:28" x14ac:dyDescent="0.2">
      <c r="A1594">
        <v>1097</v>
      </c>
      <c r="B1594" t="s">
        <v>1136</v>
      </c>
      <c r="C1594" t="s">
        <v>18</v>
      </c>
      <c r="D1594" t="s">
        <v>19</v>
      </c>
      <c r="E1594" t="s">
        <v>69</v>
      </c>
      <c r="F1594" t="s">
        <v>33</v>
      </c>
      <c r="G1594" t="s">
        <v>25</v>
      </c>
      <c r="H1594" s="1">
        <v>131956</v>
      </c>
      <c r="I1594" s="3">
        <v>737</v>
      </c>
      <c r="J1594" s="3">
        <v>569829</v>
      </c>
      <c r="K1594" s="3">
        <v>13723.32</v>
      </c>
      <c r="L1594" s="2">
        <v>11.4</v>
      </c>
      <c r="M1594" s="11">
        <v>54</v>
      </c>
      <c r="N1594" s="3">
        <v>10</v>
      </c>
      <c r="O1594" s="3">
        <v>184243</v>
      </c>
      <c r="P1594" s="3">
        <v>237578</v>
      </c>
      <c r="Q1594" s="10">
        <v>0</v>
      </c>
      <c r="R1594" s="3">
        <f>(Таблица1[Размер кредита]-$AA$2)/$AA$3</f>
        <v>-1.0113460187130767</v>
      </c>
      <c r="S1594" s="3">
        <f>(Таблица1[Кредитный рейтинг]-$AA$7)/($AA$8-$AA$7)</f>
        <v>0.98135818908122507</v>
      </c>
      <c r="T1594" s="3">
        <f>(Таблица1[Срок с последнего нарушения кредитного договора (мес,)]-$AA$12)/($AA$13-$AA$12)</f>
        <v>0.61363636363636365</v>
      </c>
      <c r="U1594" s="3">
        <f>(Таблица1[Количество кредитных карт]-$AA$18)/($AA$19-$AA$18)</f>
        <v>0.21428571428571427</v>
      </c>
      <c r="V1594" s="3">
        <f>(Таблица1[Число нарушений кредитных договоров]-$AA$23)/($AA$24-$AA$23)</f>
        <v>0</v>
      </c>
      <c r="W1594" s="3">
        <f>Таблица1[[#This Row],[Годовой доход]]/12</f>
        <v>47485.75</v>
      </c>
      <c r="X1594" s="3">
        <f>Таблица1[[#This Row],[Ежемесячный платеж]]/Таблица1[[#This Row],[Ежем доход]]</f>
        <v>0.28899869960988295</v>
      </c>
      <c r="Y1594" s="3"/>
      <c r="Z1594" s="3"/>
      <c r="AA1594" s="3"/>
      <c r="AB1594" s="3"/>
    </row>
    <row r="1595" spans="1:28" x14ac:dyDescent="0.2">
      <c r="A1595">
        <v>265</v>
      </c>
      <c r="B1595" t="s">
        <v>307</v>
      </c>
      <c r="C1595" t="s">
        <v>18</v>
      </c>
      <c r="D1595" t="s">
        <v>19</v>
      </c>
      <c r="E1595" t="s">
        <v>52</v>
      </c>
      <c r="F1595" t="s">
        <v>33</v>
      </c>
      <c r="G1595" t="s">
        <v>25</v>
      </c>
      <c r="H1595" s="1">
        <v>223344</v>
      </c>
      <c r="I1595" s="3">
        <v>719</v>
      </c>
      <c r="J1595" s="3">
        <v>1157328</v>
      </c>
      <c r="K1595" s="3">
        <v>24111</v>
      </c>
      <c r="L1595" s="2">
        <v>17.399999999999999</v>
      </c>
      <c r="M1595" s="11">
        <v>35.265240640000002</v>
      </c>
      <c r="N1595" s="3">
        <v>8</v>
      </c>
      <c r="O1595" s="3">
        <v>100624</v>
      </c>
      <c r="P1595" s="3">
        <v>236830</v>
      </c>
      <c r="Q1595" s="10">
        <v>0</v>
      </c>
      <c r="R1595" s="3">
        <f>(Таблица1[Размер кредита]-$AA$2)/$AA$3</f>
        <v>-0.49104846355725162</v>
      </c>
      <c r="S1595" s="3">
        <f>(Таблица1[Кредитный рейтинг]-$AA$7)/($AA$8-$AA$7)</f>
        <v>0.95739014647137155</v>
      </c>
      <c r="T1595" s="3">
        <f>(Таблица1[Срок с последнего нарушения кредитного договора (мес,)]-$AA$12)/($AA$13-$AA$12)</f>
        <v>0.40074137090909095</v>
      </c>
      <c r="U1595" s="3">
        <f>(Таблица1[Количество кредитных карт]-$AA$18)/($AA$19-$AA$18)</f>
        <v>0.16666666666666666</v>
      </c>
      <c r="V1595" s="3">
        <f>(Таблица1[Число нарушений кредитных договоров]-$AA$23)/($AA$24-$AA$23)</f>
        <v>0</v>
      </c>
      <c r="W1595" s="3">
        <f>Таблица1[[#This Row],[Годовой доход]]/12</f>
        <v>96444</v>
      </c>
      <c r="X1595" s="3">
        <f>Таблица1[[#This Row],[Ежемесячный платеж]]/Таблица1[[#This Row],[Ежем доход]]</f>
        <v>0.25</v>
      </c>
      <c r="Y1595" s="3"/>
      <c r="Z1595" s="3"/>
      <c r="AA1595" s="3"/>
      <c r="AB1595" s="3"/>
    </row>
    <row r="1596" spans="1:28" x14ac:dyDescent="0.2">
      <c r="A1596">
        <v>643</v>
      </c>
      <c r="B1596" t="s">
        <v>684</v>
      </c>
      <c r="C1596" t="s">
        <v>35</v>
      </c>
      <c r="D1596" t="s">
        <v>19</v>
      </c>
      <c r="E1596" t="s">
        <v>30</v>
      </c>
      <c r="F1596" t="s">
        <v>33</v>
      </c>
      <c r="G1596" t="s">
        <v>25</v>
      </c>
      <c r="H1596" s="1">
        <v>129074</v>
      </c>
      <c r="I1596" s="3">
        <v>0</v>
      </c>
      <c r="J1596" s="3">
        <v>1168044</v>
      </c>
      <c r="K1596" s="3">
        <v>18949.84</v>
      </c>
      <c r="L1596" s="2">
        <v>6.6</v>
      </c>
      <c r="M1596" s="11">
        <v>35.265240640000002</v>
      </c>
      <c r="N1596" s="3">
        <v>10</v>
      </c>
      <c r="O1596" s="3">
        <v>132734</v>
      </c>
      <c r="P1596" s="3">
        <v>236456</v>
      </c>
      <c r="Q1596" s="10">
        <v>0</v>
      </c>
      <c r="R1596" s="3">
        <f>(Таблица1[Размер кредита]-$AA$2)/$AA$3</f>
        <v>-1.027754054275285</v>
      </c>
      <c r="S1596" s="3">
        <f>(Таблица1[Кредитный рейтинг]-$AA$7)/($AA$8-$AA$7)</f>
        <v>0</v>
      </c>
      <c r="T1596" s="3">
        <f>(Таблица1[Срок с последнего нарушения кредитного договора (мес,)]-$AA$12)/($AA$13-$AA$12)</f>
        <v>0.40074137090909095</v>
      </c>
      <c r="U1596" s="3">
        <f>(Таблица1[Количество кредитных карт]-$AA$18)/($AA$19-$AA$18)</f>
        <v>0.21428571428571427</v>
      </c>
      <c r="V1596" s="3">
        <f>(Таблица1[Число нарушений кредитных договоров]-$AA$23)/($AA$24-$AA$23)</f>
        <v>0</v>
      </c>
      <c r="W1596" s="3">
        <f>Таблица1[[#This Row],[Годовой доход]]/12</f>
        <v>97337</v>
      </c>
      <c r="X1596" s="3">
        <f>Таблица1[[#This Row],[Ежемесячный платеж]]/Таблица1[[#This Row],[Ежем доход]]</f>
        <v>0.19468280304509078</v>
      </c>
      <c r="Y1596" s="3"/>
      <c r="Z1596" s="3"/>
      <c r="AA1596" s="3"/>
      <c r="AB1596" s="3"/>
    </row>
    <row r="1597" spans="1:28" x14ac:dyDescent="0.2">
      <c r="A1597">
        <v>1826</v>
      </c>
      <c r="B1597" t="s">
        <v>1864</v>
      </c>
      <c r="C1597" t="s">
        <v>35</v>
      </c>
      <c r="D1597" t="s">
        <v>29</v>
      </c>
      <c r="E1597" t="s">
        <v>63</v>
      </c>
      <c r="F1597" t="s">
        <v>33</v>
      </c>
      <c r="G1597" t="s">
        <v>25</v>
      </c>
      <c r="H1597" s="1">
        <v>240570</v>
      </c>
      <c r="I1597" s="3">
        <v>0</v>
      </c>
      <c r="J1597" s="3">
        <v>1168044</v>
      </c>
      <c r="K1597" s="3">
        <v>12324.35</v>
      </c>
      <c r="L1597" s="2">
        <v>13.4</v>
      </c>
      <c r="M1597" s="11">
        <v>35.265240640000002</v>
      </c>
      <c r="N1597" s="3">
        <v>7</v>
      </c>
      <c r="O1597" s="3">
        <v>119852</v>
      </c>
      <c r="P1597" s="3">
        <v>236390</v>
      </c>
      <c r="Q1597" s="10">
        <v>1</v>
      </c>
      <c r="R1597" s="3">
        <f>(Таблица1[Размер кредита]-$AA$2)/$AA$3</f>
        <v>-0.39297600672359467</v>
      </c>
      <c r="S1597" s="3">
        <f>(Таблица1[Кредитный рейтинг]-$AA$7)/($AA$8-$AA$7)</f>
        <v>0</v>
      </c>
      <c r="T1597" s="3">
        <f>(Таблица1[Срок с последнего нарушения кредитного договора (мес,)]-$AA$12)/($AA$13-$AA$12)</f>
        <v>0.40074137090909095</v>
      </c>
      <c r="U1597" s="3">
        <f>(Таблица1[Количество кредитных карт]-$AA$18)/($AA$19-$AA$18)</f>
        <v>0.14285714285714285</v>
      </c>
      <c r="V1597" s="3">
        <f>(Таблица1[Число нарушений кредитных договоров]-$AA$23)/($AA$24-$AA$23)</f>
        <v>0.14285714285714285</v>
      </c>
      <c r="W1597" s="3">
        <f>Таблица1[[#This Row],[Годовой доход]]/12</f>
        <v>97337</v>
      </c>
      <c r="X1597" s="3">
        <f>Таблица1[[#This Row],[Ежемесячный платеж]]/Таблица1[[#This Row],[Ежем доход]]</f>
        <v>0.12661526449346086</v>
      </c>
      <c r="Y1597" s="3"/>
      <c r="Z1597" s="3"/>
      <c r="AA1597" s="3"/>
      <c r="AB1597" s="3"/>
    </row>
    <row r="1598" spans="1:28" x14ac:dyDescent="0.2">
      <c r="A1598">
        <v>1821</v>
      </c>
      <c r="B1598" t="s">
        <v>1859</v>
      </c>
      <c r="C1598" t="s">
        <v>18</v>
      </c>
      <c r="D1598" t="s">
        <v>29</v>
      </c>
      <c r="E1598" t="s">
        <v>24</v>
      </c>
      <c r="F1598" t="s">
        <v>21</v>
      </c>
      <c r="G1598" t="s">
        <v>25</v>
      </c>
      <c r="H1598" s="1">
        <v>433180</v>
      </c>
      <c r="I1598" s="3">
        <v>0</v>
      </c>
      <c r="J1598" s="3">
        <v>1168044</v>
      </c>
      <c r="K1598" s="3">
        <v>21782.36</v>
      </c>
      <c r="L1598" s="2">
        <v>25.6</v>
      </c>
      <c r="M1598" s="11">
        <v>39</v>
      </c>
      <c r="N1598" s="3">
        <v>19</v>
      </c>
      <c r="O1598" s="3">
        <v>203034</v>
      </c>
      <c r="P1598" s="3">
        <v>236038</v>
      </c>
      <c r="Q1598" s="10">
        <v>0</v>
      </c>
      <c r="R1598" s="3">
        <f>(Таблица1[Размер кредита]-$AA$2)/$AA$3</f>
        <v>0.70360682798734642</v>
      </c>
      <c r="S1598" s="3">
        <f>(Таблица1[Кредитный рейтинг]-$AA$7)/($AA$8-$AA$7)</f>
        <v>0</v>
      </c>
      <c r="T1598" s="3">
        <f>(Таблица1[Срок с последнего нарушения кредитного договора (мес,)]-$AA$12)/($AA$13-$AA$12)</f>
        <v>0.44318181818181818</v>
      </c>
      <c r="U1598" s="3">
        <f>(Таблица1[Количество кредитных карт]-$AA$18)/($AA$19-$AA$18)</f>
        <v>0.42857142857142855</v>
      </c>
      <c r="V1598" s="3">
        <f>(Таблица1[Число нарушений кредитных договоров]-$AA$23)/($AA$24-$AA$23)</f>
        <v>0</v>
      </c>
      <c r="W1598" s="3">
        <f>Таблица1[[#This Row],[Годовой доход]]/12</f>
        <v>97337</v>
      </c>
      <c r="X1598" s="3">
        <f>Таблица1[[#This Row],[Ежемесячный платеж]]/Таблица1[[#This Row],[Ежем доход]]</f>
        <v>0.22378293968377905</v>
      </c>
      <c r="Y1598" s="3"/>
      <c r="Z1598" s="3"/>
      <c r="AA1598" s="3"/>
      <c r="AB1598" s="3"/>
    </row>
    <row r="1599" spans="1:28" x14ac:dyDescent="0.2">
      <c r="A1599">
        <v>1601</v>
      </c>
      <c r="B1599" t="s">
        <v>1640</v>
      </c>
      <c r="C1599" t="s">
        <v>18</v>
      </c>
      <c r="D1599" t="s">
        <v>19</v>
      </c>
      <c r="E1599" t="s">
        <v>32</v>
      </c>
      <c r="F1599" t="s">
        <v>33</v>
      </c>
      <c r="G1599" t="s">
        <v>25</v>
      </c>
      <c r="H1599" s="1">
        <v>105798</v>
      </c>
      <c r="I1599" s="3">
        <v>689</v>
      </c>
      <c r="J1599" s="3">
        <v>228437</v>
      </c>
      <c r="K1599" s="3">
        <v>7138.49</v>
      </c>
      <c r="L1599" s="2">
        <v>12.5</v>
      </c>
      <c r="M1599" s="11">
        <v>33</v>
      </c>
      <c r="N1599" s="3">
        <v>12</v>
      </c>
      <c r="O1599" s="3">
        <v>197809</v>
      </c>
      <c r="P1599" s="3">
        <v>235862</v>
      </c>
      <c r="Q1599" s="10">
        <v>0</v>
      </c>
      <c r="R1599" s="3">
        <f>(Таблица1[Размер кредита]-$AA$2)/$AA$3</f>
        <v>-1.160270860571593</v>
      </c>
      <c r="S1599" s="3">
        <f>(Таблица1[Кредитный рейтинг]-$AA$7)/($AA$8-$AA$7)</f>
        <v>0.91744340878828234</v>
      </c>
      <c r="T1599" s="3">
        <f>(Таблица1[Срок с последнего нарушения кредитного договора (мес,)]-$AA$12)/($AA$13-$AA$12)</f>
        <v>0.375</v>
      </c>
      <c r="U1599" s="3">
        <f>(Таблица1[Количество кредитных карт]-$AA$18)/($AA$19-$AA$18)</f>
        <v>0.26190476190476192</v>
      </c>
      <c r="V1599" s="3">
        <f>(Таблица1[Число нарушений кредитных договоров]-$AA$23)/($AA$24-$AA$23)</f>
        <v>0</v>
      </c>
      <c r="W1599" s="3">
        <f>Таблица1[[#This Row],[Годовой доход]]/12</f>
        <v>19036.416666666668</v>
      </c>
      <c r="X1599" s="3">
        <f>Таблица1[[#This Row],[Ежемесячный платеж]]/Таблица1[[#This Row],[Ежем доход]]</f>
        <v>0.37499126673875072</v>
      </c>
      <c r="Y1599" s="3"/>
      <c r="Z1599" s="3"/>
      <c r="AA1599" s="3"/>
      <c r="AB1599" s="3"/>
    </row>
    <row r="1600" spans="1:28" x14ac:dyDescent="0.2">
      <c r="A1600">
        <v>59</v>
      </c>
      <c r="B1600" t="s">
        <v>100</v>
      </c>
      <c r="C1600" t="s">
        <v>18</v>
      </c>
      <c r="D1600" t="s">
        <v>19</v>
      </c>
      <c r="E1600" t="s">
        <v>41</v>
      </c>
      <c r="F1600" t="s">
        <v>33</v>
      </c>
      <c r="G1600" t="s">
        <v>25</v>
      </c>
      <c r="H1600" s="1">
        <v>130922</v>
      </c>
      <c r="I1600" s="3">
        <v>747</v>
      </c>
      <c r="J1600" s="3">
        <v>2261304</v>
      </c>
      <c r="K1600" s="3">
        <v>9761.25</v>
      </c>
      <c r="L1600" s="2">
        <v>16.100000000000001</v>
      </c>
      <c r="M1600" s="11">
        <v>30</v>
      </c>
      <c r="N1600" s="3">
        <v>6</v>
      </c>
      <c r="O1600" s="3">
        <v>110428</v>
      </c>
      <c r="P1600" s="3">
        <v>235488</v>
      </c>
      <c r="Q1600" s="10">
        <v>0</v>
      </c>
      <c r="R1600" s="3">
        <f>(Таблица1[Размер кредита]-$AA$2)/$AA$3</f>
        <v>-1.0172328711666936</v>
      </c>
      <c r="S1600" s="3">
        <f>(Таблица1[Кредитный рейтинг]-$AA$7)/($AA$8-$AA$7)</f>
        <v>0.9946737683089214</v>
      </c>
      <c r="T1600" s="3">
        <f>(Таблица1[Срок с последнего нарушения кредитного договора (мес,)]-$AA$12)/($AA$13-$AA$12)</f>
        <v>0.34090909090909088</v>
      </c>
      <c r="U1600" s="3">
        <f>(Таблица1[Количество кредитных карт]-$AA$18)/($AA$19-$AA$18)</f>
        <v>0.11904761904761904</v>
      </c>
      <c r="V1600" s="3">
        <f>(Таблица1[Число нарушений кредитных договоров]-$AA$23)/($AA$24-$AA$23)</f>
        <v>0</v>
      </c>
      <c r="W1600" s="3">
        <f>Таблица1[[#This Row],[Годовой доход]]/12</f>
        <v>188442</v>
      </c>
      <c r="X1600" s="3">
        <f>Таблица1[[#This Row],[Ежемесячный платеж]]/Таблица1[[#This Row],[Ежем доход]]</f>
        <v>5.1799758015728975E-2</v>
      </c>
      <c r="Y1600" s="3"/>
      <c r="Z1600" s="3"/>
      <c r="AA1600" s="3"/>
      <c r="AB1600" s="3"/>
    </row>
    <row r="1601" spans="1:28" x14ac:dyDescent="0.2">
      <c r="A1601">
        <v>369</v>
      </c>
      <c r="B1601" t="s">
        <v>411</v>
      </c>
      <c r="C1601" t="s">
        <v>18</v>
      </c>
      <c r="D1601" t="s">
        <v>29</v>
      </c>
      <c r="E1601" t="s">
        <v>24</v>
      </c>
      <c r="F1601" t="s">
        <v>33</v>
      </c>
      <c r="G1601" t="s">
        <v>25</v>
      </c>
      <c r="H1601" s="1">
        <v>273856</v>
      </c>
      <c r="I1601" s="3">
        <v>614</v>
      </c>
      <c r="J1601" s="3">
        <v>821826</v>
      </c>
      <c r="K1601" s="3">
        <v>8766.2199999999993</v>
      </c>
      <c r="L1601" s="2">
        <v>16.399999999999999</v>
      </c>
      <c r="M1601" s="11">
        <v>35.265240640000002</v>
      </c>
      <c r="N1601" s="3">
        <v>4</v>
      </c>
      <c r="O1601" s="3">
        <v>146262</v>
      </c>
      <c r="P1601" s="3">
        <v>234586</v>
      </c>
      <c r="Q1601" s="10">
        <v>0</v>
      </c>
      <c r="R1601" s="3">
        <f>(Таблица1[Размер кредита]-$AA$2)/$AA$3</f>
        <v>-0.2034694585890825</v>
      </c>
      <c r="S1601" s="3">
        <f>(Таблица1[Кредитный рейтинг]-$AA$7)/($AA$8-$AA$7)</f>
        <v>0.81757656458055927</v>
      </c>
      <c r="T1601" s="3">
        <f>(Таблица1[Срок с последнего нарушения кредитного договора (мес,)]-$AA$12)/($AA$13-$AA$12)</f>
        <v>0.40074137090909095</v>
      </c>
      <c r="U1601" s="3">
        <f>(Таблица1[Количество кредитных карт]-$AA$18)/($AA$19-$AA$18)</f>
        <v>7.1428571428571425E-2</v>
      </c>
      <c r="V1601" s="3">
        <f>(Таблица1[Число нарушений кредитных договоров]-$AA$23)/($AA$24-$AA$23)</f>
        <v>0</v>
      </c>
      <c r="W1601" s="3">
        <f>Таблица1[[#This Row],[Годовой доход]]/12</f>
        <v>68485.5</v>
      </c>
      <c r="X1601" s="3">
        <f>Таблица1[[#This Row],[Ежемесячный платеж]]/Таблица1[[#This Row],[Ежем доход]]</f>
        <v>0.12800110972395615</v>
      </c>
      <c r="Y1601" s="3"/>
      <c r="Z1601" s="3"/>
      <c r="AA1601" s="3"/>
      <c r="AB1601" s="3"/>
    </row>
    <row r="1602" spans="1:28" x14ac:dyDescent="0.2">
      <c r="A1602">
        <v>593</v>
      </c>
      <c r="B1602" t="s">
        <v>634</v>
      </c>
      <c r="C1602" t="s">
        <v>18</v>
      </c>
      <c r="D1602" t="s">
        <v>19</v>
      </c>
      <c r="E1602" t="s">
        <v>24</v>
      </c>
      <c r="F1602" t="s">
        <v>21</v>
      </c>
      <c r="G1602" t="s">
        <v>25</v>
      </c>
      <c r="H1602" s="1">
        <v>175010</v>
      </c>
      <c r="I1602" s="3">
        <v>703</v>
      </c>
      <c r="J1602" s="3">
        <v>785973</v>
      </c>
      <c r="K1602" s="3">
        <v>9890.26</v>
      </c>
      <c r="L1602" s="2">
        <v>12.1</v>
      </c>
      <c r="M1602" s="11">
        <v>35.265240640000002</v>
      </c>
      <c r="N1602" s="3">
        <v>5</v>
      </c>
      <c r="O1602" s="3">
        <v>182115</v>
      </c>
      <c r="P1602" s="3">
        <v>234036</v>
      </c>
      <c r="Q1602" s="10">
        <v>0</v>
      </c>
      <c r="R1602" s="3">
        <f>(Таблица1[Размер кредита]-$AA$2)/$AA$3</f>
        <v>-0.76622750271886642</v>
      </c>
      <c r="S1602" s="3">
        <f>(Таблица1[Кредитный рейтинг]-$AA$7)/($AA$8-$AA$7)</f>
        <v>0.93608521970705727</v>
      </c>
      <c r="T1602" s="3">
        <f>(Таблица1[Срок с последнего нарушения кредитного договора (мес,)]-$AA$12)/($AA$13-$AA$12)</f>
        <v>0.40074137090909095</v>
      </c>
      <c r="U1602" s="3">
        <f>(Таблица1[Количество кредитных карт]-$AA$18)/($AA$19-$AA$18)</f>
        <v>9.5238095238095233E-2</v>
      </c>
      <c r="V1602" s="3">
        <f>(Таблица1[Число нарушений кредитных договоров]-$AA$23)/($AA$24-$AA$23)</f>
        <v>0</v>
      </c>
      <c r="W1602" s="3">
        <f>Таблица1[[#This Row],[Годовой доход]]/12</f>
        <v>65497.75</v>
      </c>
      <c r="X1602" s="3">
        <f>Таблица1[[#This Row],[Ежемесячный платеж]]/Таблица1[[#This Row],[Ежем доход]]</f>
        <v>0.15100152295307853</v>
      </c>
      <c r="Y1602" s="3"/>
      <c r="Z1602" s="3"/>
      <c r="AA1602" s="3"/>
      <c r="AB1602" s="3"/>
    </row>
    <row r="1603" spans="1:28" x14ac:dyDescent="0.2">
      <c r="A1603">
        <v>1781</v>
      </c>
      <c r="B1603" t="s">
        <v>1819</v>
      </c>
      <c r="C1603" t="s">
        <v>18</v>
      </c>
      <c r="D1603" t="s">
        <v>29</v>
      </c>
      <c r="E1603" t="s">
        <v>24</v>
      </c>
      <c r="F1603" t="s">
        <v>21</v>
      </c>
      <c r="G1603" t="s">
        <v>25</v>
      </c>
      <c r="H1603" s="1">
        <v>620488</v>
      </c>
      <c r="I1603" s="3">
        <v>0</v>
      </c>
      <c r="J1603" s="3">
        <v>1168044</v>
      </c>
      <c r="K1603" s="3">
        <v>35051.01</v>
      </c>
      <c r="L1603" s="2">
        <v>14.2</v>
      </c>
      <c r="M1603" s="11">
        <v>7</v>
      </c>
      <c r="N1603" s="3">
        <v>7</v>
      </c>
      <c r="O1603" s="3">
        <v>141987</v>
      </c>
      <c r="P1603" s="3">
        <v>233508</v>
      </c>
      <c r="Q1603" s="10">
        <v>0</v>
      </c>
      <c r="R1603" s="3">
        <f>(Таблица1[Размер кредита]-$AA$2)/$AA$3</f>
        <v>1.7700038873510189</v>
      </c>
      <c r="S1603" s="3">
        <f>(Таблица1[Кредитный рейтинг]-$AA$7)/($AA$8-$AA$7)</f>
        <v>0</v>
      </c>
      <c r="T1603" s="3">
        <f>(Таблица1[Срок с последнего нарушения кредитного договора (мес,)]-$AA$12)/($AA$13-$AA$12)</f>
        <v>7.9545454545454544E-2</v>
      </c>
      <c r="U1603" s="3">
        <f>(Таблица1[Количество кредитных карт]-$AA$18)/($AA$19-$AA$18)</f>
        <v>0.14285714285714285</v>
      </c>
      <c r="V1603" s="3">
        <f>(Таблица1[Число нарушений кредитных договоров]-$AA$23)/($AA$24-$AA$23)</f>
        <v>0</v>
      </c>
      <c r="W1603" s="3">
        <f>Таблица1[[#This Row],[Годовой доход]]/12</f>
        <v>97337</v>
      </c>
      <c r="X1603" s="3">
        <f>Таблица1[[#This Row],[Ежемесячный платеж]]/Таблица1[[#This Row],[Ежем доход]]</f>
        <v>0.36009955104431002</v>
      </c>
      <c r="Y1603" s="3"/>
      <c r="Z1603" s="3"/>
      <c r="AA1603" s="3"/>
      <c r="AB1603" s="3"/>
    </row>
    <row r="1604" spans="1:28" x14ac:dyDescent="0.2">
      <c r="A1604">
        <v>992</v>
      </c>
      <c r="B1604" t="s">
        <v>1032</v>
      </c>
      <c r="C1604" t="s">
        <v>18</v>
      </c>
      <c r="D1604" t="s">
        <v>19</v>
      </c>
      <c r="E1604" t="s">
        <v>32</v>
      </c>
      <c r="F1604" t="s">
        <v>21</v>
      </c>
      <c r="G1604" t="s">
        <v>25</v>
      </c>
      <c r="H1604" s="1">
        <v>309594.52439999999</v>
      </c>
      <c r="I1604" s="3">
        <v>735</v>
      </c>
      <c r="J1604" s="3">
        <v>1575575</v>
      </c>
      <c r="K1604" s="3">
        <v>12000.59</v>
      </c>
      <c r="L1604" s="2">
        <v>14</v>
      </c>
      <c r="M1604" s="11">
        <v>27</v>
      </c>
      <c r="N1604" s="3">
        <v>16</v>
      </c>
      <c r="O1604" s="3">
        <v>137864</v>
      </c>
      <c r="P1604" s="3">
        <v>232364</v>
      </c>
      <c r="Q1604" s="10">
        <v>0</v>
      </c>
      <c r="R1604" s="3">
        <f>(Таблица1[Размер кредита]-$AA$2)/$AA$3</f>
        <v>-1.2411115481956205E-10</v>
      </c>
      <c r="S1604" s="3">
        <f>(Таблица1[Кредитный рейтинг]-$AA$7)/($AA$8-$AA$7)</f>
        <v>0.97869507323568572</v>
      </c>
      <c r="T1604" s="3">
        <f>(Таблица1[Срок с последнего нарушения кредитного договора (мес,)]-$AA$12)/($AA$13-$AA$12)</f>
        <v>0.30681818181818182</v>
      </c>
      <c r="U1604" s="3">
        <f>(Таблица1[Количество кредитных карт]-$AA$18)/($AA$19-$AA$18)</f>
        <v>0.35714285714285715</v>
      </c>
      <c r="V1604" s="3">
        <f>(Таблица1[Число нарушений кредитных договоров]-$AA$23)/($AA$24-$AA$23)</f>
        <v>0</v>
      </c>
      <c r="W1604" s="3">
        <f>Таблица1[[#This Row],[Годовой доход]]/12</f>
        <v>131297.91666666666</v>
      </c>
      <c r="X1604" s="3">
        <f>Таблица1[[#This Row],[Ежемесячный платеж]]/Таблица1[[#This Row],[Ежем доход]]</f>
        <v>9.1399698522761544E-2</v>
      </c>
      <c r="Y1604" s="3"/>
      <c r="Z1604" s="3"/>
      <c r="AA1604" s="3"/>
      <c r="AB1604" s="3"/>
    </row>
    <row r="1605" spans="1:28" x14ac:dyDescent="0.2">
      <c r="A1605">
        <v>1985</v>
      </c>
      <c r="B1605" t="s">
        <v>2021</v>
      </c>
      <c r="C1605" t="s">
        <v>18</v>
      </c>
      <c r="D1605" t="s">
        <v>19</v>
      </c>
      <c r="E1605" t="s">
        <v>50</v>
      </c>
      <c r="F1605" t="s">
        <v>27</v>
      </c>
      <c r="G1605" t="s">
        <v>25</v>
      </c>
      <c r="H1605" s="1">
        <v>175890</v>
      </c>
      <c r="I1605" s="3">
        <v>706</v>
      </c>
      <c r="J1605" s="3">
        <v>856900</v>
      </c>
      <c r="K1605" s="3">
        <v>15638.52</v>
      </c>
      <c r="L1605" s="2">
        <v>12</v>
      </c>
      <c r="M1605" s="11">
        <v>35.265240640000002</v>
      </c>
      <c r="N1605" s="3">
        <v>12</v>
      </c>
      <c r="O1605" s="3">
        <v>86412</v>
      </c>
      <c r="P1605" s="3">
        <v>232144</v>
      </c>
      <c r="Q1605" s="10">
        <v>0</v>
      </c>
      <c r="R1605" s="3">
        <f>(Таблица1[Размер кредита]-$AA$2)/$AA$3</f>
        <v>-0.761217415524299</v>
      </c>
      <c r="S1605" s="3">
        <f>(Таблица1[Кредитный рейтинг]-$AA$7)/($AA$8-$AA$7)</f>
        <v>0.94007989347536614</v>
      </c>
      <c r="T1605" s="3">
        <f>(Таблица1[Срок с последнего нарушения кредитного договора (мес,)]-$AA$12)/($AA$13-$AA$12)</f>
        <v>0.40074137090909095</v>
      </c>
      <c r="U1605" s="3">
        <f>(Таблица1[Количество кредитных карт]-$AA$18)/($AA$19-$AA$18)</f>
        <v>0.26190476190476192</v>
      </c>
      <c r="V1605" s="3">
        <f>(Таблица1[Число нарушений кредитных договоров]-$AA$23)/($AA$24-$AA$23)</f>
        <v>0</v>
      </c>
      <c r="W1605" s="3">
        <f>Таблица1[[#This Row],[Годовой доход]]/12</f>
        <v>71408.333333333328</v>
      </c>
      <c r="X1605" s="3">
        <f>Таблица1[[#This Row],[Ежемесячный платеж]]/Таблица1[[#This Row],[Ежем доход]]</f>
        <v>0.21900133037694017</v>
      </c>
      <c r="Y1605" s="3"/>
      <c r="Z1605" s="3"/>
      <c r="AA1605" s="3"/>
      <c r="AB1605" s="3"/>
    </row>
    <row r="1606" spans="1:28" x14ac:dyDescent="0.2">
      <c r="A1606">
        <v>483</v>
      </c>
      <c r="B1606" t="s">
        <v>524</v>
      </c>
      <c r="C1606" t="s">
        <v>35</v>
      </c>
      <c r="D1606" t="s">
        <v>19</v>
      </c>
      <c r="E1606" t="s">
        <v>30</v>
      </c>
      <c r="F1606" t="s">
        <v>33</v>
      </c>
      <c r="G1606" t="s">
        <v>22</v>
      </c>
      <c r="H1606" s="1">
        <v>32450</v>
      </c>
      <c r="I1606" s="3">
        <v>711</v>
      </c>
      <c r="J1606" s="3">
        <v>653904</v>
      </c>
      <c r="K1606" s="3">
        <v>11770.12</v>
      </c>
      <c r="L1606" s="2">
        <v>8.1999999999999993</v>
      </c>
      <c r="M1606" s="11">
        <v>34</v>
      </c>
      <c r="N1606" s="3">
        <v>11</v>
      </c>
      <c r="O1606" s="3">
        <v>129656</v>
      </c>
      <c r="P1606" s="3">
        <v>231308</v>
      </c>
      <c r="Q1606" s="10">
        <v>0</v>
      </c>
      <c r="R1606" s="3">
        <f>(Таблица1[Размер кредита]-$AA$2)/$AA$3</f>
        <v>-1.5778616282387863</v>
      </c>
      <c r="S1606" s="3">
        <f>(Таблица1[Кредитный рейтинг]-$AA$7)/($AA$8-$AA$7)</f>
        <v>0.94673768308921435</v>
      </c>
      <c r="T1606" s="3">
        <f>(Таблица1[Срок с последнего нарушения кредитного договора (мес,)]-$AA$12)/($AA$13-$AA$12)</f>
        <v>0.38636363636363635</v>
      </c>
      <c r="U1606" s="3">
        <f>(Таблица1[Количество кредитных карт]-$AA$18)/($AA$19-$AA$18)</f>
        <v>0.23809523809523808</v>
      </c>
      <c r="V1606" s="3">
        <f>(Таблица1[Число нарушений кредитных договоров]-$AA$23)/($AA$24-$AA$23)</f>
        <v>0</v>
      </c>
      <c r="W1606" s="3">
        <f>Таблица1[[#This Row],[Годовой доход]]/12</f>
        <v>54492</v>
      </c>
      <c r="X1606" s="3">
        <f>Таблица1[[#This Row],[Ежемесячный платеж]]/Таблица1[[#This Row],[Ежем доход]]</f>
        <v>0.21599721059972107</v>
      </c>
      <c r="Y1606" s="3"/>
      <c r="Z1606" s="3"/>
      <c r="AA1606" s="3"/>
      <c r="AB1606" s="3"/>
    </row>
    <row r="1607" spans="1:28" x14ac:dyDescent="0.2">
      <c r="A1607">
        <v>24</v>
      </c>
      <c r="B1607" t="s">
        <v>59</v>
      </c>
      <c r="C1607" t="s">
        <v>18</v>
      </c>
      <c r="D1607" t="s">
        <v>19</v>
      </c>
      <c r="E1607" t="s">
        <v>24</v>
      </c>
      <c r="F1607" t="s">
        <v>21</v>
      </c>
      <c r="G1607" t="s">
        <v>25</v>
      </c>
      <c r="H1607" s="1">
        <v>91894</v>
      </c>
      <c r="I1607" s="3">
        <v>724</v>
      </c>
      <c r="J1607" s="3">
        <v>850383</v>
      </c>
      <c r="K1607" s="3">
        <v>5860.74</v>
      </c>
      <c r="L1607" s="2">
        <v>17.5</v>
      </c>
      <c r="M1607" s="11">
        <v>35.265240640000002</v>
      </c>
      <c r="N1607" s="3">
        <v>7</v>
      </c>
      <c r="O1607" s="3">
        <v>95608</v>
      </c>
      <c r="P1607" s="3">
        <v>230626</v>
      </c>
      <c r="Q1607" s="10">
        <v>0</v>
      </c>
      <c r="R1607" s="3">
        <f>(Таблица1[Размер кредита]-$AA$2)/$AA$3</f>
        <v>-1.239430238245758</v>
      </c>
      <c r="S1607" s="3">
        <f>(Таблица1[Кредитный рейтинг]-$AA$7)/($AA$8-$AA$7)</f>
        <v>0.96404793608521966</v>
      </c>
      <c r="T1607" s="3">
        <f>(Таблица1[Срок с последнего нарушения кредитного договора (мес,)]-$AA$12)/($AA$13-$AA$12)</f>
        <v>0.40074137090909095</v>
      </c>
      <c r="U1607" s="3">
        <f>(Таблица1[Количество кредитных карт]-$AA$18)/($AA$19-$AA$18)</f>
        <v>0.14285714285714285</v>
      </c>
      <c r="V1607" s="3">
        <f>(Таблица1[Число нарушений кредитных договоров]-$AA$23)/($AA$24-$AA$23)</f>
        <v>0</v>
      </c>
      <c r="W1607" s="3">
        <f>Таблица1[[#This Row],[Годовой доход]]/12</f>
        <v>70865.25</v>
      </c>
      <c r="X1607" s="3">
        <f>Таблица1[[#This Row],[Ежемесячный платеж]]/Таблица1[[#This Row],[Ежем доход]]</f>
        <v>8.2702594007641253E-2</v>
      </c>
      <c r="Y1607" s="3"/>
      <c r="Z1607" s="3"/>
      <c r="AA1607" s="3"/>
      <c r="AB1607" s="3"/>
    </row>
    <row r="1608" spans="1:28" x14ac:dyDescent="0.2">
      <c r="A1608">
        <v>249</v>
      </c>
      <c r="B1608" t="s">
        <v>291</v>
      </c>
      <c r="C1608" t="s">
        <v>18</v>
      </c>
      <c r="D1608" t="s">
        <v>19</v>
      </c>
      <c r="E1608" t="s">
        <v>69</v>
      </c>
      <c r="F1608" t="s">
        <v>33</v>
      </c>
      <c r="G1608" t="s">
        <v>25</v>
      </c>
      <c r="H1608" s="1">
        <v>226336</v>
      </c>
      <c r="I1608" s="3">
        <v>724</v>
      </c>
      <c r="J1608" s="3">
        <v>1409610</v>
      </c>
      <c r="K1608" s="3">
        <v>6331.56</v>
      </c>
      <c r="L1608" s="2">
        <v>17</v>
      </c>
      <c r="M1608" s="11">
        <v>35.265240640000002</v>
      </c>
      <c r="N1608" s="3">
        <v>5</v>
      </c>
      <c r="O1608" s="3">
        <v>79192</v>
      </c>
      <c r="P1608" s="3">
        <v>230428</v>
      </c>
      <c r="Q1608" s="10">
        <v>4</v>
      </c>
      <c r="R1608" s="3">
        <f>(Таблица1[Размер кредита]-$AA$2)/$AA$3</f>
        <v>-0.47401416709572247</v>
      </c>
      <c r="S1608" s="3">
        <f>(Таблица1[Кредитный рейтинг]-$AA$7)/($AA$8-$AA$7)</f>
        <v>0.96404793608521966</v>
      </c>
      <c r="T1608" s="3">
        <f>(Таблица1[Срок с последнего нарушения кредитного договора (мес,)]-$AA$12)/($AA$13-$AA$12)</f>
        <v>0.40074137090909095</v>
      </c>
      <c r="U1608" s="3">
        <f>(Таблица1[Количество кредитных карт]-$AA$18)/($AA$19-$AA$18)</f>
        <v>9.5238095238095233E-2</v>
      </c>
      <c r="V1608" s="3">
        <f>(Таблица1[Число нарушений кредитных договоров]-$AA$23)/($AA$24-$AA$23)</f>
        <v>0.5714285714285714</v>
      </c>
      <c r="W1608" s="3">
        <f>Таблица1[[#This Row],[Годовой доход]]/12</f>
        <v>117467.5</v>
      </c>
      <c r="X1608" s="3">
        <f>Таблица1[[#This Row],[Ежемесячный платеж]]/Таблица1[[#This Row],[Ежем доход]]</f>
        <v>5.3900525677315007E-2</v>
      </c>
      <c r="Y1608" s="3"/>
      <c r="Z1608" s="3"/>
      <c r="AA1608" s="3"/>
      <c r="AB1608" s="3"/>
    </row>
    <row r="1609" spans="1:28" x14ac:dyDescent="0.2">
      <c r="A1609">
        <v>1306</v>
      </c>
      <c r="B1609" t="s">
        <v>1345</v>
      </c>
      <c r="C1609" t="s">
        <v>18</v>
      </c>
      <c r="D1609" t="s">
        <v>19</v>
      </c>
      <c r="E1609" t="s">
        <v>47</v>
      </c>
      <c r="F1609" t="s">
        <v>33</v>
      </c>
      <c r="G1609" t="s">
        <v>25</v>
      </c>
      <c r="H1609" s="1">
        <v>429264</v>
      </c>
      <c r="I1609" s="3">
        <v>715</v>
      </c>
      <c r="J1609" s="3">
        <v>704387</v>
      </c>
      <c r="K1609" s="3">
        <v>9391.89</v>
      </c>
      <c r="L1609" s="2">
        <v>13</v>
      </c>
      <c r="M1609" s="11">
        <v>16</v>
      </c>
      <c r="N1609" s="3">
        <v>12</v>
      </c>
      <c r="O1609" s="3">
        <v>26809</v>
      </c>
      <c r="P1609" s="3">
        <v>229900</v>
      </c>
      <c r="Q1609" s="10">
        <v>0</v>
      </c>
      <c r="R1609" s="3">
        <f>(Таблица1[Размер кредита]-$AA$2)/$AA$3</f>
        <v>0.68131193997152151</v>
      </c>
      <c r="S1609" s="3">
        <f>(Таблица1[Кредитный рейтинг]-$AA$7)/($AA$8-$AA$7)</f>
        <v>0.95206391478029295</v>
      </c>
      <c r="T1609" s="3">
        <f>(Таблица1[Срок с последнего нарушения кредитного договора (мес,)]-$AA$12)/($AA$13-$AA$12)</f>
        <v>0.18181818181818182</v>
      </c>
      <c r="U1609" s="3">
        <f>(Таблица1[Количество кредитных карт]-$AA$18)/($AA$19-$AA$18)</f>
        <v>0.26190476190476192</v>
      </c>
      <c r="V1609" s="3">
        <f>(Таблица1[Число нарушений кредитных договоров]-$AA$23)/($AA$24-$AA$23)</f>
        <v>0</v>
      </c>
      <c r="W1609" s="3">
        <f>Таблица1[[#This Row],[Годовой доход]]/12</f>
        <v>58698.916666666664</v>
      </c>
      <c r="X1609" s="3">
        <f>Таблица1[[#This Row],[Ежемесячный платеж]]/Таблица1[[#This Row],[Ежем доход]]</f>
        <v>0.16000107895233728</v>
      </c>
      <c r="Y1609" s="3"/>
      <c r="Z1609" s="3"/>
      <c r="AA1609" s="3"/>
      <c r="AB1609" s="3"/>
    </row>
    <row r="1610" spans="1:28" x14ac:dyDescent="0.2">
      <c r="A1610">
        <v>1408</v>
      </c>
      <c r="B1610" t="s">
        <v>1447</v>
      </c>
      <c r="C1610" t="s">
        <v>18</v>
      </c>
      <c r="D1610" t="s">
        <v>19</v>
      </c>
      <c r="E1610" t="s">
        <v>32</v>
      </c>
      <c r="F1610" t="s">
        <v>33</v>
      </c>
      <c r="G1610" t="s">
        <v>25</v>
      </c>
      <c r="H1610" s="1">
        <v>178486</v>
      </c>
      <c r="I1610" s="3">
        <v>0</v>
      </c>
      <c r="J1610" s="3">
        <v>1168044</v>
      </c>
      <c r="K1610" s="3">
        <v>6224.59</v>
      </c>
      <c r="L1610" s="2">
        <v>15</v>
      </c>
      <c r="M1610" s="11">
        <v>35.265240640000002</v>
      </c>
      <c r="N1610" s="3">
        <v>7</v>
      </c>
      <c r="O1610" s="3">
        <v>161500</v>
      </c>
      <c r="P1610" s="3">
        <v>229724</v>
      </c>
      <c r="Q1610" s="10">
        <v>0</v>
      </c>
      <c r="R1610" s="3">
        <f>(Таблица1[Размер кредита]-$AA$2)/$AA$3</f>
        <v>-0.74643765830032516</v>
      </c>
      <c r="S1610" s="3">
        <f>(Таблица1[Кредитный рейтинг]-$AA$7)/($AA$8-$AA$7)</f>
        <v>0</v>
      </c>
      <c r="T1610" s="3">
        <f>(Таблица1[Срок с последнего нарушения кредитного договора (мес,)]-$AA$12)/($AA$13-$AA$12)</f>
        <v>0.40074137090909095</v>
      </c>
      <c r="U1610" s="3">
        <f>(Таблица1[Количество кредитных карт]-$AA$18)/($AA$19-$AA$18)</f>
        <v>0.14285714285714285</v>
      </c>
      <c r="V1610" s="3">
        <f>(Таблица1[Число нарушений кредитных договоров]-$AA$23)/($AA$24-$AA$23)</f>
        <v>0</v>
      </c>
      <c r="W1610" s="3">
        <f>Таблица1[[#This Row],[Годовой доход]]/12</f>
        <v>97337</v>
      </c>
      <c r="X1610" s="3">
        <f>Таблица1[[#This Row],[Ежемесячный платеж]]/Таблица1[[#This Row],[Ежем доход]]</f>
        <v>6.3948858090962332E-2</v>
      </c>
      <c r="Y1610" s="3"/>
      <c r="Z1610" s="3"/>
      <c r="AA1610" s="3"/>
      <c r="AB1610" s="3"/>
    </row>
    <row r="1611" spans="1:28" x14ac:dyDescent="0.2">
      <c r="A1611">
        <v>375</v>
      </c>
      <c r="B1611" t="s">
        <v>417</v>
      </c>
      <c r="C1611" t="s">
        <v>18</v>
      </c>
      <c r="D1611" t="s">
        <v>19</v>
      </c>
      <c r="E1611" t="s">
        <v>24</v>
      </c>
      <c r="F1611" t="s">
        <v>33</v>
      </c>
      <c r="G1611" t="s">
        <v>25</v>
      </c>
      <c r="H1611" s="1">
        <v>221056</v>
      </c>
      <c r="I1611" s="3">
        <v>741</v>
      </c>
      <c r="J1611" s="3">
        <v>954560</v>
      </c>
      <c r="K1611" s="3">
        <v>9386.57</v>
      </c>
      <c r="L1611" s="2">
        <v>12</v>
      </c>
      <c r="M1611" s="11">
        <v>13</v>
      </c>
      <c r="N1611" s="3">
        <v>19</v>
      </c>
      <c r="O1611" s="3">
        <v>117420</v>
      </c>
      <c r="P1611" s="3">
        <v>229658</v>
      </c>
      <c r="Q1611" s="10">
        <v>0</v>
      </c>
      <c r="R1611" s="3">
        <f>(Таблица1[Размер кредита]-$AA$2)/$AA$3</f>
        <v>-0.5040746902631269</v>
      </c>
      <c r="S1611" s="3">
        <f>(Таблица1[Кредитный рейтинг]-$AA$7)/($AA$8-$AA$7)</f>
        <v>0.98668442077230356</v>
      </c>
      <c r="T1611" s="3">
        <f>(Таблица1[Срок с последнего нарушения кредитного договора (мес,)]-$AA$12)/($AA$13-$AA$12)</f>
        <v>0.14772727272727273</v>
      </c>
      <c r="U1611" s="3">
        <f>(Таблица1[Количество кредитных карт]-$AA$18)/($AA$19-$AA$18)</f>
        <v>0.42857142857142855</v>
      </c>
      <c r="V1611" s="3">
        <f>(Таблица1[Число нарушений кредитных договоров]-$AA$23)/($AA$24-$AA$23)</f>
        <v>0</v>
      </c>
      <c r="W1611" s="3">
        <f>Таблица1[[#This Row],[Годовой доход]]/12</f>
        <v>79546.666666666672</v>
      </c>
      <c r="X1611" s="3">
        <f>Таблица1[[#This Row],[Ежемесячный платеж]]/Таблица1[[#This Row],[Ежем доход]]</f>
        <v>0.11800079617834394</v>
      </c>
      <c r="Y1611" s="3"/>
      <c r="Z1611" s="3"/>
      <c r="AA1611" s="3"/>
      <c r="AB1611" s="3"/>
    </row>
    <row r="1612" spans="1:28" x14ac:dyDescent="0.2">
      <c r="A1612">
        <v>221</v>
      </c>
      <c r="B1612" t="s">
        <v>263</v>
      </c>
      <c r="C1612" t="s">
        <v>18</v>
      </c>
      <c r="D1612" t="s">
        <v>19</v>
      </c>
      <c r="E1612" t="s">
        <v>24</v>
      </c>
      <c r="F1612" t="s">
        <v>33</v>
      </c>
      <c r="G1612" t="s">
        <v>25</v>
      </c>
      <c r="H1612" s="1">
        <v>152790</v>
      </c>
      <c r="I1612" s="3">
        <v>743</v>
      </c>
      <c r="J1612" s="3">
        <v>678661</v>
      </c>
      <c r="K1612" s="3">
        <v>4450.9399999999996</v>
      </c>
      <c r="L1612" s="2">
        <v>14</v>
      </c>
      <c r="M1612" s="11">
        <v>8</v>
      </c>
      <c r="N1612" s="3">
        <v>5</v>
      </c>
      <c r="O1612" s="3">
        <v>119510</v>
      </c>
      <c r="P1612" s="3">
        <v>229086</v>
      </c>
      <c r="Q1612" s="10">
        <v>1</v>
      </c>
      <c r="R1612" s="3">
        <f>(Таблица1[Размер кредита]-$AA$2)/$AA$3</f>
        <v>-0.89273220438169343</v>
      </c>
      <c r="S1612" s="3">
        <f>(Таблица1[Кредитный рейтинг]-$AA$7)/($AA$8-$AA$7)</f>
        <v>0.98934753661784292</v>
      </c>
      <c r="T1612" s="3">
        <f>(Таблица1[Срок с последнего нарушения кредитного договора (мес,)]-$AA$12)/($AA$13-$AA$12)</f>
        <v>9.0909090909090912E-2</v>
      </c>
      <c r="U1612" s="3">
        <f>(Таблица1[Количество кредитных карт]-$AA$18)/($AA$19-$AA$18)</f>
        <v>9.5238095238095233E-2</v>
      </c>
      <c r="V1612" s="3">
        <f>(Таблица1[Число нарушений кредитных договоров]-$AA$23)/($AA$24-$AA$23)</f>
        <v>0.14285714285714285</v>
      </c>
      <c r="W1612" s="3">
        <f>Таблица1[[#This Row],[Годовой доход]]/12</f>
        <v>56555.083333333336</v>
      </c>
      <c r="X1612" s="3">
        <f>Таблица1[[#This Row],[Ежемесячный платеж]]/Таблица1[[#This Row],[Ежем доход]]</f>
        <v>7.8700971471765718E-2</v>
      </c>
      <c r="Y1612" s="3"/>
      <c r="Z1612" s="3"/>
      <c r="AA1612" s="3"/>
      <c r="AB1612" s="3"/>
    </row>
    <row r="1613" spans="1:28" x14ac:dyDescent="0.2">
      <c r="A1613">
        <v>174</v>
      </c>
      <c r="B1613" t="s">
        <v>216</v>
      </c>
      <c r="C1613" t="s">
        <v>18</v>
      </c>
      <c r="D1613" t="s">
        <v>19</v>
      </c>
      <c r="E1613" t="s">
        <v>50</v>
      </c>
      <c r="F1613" t="s">
        <v>21</v>
      </c>
      <c r="G1613" t="s">
        <v>22</v>
      </c>
      <c r="H1613" s="1">
        <v>716958</v>
      </c>
      <c r="I1613" s="3">
        <v>718</v>
      </c>
      <c r="J1613" s="3">
        <v>1934960</v>
      </c>
      <c r="K1613" s="3">
        <v>31765.72</v>
      </c>
      <c r="L1613" s="2">
        <v>10</v>
      </c>
      <c r="M1613" s="11">
        <v>24</v>
      </c>
      <c r="N1613" s="3">
        <v>9</v>
      </c>
      <c r="O1613" s="3">
        <v>168815</v>
      </c>
      <c r="P1613" s="3">
        <v>228624</v>
      </c>
      <c r="Q1613" s="10">
        <v>0</v>
      </c>
      <c r="R1613" s="3">
        <f>(Таблица1[Размер кредита]-$AA$2)/$AA$3</f>
        <v>2.3192346960554708</v>
      </c>
      <c r="S1613" s="3">
        <f>(Таблица1[Кредитный рейтинг]-$AA$7)/($AA$8-$AA$7)</f>
        <v>0.95605858854860182</v>
      </c>
      <c r="T1613" s="3">
        <f>(Таблица1[Срок с последнего нарушения кредитного договора (мес,)]-$AA$12)/($AA$13-$AA$12)</f>
        <v>0.27272727272727271</v>
      </c>
      <c r="U1613" s="3">
        <f>(Таблица1[Количество кредитных карт]-$AA$18)/($AA$19-$AA$18)</f>
        <v>0.19047619047619047</v>
      </c>
      <c r="V1613" s="3">
        <f>(Таблица1[Число нарушений кредитных договоров]-$AA$23)/($AA$24-$AA$23)</f>
        <v>0</v>
      </c>
      <c r="W1613" s="3">
        <f>Таблица1[[#This Row],[Годовой доход]]/12</f>
        <v>161246.66666666666</v>
      </c>
      <c r="X1613" s="3">
        <f>Таблица1[[#This Row],[Ежемесячный платеж]]/Таблица1[[#This Row],[Ежем доход]]</f>
        <v>0.19700078554595446</v>
      </c>
      <c r="Y1613" s="3"/>
      <c r="Z1613" s="3"/>
      <c r="AA1613" s="3"/>
      <c r="AB1613" s="3"/>
    </row>
    <row r="1614" spans="1:28" x14ac:dyDescent="0.2">
      <c r="A1614">
        <v>1051</v>
      </c>
      <c r="B1614" t="s">
        <v>1090</v>
      </c>
      <c r="C1614" t="s">
        <v>35</v>
      </c>
      <c r="D1614" t="s">
        <v>19</v>
      </c>
      <c r="E1614" t="s">
        <v>24</v>
      </c>
      <c r="F1614" t="s">
        <v>21</v>
      </c>
      <c r="G1614" t="s">
        <v>25</v>
      </c>
      <c r="H1614" s="1">
        <v>181984</v>
      </c>
      <c r="I1614" s="3">
        <v>693</v>
      </c>
      <c r="J1614" s="3">
        <v>562932</v>
      </c>
      <c r="K1614" s="3">
        <v>15434.08</v>
      </c>
      <c r="L1614" s="2">
        <v>22.5</v>
      </c>
      <c r="M1614" s="11">
        <v>4</v>
      </c>
      <c r="N1614" s="3">
        <v>14</v>
      </c>
      <c r="O1614" s="3">
        <v>72257</v>
      </c>
      <c r="P1614" s="3">
        <v>228624</v>
      </c>
      <c r="Q1614" s="10">
        <v>1</v>
      </c>
      <c r="R1614" s="3">
        <f>(Таблица1[Размер кредита]-$AA$2)/$AA$3</f>
        <v>-0.72652256170191976</v>
      </c>
      <c r="S1614" s="3">
        <f>(Таблица1[Кредитный рейтинг]-$AA$7)/($AA$8-$AA$7)</f>
        <v>0.92276964047936083</v>
      </c>
      <c r="T1614" s="3">
        <f>(Таблица1[Срок с последнего нарушения кредитного договора (мес,)]-$AA$12)/($AA$13-$AA$12)</f>
        <v>4.5454545454545456E-2</v>
      </c>
      <c r="U1614" s="3">
        <f>(Таблица1[Количество кредитных карт]-$AA$18)/($AA$19-$AA$18)</f>
        <v>0.30952380952380953</v>
      </c>
      <c r="V1614" s="3">
        <f>(Таблица1[Число нарушений кредитных договоров]-$AA$23)/($AA$24-$AA$23)</f>
        <v>0.14285714285714285</v>
      </c>
      <c r="W1614" s="3">
        <f>Таблица1[[#This Row],[Годовой доход]]/12</f>
        <v>46911</v>
      </c>
      <c r="X1614" s="3">
        <f>Таблица1[[#This Row],[Ежемесячный платеж]]/Таблица1[[#This Row],[Ежем доход]]</f>
        <v>0.32900769542324826</v>
      </c>
      <c r="Y1614" s="3"/>
      <c r="Z1614" s="3"/>
      <c r="AA1614" s="3"/>
      <c r="AB1614" s="3"/>
    </row>
    <row r="1615" spans="1:28" x14ac:dyDescent="0.2">
      <c r="A1615">
        <v>626</v>
      </c>
      <c r="B1615" t="s">
        <v>667</v>
      </c>
      <c r="C1615" t="s">
        <v>18</v>
      </c>
      <c r="D1615" t="s">
        <v>29</v>
      </c>
      <c r="E1615" t="s">
        <v>63</v>
      </c>
      <c r="F1615" t="s">
        <v>27</v>
      </c>
      <c r="G1615" t="s">
        <v>25</v>
      </c>
      <c r="H1615" s="1">
        <v>347996</v>
      </c>
      <c r="I1615" s="3">
        <v>700</v>
      </c>
      <c r="J1615" s="3">
        <v>686945</v>
      </c>
      <c r="K1615" s="3">
        <v>3932.81</v>
      </c>
      <c r="L1615" s="2">
        <v>11</v>
      </c>
      <c r="M1615" s="11">
        <v>35.265240640000002</v>
      </c>
      <c r="N1615" s="3">
        <v>7</v>
      </c>
      <c r="O1615" s="3">
        <v>164578</v>
      </c>
      <c r="P1615" s="3">
        <v>227678</v>
      </c>
      <c r="Q1615" s="10">
        <v>0</v>
      </c>
      <c r="R1615" s="3">
        <f>(Таблица1[Размер кредита]-$AA$2)/$AA$3</f>
        <v>0.21863038755322151</v>
      </c>
      <c r="S1615" s="3">
        <f>(Таблица1[Кредитный рейтинг]-$AA$7)/($AA$8-$AA$7)</f>
        <v>0.93209054593874829</v>
      </c>
      <c r="T1615" s="3">
        <f>(Таблица1[Срок с последнего нарушения кредитного договора (мес,)]-$AA$12)/($AA$13-$AA$12)</f>
        <v>0.40074137090909095</v>
      </c>
      <c r="U1615" s="3">
        <f>(Таблица1[Количество кредитных карт]-$AA$18)/($AA$19-$AA$18)</f>
        <v>0.14285714285714285</v>
      </c>
      <c r="V1615" s="3">
        <f>(Таблица1[Число нарушений кредитных договоров]-$AA$23)/($AA$24-$AA$23)</f>
        <v>0</v>
      </c>
      <c r="W1615" s="3">
        <f>Таблица1[[#This Row],[Годовой доход]]/12</f>
        <v>57245.416666666664</v>
      </c>
      <c r="X1615" s="3">
        <f>Таблица1[[#This Row],[Ежемесячный платеж]]/Таблица1[[#This Row],[Ежем доход]]</f>
        <v>6.870087124878993E-2</v>
      </c>
      <c r="Y1615" s="3"/>
      <c r="Z1615" s="3"/>
      <c r="AA1615" s="3"/>
      <c r="AB1615" s="3"/>
    </row>
    <row r="1616" spans="1:28" x14ac:dyDescent="0.2">
      <c r="A1616">
        <v>459</v>
      </c>
      <c r="B1616" t="s">
        <v>500</v>
      </c>
      <c r="C1616" t="s">
        <v>18</v>
      </c>
      <c r="D1616" t="s">
        <v>19</v>
      </c>
      <c r="E1616" t="s">
        <v>24</v>
      </c>
      <c r="F1616" t="s">
        <v>21</v>
      </c>
      <c r="G1616" t="s">
        <v>25</v>
      </c>
      <c r="H1616" s="1">
        <v>309594.52439999999</v>
      </c>
      <c r="I1616" s="3">
        <v>738</v>
      </c>
      <c r="J1616" s="3">
        <v>2081792</v>
      </c>
      <c r="K1616" s="3">
        <v>21511.99</v>
      </c>
      <c r="L1616" s="2">
        <v>25.6</v>
      </c>
      <c r="M1616" s="11">
        <v>27</v>
      </c>
      <c r="N1616" s="3">
        <v>10</v>
      </c>
      <c r="O1616" s="3">
        <v>163153</v>
      </c>
      <c r="P1616" s="3">
        <v>227612</v>
      </c>
      <c r="Q1616" s="10">
        <v>0</v>
      </c>
      <c r="R1616" s="3">
        <f>(Таблица1[Размер кредита]-$AA$2)/$AA$3</f>
        <v>-1.2411115481956205E-10</v>
      </c>
      <c r="S1616" s="3">
        <f>(Таблица1[Кредитный рейтинг]-$AA$7)/($AA$8-$AA$7)</f>
        <v>0.9826897470039947</v>
      </c>
      <c r="T1616" s="3">
        <f>(Таблица1[Срок с последнего нарушения кредитного договора (мес,)]-$AA$12)/($AA$13-$AA$12)</f>
        <v>0.30681818181818182</v>
      </c>
      <c r="U1616" s="3">
        <f>(Таблица1[Количество кредитных карт]-$AA$18)/($AA$19-$AA$18)</f>
        <v>0.21428571428571427</v>
      </c>
      <c r="V1616" s="3">
        <f>(Таблица1[Число нарушений кредитных договоров]-$AA$23)/($AA$24-$AA$23)</f>
        <v>0</v>
      </c>
      <c r="W1616" s="3">
        <f>Таблица1[[#This Row],[Годовой доход]]/12</f>
        <v>173482.66666666666</v>
      </c>
      <c r="X1616" s="3">
        <f>Таблица1[[#This Row],[Ежемесячный платеж]]/Таблица1[[#This Row],[Ежем доход]]</f>
        <v>0.12400080315420563</v>
      </c>
      <c r="Y1616" s="3"/>
      <c r="Z1616" s="3"/>
      <c r="AA1616" s="3"/>
      <c r="AB1616" s="3"/>
    </row>
    <row r="1617" spans="1:28" x14ac:dyDescent="0.2">
      <c r="A1617">
        <v>1639</v>
      </c>
      <c r="B1617" t="s">
        <v>1677</v>
      </c>
      <c r="C1617" t="s">
        <v>18</v>
      </c>
      <c r="D1617" t="s">
        <v>19</v>
      </c>
      <c r="E1617" t="s">
        <v>37</v>
      </c>
      <c r="F1617" t="s">
        <v>33</v>
      </c>
      <c r="G1617" t="s">
        <v>25</v>
      </c>
      <c r="H1617" s="1">
        <v>106766</v>
      </c>
      <c r="I1617" s="3">
        <v>728</v>
      </c>
      <c r="J1617" s="3">
        <v>1786608</v>
      </c>
      <c r="K1617" s="3">
        <v>22034.87</v>
      </c>
      <c r="L1617" s="2">
        <v>11.9</v>
      </c>
      <c r="M1617" s="11">
        <v>6</v>
      </c>
      <c r="N1617" s="3">
        <v>10</v>
      </c>
      <c r="O1617" s="3">
        <v>82346</v>
      </c>
      <c r="P1617" s="3">
        <v>226996</v>
      </c>
      <c r="Q1617" s="10">
        <v>0</v>
      </c>
      <c r="R1617" s="3">
        <f>(Таблица1[Размер кредита]-$AA$2)/$AA$3</f>
        <v>-1.1547597646575689</v>
      </c>
      <c r="S1617" s="3">
        <f>(Таблица1[Кредитный рейтинг]-$AA$7)/($AA$8-$AA$7)</f>
        <v>0.96937416777629826</v>
      </c>
      <c r="T1617" s="3">
        <f>(Таблица1[Срок с последнего нарушения кредитного договора (мес,)]-$AA$12)/($AA$13-$AA$12)</f>
        <v>6.8181818181818177E-2</v>
      </c>
      <c r="U1617" s="3">
        <f>(Таблица1[Количество кредитных карт]-$AA$18)/($AA$19-$AA$18)</f>
        <v>0.21428571428571427</v>
      </c>
      <c r="V1617" s="3">
        <f>(Таблица1[Число нарушений кредитных договоров]-$AA$23)/($AA$24-$AA$23)</f>
        <v>0</v>
      </c>
      <c r="W1617" s="3">
        <f>Таблица1[[#This Row],[Годовой доход]]/12</f>
        <v>148884</v>
      </c>
      <c r="X1617" s="3">
        <f>Таблица1[[#This Row],[Ежемесячный платеж]]/Таблица1[[#This Row],[Ежем доход]]</f>
        <v>0.14800025523226135</v>
      </c>
      <c r="Y1617" s="3"/>
      <c r="Z1617" s="3"/>
      <c r="AA1617" s="3"/>
      <c r="AB1617" s="3"/>
    </row>
    <row r="1618" spans="1:28" x14ac:dyDescent="0.2">
      <c r="A1618">
        <v>880</v>
      </c>
      <c r="B1618" t="s">
        <v>921</v>
      </c>
      <c r="C1618" t="s">
        <v>18</v>
      </c>
      <c r="D1618" t="s">
        <v>19</v>
      </c>
      <c r="E1618" t="s">
        <v>37</v>
      </c>
      <c r="F1618" t="s">
        <v>33</v>
      </c>
      <c r="G1618" t="s">
        <v>25</v>
      </c>
      <c r="H1618" s="1">
        <v>309594.52439999999</v>
      </c>
      <c r="I1618" s="3">
        <v>712</v>
      </c>
      <c r="J1618" s="3">
        <v>652137</v>
      </c>
      <c r="K1618" s="3">
        <v>9075.73</v>
      </c>
      <c r="L1618" s="2">
        <v>20.399999999999999</v>
      </c>
      <c r="M1618" s="11">
        <v>17</v>
      </c>
      <c r="N1618" s="3">
        <v>11</v>
      </c>
      <c r="O1618" s="3">
        <v>85101</v>
      </c>
      <c r="P1618" s="3">
        <v>226534</v>
      </c>
      <c r="Q1618" s="10">
        <v>1</v>
      </c>
      <c r="R1618" s="3">
        <f>(Таблица1[Размер кредита]-$AA$2)/$AA$3</f>
        <v>-1.2411115481956205E-10</v>
      </c>
      <c r="S1618" s="3">
        <f>(Таблица1[Кредитный рейтинг]-$AA$7)/($AA$8-$AA$7)</f>
        <v>0.94806924101198398</v>
      </c>
      <c r="T1618" s="3">
        <f>(Таблица1[Срок с последнего нарушения кредитного договора (мес,)]-$AA$12)/($AA$13-$AA$12)</f>
        <v>0.19318181818181818</v>
      </c>
      <c r="U1618" s="3">
        <f>(Таблица1[Количество кредитных карт]-$AA$18)/($AA$19-$AA$18)</f>
        <v>0.23809523809523808</v>
      </c>
      <c r="V1618" s="3">
        <f>(Таблица1[Число нарушений кредитных договоров]-$AA$23)/($AA$24-$AA$23)</f>
        <v>0.14285714285714285</v>
      </c>
      <c r="W1618" s="3">
        <f>Таблица1[[#This Row],[Годовой доход]]/12</f>
        <v>54344.75</v>
      </c>
      <c r="X1618" s="3">
        <f>Таблица1[[#This Row],[Ежемесячный платеж]]/Таблица1[[#This Row],[Ежем доход]]</f>
        <v>0.16700288436325494</v>
      </c>
      <c r="Y1618" s="3"/>
      <c r="Z1618" s="3"/>
      <c r="AA1618" s="3"/>
      <c r="AB1618" s="3"/>
    </row>
    <row r="1619" spans="1:28" x14ac:dyDescent="0.2">
      <c r="A1619">
        <v>1776</v>
      </c>
      <c r="B1619" t="s">
        <v>1814</v>
      </c>
      <c r="C1619" t="s">
        <v>35</v>
      </c>
      <c r="D1619" t="s">
        <v>19</v>
      </c>
      <c r="E1619" t="s">
        <v>41</v>
      </c>
      <c r="F1619" t="s">
        <v>21</v>
      </c>
      <c r="G1619" t="s">
        <v>25</v>
      </c>
      <c r="H1619" s="1">
        <v>76186</v>
      </c>
      <c r="I1619" s="3">
        <v>705</v>
      </c>
      <c r="J1619" s="3">
        <v>451117</v>
      </c>
      <c r="K1619" s="3">
        <v>3740.53</v>
      </c>
      <c r="L1619" s="2">
        <v>14.8</v>
      </c>
      <c r="M1619" s="11">
        <v>26</v>
      </c>
      <c r="N1619" s="3">
        <v>9</v>
      </c>
      <c r="O1619" s="3">
        <v>99636</v>
      </c>
      <c r="P1619" s="3">
        <v>226226</v>
      </c>
      <c r="Q1619" s="10">
        <v>0</v>
      </c>
      <c r="R1619" s="3">
        <f>(Таблица1[Размер кредита]-$AA$2)/$AA$3</f>
        <v>-1.3288602946687862</v>
      </c>
      <c r="S1619" s="3">
        <f>(Таблица1[Кредитный рейтинг]-$AA$7)/($AA$8-$AA$7)</f>
        <v>0.93874833555259651</v>
      </c>
      <c r="T1619" s="3">
        <f>(Таблица1[Срок с последнего нарушения кредитного договора (мес,)]-$AA$12)/($AA$13-$AA$12)</f>
        <v>0.29545454545454547</v>
      </c>
      <c r="U1619" s="3">
        <f>(Таблица1[Количество кредитных карт]-$AA$18)/($AA$19-$AA$18)</f>
        <v>0.19047619047619047</v>
      </c>
      <c r="V1619" s="3">
        <f>(Таблица1[Число нарушений кредитных договоров]-$AA$23)/($AA$24-$AA$23)</f>
        <v>0</v>
      </c>
      <c r="W1619" s="3">
        <f>Таблица1[[#This Row],[Годовой доход]]/12</f>
        <v>37593.083333333336</v>
      </c>
      <c r="X1619" s="3">
        <f>Таблица1[[#This Row],[Ежемесячный платеж]]/Таблица1[[#This Row],[Ежем доход]]</f>
        <v>9.950048435328307E-2</v>
      </c>
      <c r="Y1619" s="3"/>
      <c r="Z1619" s="3"/>
      <c r="AA1619" s="3"/>
      <c r="AB1619" s="3"/>
    </row>
    <row r="1620" spans="1:28" x14ac:dyDescent="0.2">
      <c r="A1620">
        <v>1425</v>
      </c>
      <c r="B1620" t="s">
        <v>1464</v>
      </c>
      <c r="C1620" t="s">
        <v>18</v>
      </c>
      <c r="D1620" t="s">
        <v>19</v>
      </c>
      <c r="E1620" t="s">
        <v>24</v>
      </c>
      <c r="F1620" t="s">
        <v>27</v>
      </c>
      <c r="G1620" t="s">
        <v>22</v>
      </c>
      <c r="H1620" s="1">
        <v>220880</v>
      </c>
      <c r="I1620" s="3">
        <v>744</v>
      </c>
      <c r="J1620" s="3">
        <v>1239940</v>
      </c>
      <c r="K1620" s="3">
        <v>1797.97</v>
      </c>
      <c r="L1620" s="2">
        <v>13</v>
      </c>
      <c r="M1620" s="11">
        <v>51</v>
      </c>
      <c r="N1620" s="3">
        <v>4</v>
      </c>
      <c r="O1620" s="3">
        <v>42370</v>
      </c>
      <c r="P1620" s="3">
        <v>225038</v>
      </c>
      <c r="Q1620" s="10">
        <v>1</v>
      </c>
      <c r="R1620" s="3">
        <f>(Таблица1[Размер кредита]-$AA$2)/$AA$3</f>
        <v>-0.50507670770204038</v>
      </c>
      <c r="S1620" s="3">
        <f>(Таблица1[Кредитный рейтинг]-$AA$7)/($AA$8-$AA$7)</f>
        <v>0.99067909454061254</v>
      </c>
      <c r="T1620" s="3">
        <f>(Таблица1[Срок с последнего нарушения кредитного договора (мес,)]-$AA$12)/($AA$13-$AA$12)</f>
        <v>0.57954545454545459</v>
      </c>
      <c r="U1620" s="3">
        <f>(Таблица1[Количество кредитных карт]-$AA$18)/($AA$19-$AA$18)</f>
        <v>7.1428571428571425E-2</v>
      </c>
      <c r="V1620" s="3">
        <f>(Таблица1[Число нарушений кредитных договоров]-$AA$23)/($AA$24-$AA$23)</f>
        <v>0.14285714285714285</v>
      </c>
      <c r="W1620" s="3">
        <f>Таблица1[[#This Row],[Годовой доход]]/12</f>
        <v>103328.33333333333</v>
      </c>
      <c r="X1620" s="3">
        <f>Таблица1[[#This Row],[Ежемесячный платеж]]/Таблица1[[#This Row],[Ежем доход]]</f>
        <v>1.7400551639595467E-2</v>
      </c>
      <c r="Y1620" s="3"/>
      <c r="Z1620" s="3"/>
      <c r="AA1620" s="3"/>
      <c r="AB1620" s="3"/>
    </row>
    <row r="1621" spans="1:28" x14ac:dyDescent="0.2">
      <c r="A1621">
        <v>563</v>
      </c>
      <c r="B1621" t="s">
        <v>604</v>
      </c>
      <c r="C1621" t="s">
        <v>35</v>
      </c>
      <c r="D1621" t="s">
        <v>19</v>
      </c>
      <c r="E1621" t="s">
        <v>50</v>
      </c>
      <c r="F1621" t="s">
        <v>33</v>
      </c>
      <c r="G1621" t="s">
        <v>67</v>
      </c>
      <c r="H1621" s="1">
        <v>48884</v>
      </c>
      <c r="I1621" s="3">
        <v>0</v>
      </c>
      <c r="J1621" s="3">
        <v>1168044</v>
      </c>
      <c r="K1621" s="3">
        <v>7996.72</v>
      </c>
      <c r="L1621" s="2">
        <v>13.8</v>
      </c>
      <c r="M1621" s="11">
        <v>24</v>
      </c>
      <c r="N1621" s="3">
        <v>11</v>
      </c>
      <c r="O1621" s="3">
        <v>157472</v>
      </c>
      <c r="P1621" s="3">
        <v>224554</v>
      </c>
      <c r="Q1621" s="10">
        <v>0</v>
      </c>
      <c r="R1621" s="3">
        <f>(Таблица1[Размер кредита]-$AA$2)/$AA$3</f>
        <v>-1.48429824988024</v>
      </c>
      <c r="S1621" s="3">
        <f>(Таблица1[Кредитный рейтинг]-$AA$7)/($AA$8-$AA$7)</f>
        <v>0</v>
      </c>
      <c r="T1621" s="3">
        <f>(Таблица1[Срок с последнего нарушения кредитного договора (мес,)]-$AA$12)/($AA$13-$AA$12)</f>
        <v>0.27272727272727271</v>
      </c>
      <c r="U1621" s="3">
        <f>(Таблица1[Количество кредитных карт]-$AA$18)/($AA$19-$AA$18)</f>
        <v>0.23809523809523808</v>
      </c>
      <c r="V1621" s="3">
        <f>(Таблица1[Число нарушений кредитных договоров]-$AA$23)/($AA$24-$AA$23)</f>
        <v>0</v>
      </c>
      <c r="W1621" s="3">
        <f>Таблица1[[#This Row],[Годовой доход]]/12</f>
        <v>97337</v>
      </c>
      <c r="X1621" s="3">
        <f>Таблица1[[#This Row],[Ежемесячный платеж]]/Таблица1[[#This Row],[Ежем доход]]</f>
        <v>8.2154987312121799E-2</v>
      </c>
      <c r="Y1621" s="3"/>
      <c r="Z1621" s="3"/>
      <c r="AA1621" s="3"/>
      <c r="AB1621" s="3"/>
    </row>
    <row r="1622" spans="1:28" x14ac:dyDescent="0.2">
      <c r="A1622">
        <v>1806</v>
      </c>
      <c r="B1622" t="s">
        <v>1844</v>
      </c>
      <c r="C1622" t="s">
        <v>18</v>
      </c>
      <c r="D1622" t="s">
        <v>29</v>
      </c>
      <c r="E1622" t="s">
        <v>24</v>
      </c>
      <c r="F1622" t="s">
        <v>21</v>
      </c>
      <c r="G1622" t="s">
        <v>25</v>
      </c>
      <c r="H1622" s="1">
        <v>467082</v>
      </c>
      <c r="I1622" s="3">
        <v>724</v>
      </c>
      <c r="J1622" s="3">
        <v>1260574</v>
      </c>
      <c r="K1622" s="3">
        <v>9391.1299999999992</v>
      </c>
      <c r="L1622" s="2">
        <v>23.6</v>
      </c>
      <c r="M1622" s="11">
        <v>35.265240640000002</v>
      </c>
      <c r="N1622" s="3">
        <v>6</v>
      </c>
      <c r="O1622" s="3">
        <v>103550</v>
      </c>
      <c r="P1622" s="3">
        <v>224510</v>
      </c>
      <c r="Q1622" s="10">
        <v>0</v>
      </c>
      <c r="R1622" s="3">
        <f>(Таблица1[Размер кредита]-$AA$2)/$AA$3</f>
        <v>0.89662043715805584</v>
      </c>
      <c r="S1622" s="3">
        <f>(Таблица1[Кредитный рейтинг]-$AA$7)/($AA$8-$AA$7)</f>
        <v>0.96404793608521966</v>
      </c>
      <c r="T1622" s="3">
        <f>(Таблица1[Срок с последнего нарушения кредитного договора (мес,)]-$AA$12)/($AA$13-$AA$12)</f>
        <v>0.40074137090909095</v>
      </c>
      <c r="U1622" s="3">
        <f>(Таблица1[Количество кредитных карт]-$AA$18)/($AA$19-$AA$18)</f>
        <v>0.11904761904761904</v>
      </c>
      <c r="V1622" s="3">
        <f>(Таблица1[Число нарушений кредитных договоров]-$AA$23)/($AA$24-$AA$23)</f>
        <v>0</v>
      </c>
      <c r="W1622" s="3">
        <f>Таблица1[[#This Row],[Годовой доход]]/12</f>
        <v>105047.83333333333</v>
      </c>
      <c r="X1622" s="3">
        <f>Таблица1[[#This Row],[Ежемесячный платеж]]/Таблица1[[#This Row],[Ежем доход]]</f>
        <v>8.9398607301118371E-2</v>
      </c>
      <c r="Y1622" s="3"/>
      <c r="Z1622" s="3"/>
      <c r="AA1622" s="3"/>
      <c r="AB1622" s="3"/>
    </row>
    <row r="1623" spans="1:28" x14ac:dyDescent="0.2">
      <c r="A1623">
        <v>1673</v>
      </c>
      <c r="B1623" t="s">
        <v>1711</v>
      </c>
      <c r="C1623" t="s">
        <v>35</v>
      </c>
      <c r="D1623" t="s">
        <v>19</v>
      </c>
      <c r="E1623" t="s">
        <v>69</v>
      </c>
      <c r="F1623" t="s">
        <v>21</v>
      </c>
      <c r="G1623" t="s">
        <v>25</v>
      </c>
      <c r="H1623" s="1">
        <v>213356</v>
      </c>
      <c r="I1623" s="3">
        <v>729</v>
      </c>
      <c r="J1623" s="3">
        <v>799083</v>
      </c>
      <c r="K1623" s="3">
        <v>6306.1</v>
      </c>
      <c r="L1623" s="2">
        <v>10</v>
      </c>
      <c r="M1623" s="11">
        <v>18</v>
      </c>
      <c r="N1623" s="3">
        <v>12</v>
      </c>
      <c r="O1623" s="3">
        <v>118617</v>
      </c>
      <c r="P1623" s="3">
        <v>224422</v>
      </c>
      <c r="Q1623" s="10">
        <v>0</v>
      </c>
      <c r="R1623" s="3">
        <f>(Таблица1[Размер кредита]-$AA$2)/$AA$3</f>
        <v>-0.54791295321559175</v>
      </c>
      <c r="S1623" s="3">
        <f>(Таблица1[Кредитный рейтинг]-$AA$7)/($AA$8-$AA$7)</f>
        <v>0.97070572569906788</v>
      </c>
      <c r="T1623" s="3">
        <f>(Таблица1[Срок с последнего нарушения кредитного договора (мес,)]-$AA$12)/($AA$13-$AA$12)</f>
        <v>0.20454545454545456</v>
      </c>
      <c r="U1623" s="3">
        <f>(Таблица1[Количество кредитных карт]-$AA$18)/($AA$19-$AA$18)</f>
        <v>0.26190476190476192</v>
      </c>
      <c r="V1623" s="3">
        <f>(Таблица1[Число нарушений кредитных договоров]-$AA$23)/($AA$24-$AA$23)</f>
        <v>0</v>
      </c>
      <c r="W1623" s="3">
        <f>Таблица1[[#This Row],[Годовой доход]]/12</f>
        <v>66590.25</v>
      </c>
      <c r="X1623" s="3">
        <f>Таблица1[[#This Row],[Ежемесячный платеж]]/Таблица1[[#This Row],[Ежем доход]]</f>
        <v>9.4700049932234825E-2</v>
      </c>
      <c r="Y1623" s="3"/>
      <c r="Z1623" s="3"/>
      <c r="AA1623" s="3"/>
      <c r="AB1623" s="3"/>
    </row>
    <row r="1624" spans="1:28" x14ac:dyDescent="0.2">
      <c r="A1624">
        <v>300</v>
      </c>
      <c r="B1624" t="s">
        <v>342</v>
      </c>
      <c r="C1624" t="s">
        <v>18</v>
      </c>
      <c r="D1624" t="s">
        <v>19</v>
      </c>
      <c r="E1624" t="s">
        <v>37</v>
      </c>
      <c r="F1624" t="s">
        <v>33</v>
      </c>
      <c r="G1624" t="s">
        <v>25</v>
      </c>
      <c r="H1624" s="1">
        <v>309594.52439999999</v>
      </c>
      <c r="I1624" s="3">
        <v>725</v>
      </c>
      <c r="J1624" s="3">
        <v>2229137</v>
      </c>
      <c r="K1624" s="3">
        <v>14656.6</v>
      </c>
      <c r="L1624" s="2">
        <v>19.899999999999999</v>
      </c>
      <c r="M1624" s="11">
        <v>8</v>
      </c>
      <c r="N1624" s="3">
        <v>6</v>
      </c>
      <c r="O1624" s="3">
        <v>125742</v>
      </c>
      <c r="P1624" s="3">
        <v>224334</v>
      </c>
      <c r="Q1624" s="10">
        <v>0</v>
      </c>
      <c r="R1624" s="3">
        <f>(Таблица1[Размер кредита]-$AA$2)/$AA$3</f>
        <v>-1.2411115481956205E-10</v>
      </c>
      <c r="S1624" s="3">
        <f>(Таблица1[Кредитный рейтинг]-$AA$7)/($AA$8-$AA$7)</f>
        <v>0.96537949400798939</v>
      </c>
      <c r="T1624" s="3">
        <f>(Таблица1[Срок с последнего нарушения кредитного договора (мес,)]-$AA$12)/($AA$13-$AA$12)</f>
        <v>9.0909090909090912E-2</v>
      </c>
      <c r="U1624" s="3">
        <f>(Таблица1[Количество кредитных карт]-$AA$18)/($AA$19-$AA$18)</f>
        <v>0.11904761904761904</v>
      </c>
      <c r="V1624" s="3">
        <f>(Таблица1[Число нарушений кредитных договоров]-$AA$23)/($AA$24-$AA$23)</f>
        <v>0</v>
      </c>
      <c r="W1624" s="3">
        <f>Таблица1[[#This Row],[Годовой доход]]/12</f>
        <v>185761.41666666666</v>
      </c>
      <c r="X1624" s="3">
        <f>Таблица1[[#This Row],[Ежемесячный платеж]]/Таблица1[[#This Row],[Ежем доход]]</f>
        <v>7.8900130409212177E-2</v>
      </c>
      <c r="Y1624" s="3"/>
      <c r="Z1624" s="3"/>
      <c r="AA1624" s="3"/>
      <c r="AB1624" s="3"/>
    </row>
    <row r="1625" spans="1:28" x14ac:dyDescent="0.2">
      <c r="A1625">
        <v>99</v>
      </c>
      <c r="B1625" t="s">
        <v>141</v>
      </c>
      <c r="C1625" t="s">
        <v>18</v>
      </c>
      <c r="D1625" t="s">
        <v>19</v>
      </c>
      <c r="E1625" t="s">
        <v>30</v>
      </c>
      <c r="F1625" t="s">
        <v>33</v>
      </c>
      <c r="G1625" t="s">
        <v>25</v>
      </c>
      <c r="H1625" s="1">
        <v>453464</v>
      </c>
      <c r="I1625" s="3">
        <v>712</v>
      </c>
      <c r="J1625" s="3">
        <v>895147</v>
      </c>
      <c r="K1625" s="3">
        <v>17007.849999999999</v>
      </c>
      <c r="L1625" s="2">
        <v>14.2</v>
      </c>
      <c r="M1625" s="11">
        <v>77</v>
      </c>
      <c r="N1625" s="3">
        <v>12</v>
      </c>
      <c r="O1625" s="3">
        <v>137845</v>
      </c>
      <c r="P1625" s="3">
        <v>222926</v>
      </c>
      <c r="Q1625" s="10">
        <v>1</v>
      </c>
      <c r="R1625" s="3">
        <f>(Таблица1[Размер кредита]-$AA$2)/$AA$3</f>
        <v>0.81908933782212523</v>
      </c>
      <c r="S1625" s="3">
        <f>(Таблица1[Кредитный рейтинг]-$AA$7)/($AA$8-$AA$7)</f>
        <v>0.94806924101198398</v>
      </c>
      <c r="T1625" s="3">
        <f>(Таблица1[Срок с последнего нарушения кредитного договора (мес,)]-$AA$12)/($AA$13-$AA$12)</f>
        <v>0.875</v>
      </c>
      <c r="U1625" s="3">
        <f>(Таблица1[Количество кредитных карт]-$AA$18)/($AA$19-$AA$18)</f>
        <v>0.26190476190476192</v>
      </c>
      <c r="V1625" s="3">
        <f>(Таблица1[Число нарушений кредитных договоров]-$AA$23)/($AA$24-$AA$23)</f>
        <v>0.14285714285714285</v>
      </c>
      <c r="W1625" s="3">
        <f>Таблица1[[#This Row],[Годовой доход]]/12</f>
        <v>74595.583333333328</v>
      </c>
      <c r="X1625" s="3">
        <f>Таблица1[[#This Row],[Ежемесячный платеж]]/Таблица1[[#This Row],[Ежем доход]]</f>
        <v>0.22800076412030648</v>
      </c>
      <c r="Y1625" s="3"/>
      <c r="Z1625" s="3"/>
      <c r="AA1625" s="3"/>
      <c r="AB1625" s="3"/>
    </row>
    <row r="1626" spans="1:28" x14ac:dyDescent="0.2">
      <c r="A1626">
        <v>325</v>
      </c>
      <c r="B1626" t="s">
        <v>367</v>
      </c>
      <c r="C1626" t="s">
        <v>35</v>
      </c>
      <c r="D1626" t="s">
        <v>19</v>
      </c>
      <c r="E1626" t="s">
        <v>69</v>
      </c>
      <c r="F1626" t="s">
        <v>21</v>
      </c>
      <c r="G1626" t="s">
        <v>75</v>
      </c>
      <c r="H1626" s="1">
        <v>251416</v>
      </c>
      <c r="I1626" s="3">
        <v>720</v>
      </c>
      <c r="J1626" s="3">
        <v>1057293</v>
      </c>
      <c r="K1626" s="3">
        <v>13480.5</v>
      </c>
      <c r="L1626" s="2">
        <v>9</v>
      </c>
      <c r="M1626" s="11">
        <v>35.265240640000002</v>
      </c>
      <c r="N1626" s="3">
        <v>12</v>
      </c>
      <c r="O1626" s="3">
        <v>138377</v>
      </c>
      <c r="P1626" s="3">
        <v>222838</v>
      </c>
      <c r="Q1626" s="10">
        <v>0</v>
      </c>
      <c r="R1626" s="3">
        <f>(Таблица1[Размер кредита]-$AA$2)/$AA$3</f>
        <v>-0.33122668205055139</v>
      </c>
      <c r="S1626" s="3">
        <f>(Таблица1[Кредитный рейтинг]-$AA$7)/($AA$8-$AA$7)</f>
        <v>0.95872170439414117</v>
      </c>
      <c r="T1626" s="3">
        <f>(Таблица1[Срок с последнего нарушения кредитного договора (мес,)]-$AA$12)/($AA$13-$AA$12)</f>
        <v>0.40074137090909095</v>
      </c>
      <c r="U1626" s="3">
        <f>(Таблица1[Количество кредитных карт]-$AA$18)/($AA$19-$AA$18)</f>
        <v>0.26190476190476192</v>
      </c>
      <c r="V1626" s="3">
        <f>(Таблица1[Число нарушений кредитных договоров]-$AA$23)/($AA$24-$AA$23)</f>
        <v>0</v>
      </c>
      <c r="W1626" s="3">
        <f>Таблица1[[#This Row],[Годовой доход]]/12</f>
        <v>88107.75</v>
      </c>
      <c r="X1626" s="3">
        <f>Таблица1[[#This Row],[Ежемесячный платеж]]/Таблица1[[#This Row],[Ежем доход]]</f>
        <v>0.15300016173378619</v>
      </c>
      <c r="Y1626" s="3"/>
      <c r="Z1626" s="3"/>
      <c r="AA1626" s="3"/>
      <c r="AB1626" s="3"/>
    </row>
    <row r="1627" spans="1:28" x14ac:dyDescent="0.2">
      <c r="A1627">
        <v>1641</v>
      </c>
      <c r="B1627" t="s">
        <v>1679</v>
      </c>
      <c r="C1627" t="s">
        <v>35</v>
      </c>
      <c r="D1627" t="s">
        <v>19</v>
      </c>
      <c r="E1627" t="s">
        <v>24</v>
      </c>
      <c r="F1627" t="s">
        <v>21</v>
      </c>
      <c r="G1627" t="s">
        <v>25</v>
      </c>
      <c r="H1627" s="1">
        <v>356444</v>
      </c>
      <c r="I1627" s="3">
        <v>0</v>
      </c>
      <c r="J1627" s="3">
        <v>1168044</v>
      </c>
      <c r="K1627" s="3">
        <v>4368.67</v>
      </c>
      <c r="L1627" s="2">
        <v>14.9</v>
      </c>
      <c r="M1627" s="11">
        <v>35.265240640000002</v>
      </c>
      <c r="N1627" s="3">
        <v>8</v>
      </c>
      <c r="O1627" s="3">
        <v>155306</v>
      </c>
      <c r="P1627" s="3">
        <v>222816</v>
      </c>
      <c r="Q1627" s="10">
        <v>0</v>
      </c>
      <c r="R1627" s="3">
        <f>(Таблица1[Размер кредита]-$AA$2)/$AA$3</f>
        <v>0.26672722462106863</v>
      </c>
      <c r="S1627" s="3">
        <f>(Таблица1[Кредитный рейтинг]-$AA$7)/($AA$8-$AA$7)</f>
        <v>0</v>
      </c>
      <c r="T1627" s="3">
        <f>(Таблица1[Срок с последнего нарушения кредитного договора (мес,)]-$AA$12)/($AA$13-$AA$12)</f>
        <v>0.40074137090909095</v>
      </c>
      <c r="U1627" s="3">
        <f>(Таблица1[Количество кредитных карт]-$AA$18)/($AA$19-$AA$18)</f>
        <v>0.16666666666666666</v>
      </c>
      <c r="V1627" s="3">
        <f>(Таблица1[Число нарушений кредитных договоров]-$AA$23)/($AA$24-$AA$23)</f>
        <v>0</v>
      </c>
      <c r="W1627" s="3">
        <f>Таблица1[[#This Row],[Годовой доход]]/12</f>
        <v>97337</v>
      </c>
      <c r="X1627" s="3">
        <f>Таблица1[[#This Row],[Ежемесячный платеж]]/Таблица1[[#This Row],[Ежем доход]]</f>
        <v>4.4881905133710716E-2</v>
      </c>
      <c r="Y1627" s="3"/>
      <c r="Z1627" s="3"/>
      <c r="AA1627" s="3"/>
      <c r="AB1627" s="3"/>
    </row>
    <row r="1628" spans="1:28" x14ac:dyDescent="0.2">
      <c r="A1628">
        <v>883</v>
      </c>
      <c r="B1628" t="s">
        <v>924</v>
      </c>
      <c r="C1628" t="s">
        <v>18</v>
      </c>
      <c r="D1628" t="s">
        <v>29</v>
      </c>
      <c r="E1628" t="s">
        <v>69</v>
      </c>
      <c r="F1628" t="s">
        <v>21</v>
      </c>
      <c r="G1628" t="s">
        <v>25</v>
      </c>
      <c r="H1628" s="1">
        <v>747736</v>
      </c>
      <c r="I1628" s="3">
        <v>646</v>
      </c>
      <c r="J1628" s="3">
        <v>1538696</v>
      </c>
      <c r="K1628" s="3">
        <v>20644.07</v>
      </c>
      <c r="L1628" s="2">
        <v>18</v>
      </c>
      <c r="M1628" s="11">
        <v>77</v>
      </c>
      <c r="N1628" s="3">
        <v>7</v>
      </c>
      <c r="O1628" s="3">
        <v>167200</v>
      </c>
      <c r="P1628" s="3">
        <v>222772</v>
      </c>
      <c r="Q1628" s="10">
        <v>1</v>
      </c>
      <c r="R1628" s="3">
        <f>(Таблица1[Размер кредита]-$AA$2)/$AA$3</f>
        <v>2.494462495685466</v>
      </c>
      <c r="S1628" s="3">
        <f>(Таблица1[Кредитный рейтинг]-$AA$7)/($AA$8-$AA$7)</f>
        <v>0.86018641810918772</v>
      </c>
      <c r="T1628" s="3">
        <f>(Таблица1[Срок с последнего нарушения кредитного договора (мес,)]-$AA$12)/($AA$13-$AA$12)</f>
        <v>0.875</v>
      </c>
      <c r="U1628" s="3">
        <f>(Таблица1[Количество кредитных карт]-$AA$18)/($AA$19-$AA$18)</f>
        <v>0.14285714285714285</v>
      </c>
      <c r="V1628" s="3">
        <f>(Таблица1[Число нарушений кредитных договоров]-$AA$23)/($AA$24-$AA$23)</f>
        <v>0.14285714285714285</v>
      </c>
      <c r="W1628" s="3">
        <f>Таблица1[[#This Row],[Годовой доход]]/12</f>
        <v>128224.66666666667</v>
      </c>
      <c r="X1628" s="3">
        <f>Таблица1[[#This Row],[Ежемесячный платеж]]/Таблица1[[#This Row],[Ежем доход]]</f>
        <v>0.1609992097204386</v>
      </c>
      <c r="Y1628" s="3"/>
      <c r="Z1628" s="3"/>
      <c r="AA1628" s="3"/>
      <c r="AB1628" s="3"/>
    </row>
    <row r="1629" spans="1:28" x14ac:dyDescent="0.2">
      <c r="A1629">
        <v>770</v>
      </c>
      <c r="B1629" t="s">
        <v>811</v>
      </c>
      <c r="C1629" t="s">
        <v>35</v>
      </c>
      <c r="D1629" t="s">
        <v>19</v>
      </c>
      <c r="E1629" t="s">
        <v>47</v>
      </c>
      <c r="F1629" t="s">
        <v>33</v>
      </c>
      <c r="G1629" t="s">
        <v>67</v>
      </c>
      <c r="H1629" s="1">
        <v>105468</v>
      </c>
      <c r="I1629" s="3">
        <v>738</v>
      </c>
      <c r="J1629" s="3">
        <v>702088</v>
      </c>
      <c r="K1629" s="3">
        <v>1006.24</v>
      </c>
      <c r="L1629" s="2">
        <v>9.4</v>
      </c>
      <c r="M1629" s="11">
        <v>42</v>
      </c>
      <c r="N1629" s="3">
        <v>13</v>
      </c>
      <c r="O1629" s="3">
        <v>28139</v>
      </c>
      <c r="P1629" s="3">
        <v>221650</v>
      </c>
      <c r="Q1629" s="10">
        <v>0</v>
      </c>
      <c r="R1629" s="3">
        <f>(Таблица1[Размер кредита]-$AA$2)/$AA$3</f>
        <v>-1.1621496432695557</v>
      </c>
      <c r="S1629" s="3">
        <f>(Таблица1[Кредитный рейтинг]-$AA$7)/($AA$8-$AA$7)</f>
        <v>0.9826897470039947</v>
      </c>
      <c r="T1629" s="3">
        <f>(Таблица1[Срок с последнего нарушения кредитного договора (мес,)]-$AA$12)/($AA$13-$AA$12)</f>
        <v>0.47727272727272729</v>
      </c>
      <c r="U1629" s="3">
        <f>(Таблица1[Количество кредитных карт]-$AA$18)/($AA$19-$AA$18)</f>
        <v>0.2857142857142857</v>
      </c>
      <c r="V1629" s="3">
        <f>(Таблица1[Число нарушений кредитных договоров]-$AA$23)/($AA$24-$AA$23)</f>
        <v>0</v>
      </c>
      <c r="W1629" s="3">
        <f>Таблица1[[#This Row],[Годовой доход]]/12</f>
        <v>58507.333333333336</v>
      </c>
      <c r="X1629" s="3">
        <f>Таблица1[[#This Row],[Ежемесячный платеж]]/Таблица1[[#This Row],[Ежем доход]]</f>
        <v>1.719852781987443E-2</v>
      </c>
      <c r="Y1629" s="3"/>
      <c r="Z1629" s="3"/>
      <c r="AA1629" s="3"/>
      <c r="AB1629" s="3"/>
    </row>
    <row r="1630" spans="1:28" x14ac:dyDescent="0.2">
      <c r="A1630">
        <v>1618</v>
      </c>
      <c r="B1630" t="s">
        <v>1657</v>
      </c>
      <c r="C1630" t="s">
        <v>18</v>
      </c>
      <c r="D1630" t="s">
        <v>19</v>
      </c>
      <c r="E1630" t="s">
        <v>30</v>
      </c>
      <c r="F1630" t="s">
        <v>33</v>
      </c>
      <c r="G1630" t="s">
        <v>25</v>
      </c>
      <c r="H1630" s="1">
        <v>175934</v>
      </c>
      <c r="I1630" s="3">
        <v>739</v>
      </c>
      <c r="J1630" s="3">
        <v>816677</v>
      </c>
      <c r="K1630" s="3">
        <v>3763.52</v>
      </c>
      <c r="L1630" s="2">
        <v>13.5</v>
      </c>
      <c r="M1630" s="11">
        <v>12</v>
      </c>
      <c r="N1630" s="3">
        <v>5</v>
      </c>
      <c r="O1630" s="3">
        <v>149055</v>
      </c>
      <c r="P1630" s="3">
        <v>221540</v>
      </c>
      <c r="Q1630" s="10">
        <v>0</v>
      </c>
      <c r="R1630" s="3">
        <f>(Таблица1[Размер кредита]-$AA$2)/$AA$3</f>
        <v>-0.76096691116457071</v>
      </c>
      <c r="S1630" s="3">
        <f>(Таблица1[Кредитный рейтинг]-$AA$7)/($AA$8-$AA$7)</f>
        <v>0.98402130492676432</v>
      </c>
      <c r="T1630" s="3">
        <f>(Таблица1[Срок с последнего нарушения кредитного договора (мес,)]-$AA$12)/($AA$13-$AA$12)</f>
        <v>0.13636363636363635</v>
      </c>
      <c r="U1630" s="3">
        <f>(Таблица1[Количество кредитных карт]-$AA$18)/($AA$19-$AA$18)</f>
        <v>9.5238095238095233E-2</v>
      </c>
      <c r="V1630" s="3">
        <f>(Таблица1[Число нарушений кредитных договоров]-$AA$23)/($AA$24-$AA$23)</f>
        <v>0</v>
      </c>
      <c r="W1630" s="3">
        <f>Таблица1[[#This Row],[Годовой доход]]/12</f>
        <v>68056.416666666672</v>
      </c>
      <c r="X1630" s="3">
        <f>Таблица1[[#This Row],[Ежемесячный платеж]]/Таблица1[[#This Row],[Ежем доход]]</f>
        <v>5.5300002326501167E-2</v>
      </c>
      <c r="Y1630" s="3"/>
      <c r="Z1630" s="3"/>
      <c r="AA1630" s="3"/>
      <c r="AB1630" s="3"/>
    </row>
    <row r="1631" spans="1:28" x14ac:dyDescent="0.2">
      <c r="A1631">
        <v>27</v>
      </c>
      <c r="B1631" t="s">
        <v>62</v>
      </c>
      <c r="C1631" t="s">
        <v>18</v>
      </c>
      <c r="D1631" t="s">
        <v>19</v>
      </c>
      <c r="E1631" t="s">
        <v>63</v>
      </c>
      <c r="F1631" t="s">
        <v>33</v>
      </c>
      <c r="G1631" t="s">
        <v>25</v>
      </c>
      <c r="H1631" s="1">
        <v>309594.52439999999</v>
      </c>
      <c r="I1631" s="3">
        <v>724</v>
      </c>
      <c r="J1631" s="3">
        <v>1029857</v>
      </c>
      <c r="K1631" s="3">
        <v>13817.18</v>
      </c>
      <c r="L1631" s="2">
        <v>12</v>
      </c>
      <c r="M1631" s="11">
        <v>35.265240640000002</v>
      </c>
      <c r="N1631" s="3">
        <v>6</v>
      </c>
      <c r="O1631" s="3">
        <v>138339</v>
      </c>
      <c r="P1631" s="3">
        <v>221232</v>
      </c>
      <c r="Q1631" s="10">
        <v>0</v>
      </c>
      <c r="R1631" s="3">
        <f>(Таблица1[Размер кредита]-$AA$2)/$AA$3</f>
        <v>-1.2411115481956205E-10</v>
      </c>
      <c r="S1631" s="3">
        <f>(Таблица1[Кредитный рейтинг]-$AA$7)/($AA$8-$AA$7)</f>
        <v>0.96404793608521966</v>
      </c>
      <c r="T1631" s="3">
        <f>(Таблица1[Срок с последнего нарушения кредитного договора (мес,)]-$AA$12)/($AA$13-$AA$12)</f>
        <v>0.40074137090909095</v>
      </c>
      <c r="U1631" s="3">
        <f>(Таблица1[Количество кредитных карт]-$AA$18)/($AA$19-$AA$18)</f>
        <v>0.11904761904761904</v>
      </c>
      <c r="V1631" s="3">
        <f>(Таблица1[Число нарушений кредитных договоров]-$AA$23)/($AA$24-$AA$23)</f>
        <v>0</v>
      </c>
      <c r="W1631" s="3">
        <f>Таблица1[[#This Row],[Годовой доход]]/12</f>
        <v>85821.416666666672</v>
      </c>
      <c r="X1631" s="3">
        <f>Таблица1[[#This Row],[Ежемесячный платеж]]/Таблица1[[#This Row],[Ежем доход]]</f>
        <v>0.16099920668597678</v>
      </c>
      <c r="Y1631" s="3"/>
      <c r="Z1631" s="3"/>
      <c r="AA1631" s="3"/>
      <c r="AB1631" s="3"/>
    </row>
    <row r="1632" spans="1:28" x14ac:dyDescent="0.2">
      <c r="A1632">
        <v>599</v>
      </c>
      <c r="B1632" t="s">
        <v>640</v>
      </c>
      <c r="C1632" t="s">
        <v>18</v>
      </c>
      <c r="D1632" t="s">
        <v>19</v>
      </c>
      <c r="E1632" t="s">
        <v>32</v>
      </c>
      <c r="F1632" t="s">
        <v>21</v>
      </c>
      <c r="G1632" t="s">
        <v>25</v>
      </c>
      <c r="H1632" s="1">
        <v>152416</v>
      </c>
      <c r="I1632" s="3">
        <v>747</v>
      </c>
      <c r="J1632" s="3">
        <v>637241</v>
      </c>
      <c r="K1632" s="3">
        <v>12521.76</v>
      </c>
      <c r="L1632" s="2">
        <v>19.8</v>
      </c>
      <c r="M1632" s="11">
        <v>35.265240640000002</v>
      </c>
      <c r="N1632" s="3">
        <v>9</v>
      </c>
      <c r="O1632" s="3">
        <v>120118</v>
      </c>
      <c r="P1632" s="3">
        <v>221122</v>
      </c>
      <c r="Q1632" s="10">
        <v>1</v>
      </c>
      <c r="R1632" s="3">
        <f>(Таблица1[Размер кредита]-$AA$2)/$AA$3</f>
        <v>-0.89486149143938465</v>
      </c>
      <c r="S1632" s="3">
        <f>(Таблица1[Кредитный рейтинг]-$AA$7)/($AA$8-$AA$7)</f>
        <v>0.9946737683089214</v>
      </c>
      <c r="T1632" s="3">
        <f>(Таблица1[Срок с последнего нарушения кредитного договора (мес,)]-$AA$12)/($AA$13-$AA$12)</f>
        <v>0.40074137090909095</v>
      </c>
      <c r="U1632" s="3">
        <f>(Таблица1[Количество кредитных карт]-$AA$18)/($AA$19-$AA$18)</f>
        <v>0.19047619047619047</v>
      </c>
      <c r="V1632" s="3">
        <f>(Таблица1[Число нарушений кредитных договоров]-$AA$23)/($AA$24-$AA$23)</f>
        <v>0.14285714285714285</v>
      </c>
      <c r="W1632" s="3">
        <f>Таблица1[[#This Row],[Годовой доход]]/12</f>
        <v>53103.416666666664</v>
      </c>
      <c r="X1632" s="3">
        <f>Таблица1[[#This Row],[Ежемесячный платеж]]/Таблица1[[#This Row],[Ежем доход]]</f>
        <v>0.23579951698023199</v>
      </c>
      <c r="Y1632" s="3"/>
      <c r="Z1632" s="3"/>
      <c r="AA1632" s="3"/>
      <c r="AB1632" s="3"/>
    </row>
    <row r="1633" spans="1:28" x14ac:dyDescent="0.2">
      <c r="A1633">
        <v>1333</v>
      </c>
      <c r="B1633" t="s">
        <v>1372</v>
      </c>
      <c r="C1633" t="s">
        <v>18</v>
      </c>
      <c r="D1633" t="s">
        <v>19</v>
      </c>
      <c r="E1633" t="s">
        <v>24</v>
      </c>
      <c r="F1633" t="s">
        <v>21</v>
      </c>
      <c r="G1633" t="s">
        <v>25</v>
      </c>
      <c r="H1633" s="1">
        <v>112706</v>
      </c>
      <c r="I1633" s="3">
        <v>744</v>
      </c>
      <c r="J1633" s="3">
        <v>973275</v>
      </c>
      <c r="K1633" s="3">
        <v>7688.92</v>
      </c>
      <c r="L1633" s="2">
        <v>13</v>
      </c>
      <c r="M1633" s="11">
        <v>14</v>
      </c>
      <c r="N1633" s="3">
        <v>9</v>
      </c>
      <c r="O1633" s="3">
        <v>99750</v>
      </c>
      <c r="P1633" s="3">
        <v>220814</v>
      </c>
      <c r="Q1633" s="10">
        <v>0</v>
      </c>
      <c r="R1633" s="3">
        <f>(Таблица1[Размер кредита]-$AA$2)/$AA$3</f>
        <v>-1.1209416760942388</v>
      </c>
      <c r="S1633" s="3">
        <f>(Таблица1[Кредитный рейтинг]-$AA$7)/($AA$8-$AA$7)</f>
        <v>0.99067909454061254</v>
      </c>
      <c r="T1633" s="3">
        <f>(Таблица1[Срок с последнего нарушения кредитного договора (мес,)]-$AA$12)/($AA$13-$AA$12)</f>
        <v>0.15909090909090909</v>
      </c>
      <c r="U1633" s="3">
        <f>(Таблица1[Количество кредитных карт]-$AA$18)/($AA$19-$AA$18)</f>
        <v>0.19047619047619047</v>
      </c>
      <c r="V1633" s="3">
        <f>(Таблица1[Число нарушений кредитных договоров]-$AA$23)/($AA$24-$AA$23)</f>
        <v>0</v>
      </c>
      <c r="W1633" s="3">
        <f>Таблица1[[#This Row],[Годовой доход]]/12</f>
        <v>81106.25</v>
      </c>
      <c r="X1633" s="3">
        <f>Таблица1[[#This Row],[Ежемесячный платеж]]/Таблица1[[#This Row],[Ежем доход]]</f>
        <v>9.4800585651537331E-2</v>
      </c>
      <c r="Y1633" s="3"/>
      <c r="Z1633" s="3"/>
      <c r="AA1633" s="3"/>
      <c r="AB1633" s="3"/>
    </row>
    <row r="1634" spans="1:28" x14ac:dyDescent="0.2">
      <c r="A1634">
        <v>13</v>
      </c>
      <c r="B1634" t="s">
        <v>45</v>
      </c>
      <c r="C1634" t="s">
        <v>18</v>
      </c>
      <c r="D1634" t="s">
        <v>19</v>
      </c>
      <c r="E1634" t="s">
        <v>37</v>
      </c>
      <c r="F1634" t="s">
        <v>27</v>
      </c>
      <c r="G1634" t="s">
        <v>25</v>
      </c>
      <c r="H1634" s="1">
        <v>309594.52439999999</v>
      </c>
      <c r="I1634" s="3">
        <v>740</v>
      </c>
      <c r="J1634" s="3">
        <v>776188</v>
      </c>
      <c r="K1634" s="3">
        <v>11578.22</v>
      </c>
      <c r="L1634" s="2">
        <v>8.5</v>
      </c>
      <c r="M1634" s="11">
        <v>25</v>
      </c>
      <c r="N1634" s="3">
        <v>6</v>
      </c>
      <c r="O1634" s="3">
        <v>134083</v>
      </c>
      <c r="P1634" s="3">
        <v>220220</v>
      </c>
      <c r="Q1634" s="10">
        <v>0</v>
      </c>
      <c r="R1634" s="3">
        <f>(Таблица1[Размер кредита]-$AA$2)/$AA$3</f>
        <v>-1.2411115481956205E-10</v>
      </c>
      <c r="S1634" s="3">
        <f>(Таблица1[Кредитный рейтинг]-$AA$7)/($AA$8-$AA$7)</f>
        <v>0.98535286284953394</v>
      </c>
      <c r="T1634" s="3">
        <f>(Таблица1[Срок с последнего нарушения кредитного договора (мес,)]-$AA$12)/($AA$13-$AA$12)</f>
        <v>0.28409090909090912</v>
      </c>
      <c r="U1634" s="3">
        <f>(Таблица1[Количество кредитных карт]-$AA$18)/($AA$19-$AA$18)</f>
        <v>0.11904761904761904</v>
      </c>
      <c r="V1634" s="3">
        <f>(Таблица1[Число нарушений кредитных договоров]-$AA$23)/($AA$24-$AA$23)</f>
        <v>0</v>
      </c>
      <c r="W1634" s="3">
        <f>Таблица1[[#This Row],[Годовой доход]]/12</f>
        <v>64682.333333333336</v>
      </c>
      <c r="X1634" s="3">
        <f>Таблица1[[#This Row],[Ежемесячный платеж]]/Таблица1[[#This Row],[Ежем доход]]</f>
        <v>0.17900127288749632</v>
      </c>
      <c r="Y1634" s="3"/>
      <c r="Z1634" s="3"/>
      <c r="AA1634" s="3"/>
      <c r="AB1634" s="3"/>
    </row>
    <row r="1635" spans="1:28" x14ac:dyDescent="0.2">
      <c r="A1635">
        <v>309</v>
      </c>
      <c r="B1635" t="s">
        <v>351</v>
      </c>
      <c r="C1635" t="s">
        <v>18</v>
      </c>
      <c r="D1635" t="s">
        <v>19</v>
      </c>
      <c r="E1635" t="s">
        <v>47</v>
      </c>
      <c r="F1635" t="s">
        <v>33</v>
      </c>
      <c r="G1635" t="s">
        <v>67</v>
      </c>
      <c r="H1635" s="1">
        <v>309594.52439999999</v>
      </c>
      <c r="I1635" s="3">
        <v>750</v>
      </c>
      <c r="J1635" s="3">
        <v>931095</v>
      </c>
      <c r="K1635" s="3">
        <v>2498.5</v>
      </c>
      <c r="L1635" s="2">
        <v>15.5</v>
      </c>
      <c r="M1635" s="11">
        <v>35.265240640000002</v>
      </c>
      <c r="N1635" s="3">
        <v>5</v>
      </c>
      <c r="O1635" s="3">
        <v>71459</v>
      </c>
      <c r="P1635" s="3">
        <v>220044</v>
      </c>
      <c r="Q1635" s="10">
        <v>0</v>
      </c>
      <c r="R1635" s="3">
        <f>(Таблица1[Размер кредита]-$AA$2)/$AA$3</f>
        <v>-1.2411115481956205E-10</v>
      </c>
      <c r="S1635" s="3">
        <f>(Таблица1[Кредитный рейтинг]-$AA$7)/($AA$8-$AA$7)</f>
        <v>0.99866844207723038</v>
      </c>
      <c r="T1635" s="3">
        <f>(Таблица1[Срок с последнего нарушения кредитного договора (мес,)]-$AA$12)/($AA$13-$AA$12)</f>
        <v>0.40074137090909095</v>
      </c>
      <c r="U1635" s="3">
        <f>(Таблица1[Количество кредитных карт]-$AA$18)/($AA$19-$AA$18)</f>
        <v>9.5238095238095233E-2</v>
      </c>
      <c r="V1635" s="3">
        <f>(Таблица1[Число нарушений кредитных договоров]-$AA$23)/($AA$24-$AA$23)</f>
        <v>0</v>
      </c>
      <c r="W1635" s="3">
        <f>Таблица1[[#This Row],[Годовой доход]]/12</f>
        <v>77591.25</v>
      </c>
      <c r="X1635" s="3">
        <f>Таблица1[[#This Row],[Ежемесячный платеж]]/Таблица1[[#This Row],[Ежем доход]]</f>
        <v>3.2200795837159471E-2</v>
      </c>
      <c r="Y1635" s="3"/>
      <c r="Z1635" s="3"/>
      <c r="AA1635" s="3"/>
      <c r="AB1635" s="3"/>
    </row>
    <row r="1636" spans="1:28" x14ac:dyDescent="0.2">
      <c r="A1636">
        <v>338</v>
      </c>
      <c r="B1636" t="s">
        <v>380</v>
      </c>
      <c r="C1636" t="s">
        <v>18</v>
      </c>
      <c r="D1636" t="s">
        <v>29</v>
      </c>
      <c r="E1636" t="s">
        <v>69</v>
      </c>
      <c r="F1636" t="s">
        <v>21</v>
      </c>
      <c r="G1636" t="s">
        <v>25</v>
      </c>
      <c r="H1636" s="1">
        <v>440132</v>
      </c>
      <c r="I1636" s="3">
        <v>676</v>
      </c>
      <c r="J1636" s="3">
        <v>1292380</v>
      </c>
      <c r="K1636" s="3">
        <v>4157.2</v>
      </c>
      <c r="L1636" s="2">
        <v>15.6</v>
      </c>
      <c r="M1636" s="11">
        <v>69</v>
      </c>
      <c r="N1636" s="3">
        <v>3</v>
      </c>
      <c r="O1636" s="3">
        <v>150822</v>
      </c>
      <c r="P1636" s="3">
        <v>219956</v>
      </c>
      <c r="Q1636" s="10">
        <v>0</v>
      </c>
      <c r="R1636" s="3">
        <f>(Таблица1[Размер кредита]-$AA$2)/$AA$3</f>
        <v>0.74318651682442893</v>
      </c>
      <c r="S1636" s="3">
        <f>(Таблица1[Кредитный рейтинг]-$AA$7)/($AA$8-$AA$7)</f>
        <v>0.90013315579227693</v>
      </c>
      <c r="T1636" s="3">
        <f>(Таблица1[Срок с последнего нарушения кредитного договора (мес,)]-$AA$12)/($AA$13-$AA$12)</f>
        <v>0.78409090909090906</v>
      </c>
      <c r="U1636" s="3">
        <f>(Таблица1[Количество кредитных карт]-$AA$18)/($AA$19-$AA$18)</f>
        <v>4.7619047619047616E-2</v>
      </c>
      <c r="V1636" s="3">
        <f>(Таблица1[Число нарушений кредитных договоров]-$AA$23)/($AA$24-$AA$23)</f>
        <v>0</v>
      </c>
      <c r="W1636" s="3">
        <f>Таблица1[[#This Row],[Годовой доход]]/12</f>
        <v>107698.33333333333</v>
      </c>
      <c r="X1636" s="3">
        <f>Таблица1[[#This Row],[Ежемесячный платеж]]/Таблица1[[#This Row],[Ежем доход]]</f>
        <v>3.8600411643634223E-2</v>
      </c>
      <c r="Y1636" s="3"/>
      <c r="Z1636" s="3"/>
      <c r="AA1636" s="3"/>
      <c r="AB1636" s="3"/>
    </row>
    <row r="1637" spans="1:28" x14ac:dyDescent="0.2">
      <c r="A1637">
        <v>841</v>
      </c>
      <c r="B1637" t="s">
        <v>882</v>
      </c>
      <c r="C1637" t="s">
        <v>18</v>
      </c>
      <c r="D1637" t="s">
        <v>19</v>
      </c>
      <c r="E1637" t="s">
        <v>47</v>
      </c>
      <c r="F1637" t="s">
        <v>33</v>
      </c>
      <c r="G1637" t="s">
        <v>25</v>
      </c>
      <c r="H1637" s="1">
        <v>224092</v>
      </c>
      <c r="I1637" s="3">
        <v>721</v>
      </c>
      <c r="J1637" s="3">
        <v>696730</v>
      </c>
      <c r="K1637" s="3">
        <v>10683.13</v>
      </c>
      <c r="L1637" s="2">
        <v>7.7</v>
      </c>
      <c r="M1637" s="11">
        <v>35.265240640000002</v>
      </c>
      <c r="N1637" s="3">
        <v>7</v>
      </c>
      <c r="O1637" s="3">
        <v>119377</v>
      </c>
      <c r="P1637" s="3">
        <v>219736</v>
      </c>
      <c r="Q1637" s="10">
        <v>0</v>
      </c>
      <c r="R1637" s="3">
        <f>(Таблица1[Размер кредита]-$AA$2)/$AA$3</f>
        <v>-0.48678988944186935</v>
      </c>
      <c r="S1637" s="3">
        <f>(Таблица1[Кредитный рейтинг]-$AA$7)/($AA$8-$AA$7)</f>
        <v>0.96005326231691079</v>
      </c>
      <c r="T1637" s="3">
        <f>(Таблица1[Срок с последнего нарушения кредитного договора (мес,)]-$AA$12)/($AA$13-$AA$12)</f>
        <v>0.40074137090909095</v>
      </c>
      <c r="U1637" s="3">
        <f>(Таблица1[Количество кредитных карт]-$AA$18)/($AA$19-$AA$18)</f>
        <v>0.14285714285714285</v>
      </c>
      <c r="V1637" s="3">
        <f>(Таблица1[Число нарушений кредитных договоров]-$AA$23)/($AA$24-$AA$23)</f>
        <v>0</v>
      </c>
      <c r="W1637" s="3">
        <f>Таблица1[[#This Row],[Годовой доход]]/12</f>
        <v>58060.833333333336</v>
      </c>
      <c r="X1637" s="3">
        <f>Таблица1[[#This Row],[Ежемесячный платеж]]/Таблица1[[#This Row],[Ежем доход]]</f>
        <v>0.18399890919007361</v>
      </c>
      <c r="Y1637" s="3"/>
      <c r="Z1637" s="3"/>
      <c r="AA1637" s="3"/>
      <c r="AB1637" s="3"/>
    </row>
    <row r="1638" spans="1:28" x14ac:dyDescent="0.2">
      <c r="A1638">
        <v>158</v>
      </c>
      <c r="B1638" t="s">
        <v>200</v>
      </c>
      <c r="C1638" t="s">
        <v>18</v>
      </c>
      <c r="D1638" t="s">
        <v>19</v>
      </c>
      <c r="E1638" t="s">
        <v>52</v>
      </c>
      <c r="F1638" t="s">
        <v>33</v>
      </c>
      <c r="G1638" t="s">
        <v>25</v>
      </c>
      <c r="H1638" s="1">
        <v>151954</v>
      </c>
      <c r="I1638" s="3">
        <v>707</v>
      </c>
      <c r="J1638" s="3">
        <v>562419</v>
      </c>
      <c r="K1638" s="3">
        <v>14341.77</v>
      </c>
      <c r="L1638" s="2">
        <v>12.5</v>
      </c>
      <c r="M1638" s="11">
        <v>35.265240640000002</v>
      </c>
      <c r="N1638" s="3">
        <v>9</v>
      </c>
      <c r="O1638" s="3">
        <v>107692</v>
      </c>
      <c r="P1638" s="3">
        <v>219142</v>
      </c>
      <c r="Q1638" s="10">
        <v>1</v>
      </c>
      <c r="R1638" s="3">
        <f>(Таблица1[Размер кредита]-$AA$2)/$AA$3</f>
        <v>-0.89749178721653244</v>
      </c>
      <c r="S1638" s="3">
        <f>(Таблица1[Кредитный рейтинг]-$AA$7)/($AA$8-$AA$7)</f>
        <v>0.94141145139813587</v>
      </c>
      <c r="T1638" s="3">
        <f>(Таблица1[Срок с последнего нарушения кредитного договора (мес,)]-$AA$12)/($AA$13-$AA$12)</f>
        <v>0.40074137090909095</v>
      </c>
      <c r="U1638" s="3">
        <f>(Таблица1[Количество кредитных карт]-$AA$18)/($AA$19-$AA$18)</f>
        <v>0.19047619047619047</v>
      </c>
      <c r="V1638" s="3">
        <f>(Таблица1[Число нарушений кредитных договоров]-$AA$23)/($AA$24-$AA$23)</f>
        <v>0.14285714285714285</v>
      </c>
      <c r="W1638" s="3">
        <f>Таблица1[[#This Row],[Годовой доход]]/12</f>
        <v>46868.25</v>
      </c>
      <c r="X1638" s="3">
        <f>Таблица1[[#This Row],[Ежемесячный платеж]]/Таблица1[[#This Row],[Ежем доход]]</f>
        <v>0.30600182426269384</v>
      </c>
      <c r="Y1638" s="3"/>
      <c r="Z1638" s="3"/>
      <c r="AA1638" s="3"/>
      <c r="AB1638" s="3"/>
    </row>
    <row r="1639" spans="1:28" x14ac:dyDescent="0.2">
      <c r="A1639">
        <v>1658</v>
      </c>
      <c r="B1639" t="s">
        <v>1696</v>
      </c>
      <c r="C1639" t="s">
        <v>18</v>
      </c>
      <c r="D1639" t="s">
        <v>29</v>
      </c>
      <c r="E1639" t="s">
        <v>30</v>
      </c>
      <c r="F1639" t="s">
        <v>33</v>
      </c>
      <c r="G1639" t="s">
        <v>25</v>
      </c>
      <c r="H1639" s="1">
        <v>222002</v>
      </c>
      <c r="I1639" s="3">
        <v>0</v>
      </c>
      <c r="J1639" s="3">
        <v>1168044</v>
      </c>
      <c r="K1639" s="3">
        <v>11690.13</v>
      </c>
      <c r="L1639" s="2">
        <v>8.5</v>
      </c>
      <c r="M1639" s="11">
        <v>35.265240640000002</v>
      </c>
      <c r="N1639" s="3">
        <v>5</v>
      </c>
      <c r="O1639" s="3">
        <v>155743</v>
      </c>
      <c r="P1639" s="3">
        <v>217536</v>
      </c>
      <c r="Q1639" s="10">
        <v>0</v>
      </c>
      <c r="R1639" s="3">
        <f>(Таблица1[Размер кредита]-$AA$2)/$AA$3</f>
        <v>-0.49868884652896694</v>
      </c>
      <c r="S1639" s="3">
        <f>(Таблица1[Кредитный рейтинг]-$AA$7)/($AA$8-$AA$7)</f>
        <v>0</v>
      </c>
      <c r="T1639" s="3">
        <f>(Таблица1[Срок с последнего нарушения кредитного договора (мес,)]-$AA$12)/($AA$13-$AA$12)</f>
        <v>0.40074137090909095</v>
      </c>
      <c r="U1639" s="3">
        <f>(Таблица1[Количество кредитных карт]-$AA$18)/($AA$19-$AA$18)</f>
        <v>9.5238095238095233E-2</v>
      </c>
      <c r="V1639" s="3">
        <f>(Таблица1[Число нарушений кредитных договоров]-$AA$23)/($AA$24-$AA$23)</f>
        <v>0</v>
      </c>
      <c r="W1639" s="3">
        <f>Таблица1[[#This Row],[Годовой доход]]/12</f>
        <v>97337</v>
      </c>
      <c r="X1639" s="3">
        <f>Таблица1[[#This Row],[Ежемесячный платеж]]/Таблица1[[#This Row],[Ежем доход]]</f>
        <v>0.12009955104430997</v>
      </c>
      <c r="Y1639" s="3"/>
      <c r="Z1639" s="3"/>
      <c r="AA1639" s="3"/>
      <c r="AB1639" s="3"/>
    </row>
    <row r="1640" spans="1:28" x14ac:dyDescent="0.2">
      <c r="A1640">
        <v>374</v>
      </c>
      <c r="B1640" t="s">
        <v>416</v>
      </c>
      <c r="C1640" t="s">
        <v>18</v>
      </c>
      <c r="D1640" t="s">
        <v>19</v>
      </c>
      <c r="E1640" t="s">
        <v>30</v>
      </c>
      <c r="F1640" t="s">
        <v>21</v>
      </c>
      <c r="G1640" t="s">
        <v>25</v>
      </c>
      <c r="H1640" s="1">
        <v>309594.52439999999</v>
      </c>
      <c r="I1640" s="3">
        <v>734</v>
      </c>
      <c r="J1640" s="3">
        <v>950399</v>
      </c>
      <c r="K1640" s="3">
        <v>17344.72</v>
      </c>
      <c r="L1640" s="2">
        <v>14.2</v>
      </c>
      <c r="M1640" s="11">
        <v>35.265240640000002</v>
      </c>
      <c r="N1640" s="3">
        <v>11</v>
      </c>
      <c r="O1640" s="3">
        <v>139897</v>
      </c>
      <c r="P1640" s="3">
        <v>217448</v>
      </c>
      <c r="Q1640" s="10">
        <v>0</v>
      </c>
      <c r="R1640" s="3">
        <f>(Таблица1[Размер кредита]-$AA$2)/$AA$3</f>
        <v>-1.2411115481956205E-10</v>
      </c>
      <c r="S1640" s="3">
        <f>(Таблица1[Кредитный рейтинг]-$AA$7)/($AA$8-$AA$7)</f>
        <v>0.9773635153129161</v>
      </c>
      <c r="T1640" s="3">
        <f>(Таблица1[Срок с последнего нарушения кредитного договора (мес,)]-$AA$12)/($AA$13-$AA$12)</f>
        <v>0.40074137090909095</v>
      </c>
      <c r="U1640" s="3">
        <f>(Таблица1[Количество кредитных карт]-$AA$18)/($AA$19-$AA$18)</f>
        <v>0.23809523809523808</v>
      </c>
      <c r="V1640" s="3">
        <f>(Таблица1[Число нарушений кредитных договоров]-$AA$23)/($AA$24-$AA$23)</f>
        <v>0</v>
      </c>
      <c r="W1640" s="3">
        <f>Таблица1[[#This Row],[Годовой доход]]/12</f>
        <v>79199.916666666672</v>
      </c>
      <c r="X1640" s="3">
        <f>Таблица1[[#This Row],[Ежемесячный платеж]]/Таблица1[[#This Row],[Ежем доход]]</f>
        <v>0.21899922032746247</v>
      </c>
      <c r="Y1640" s="3"/>
      <c r="Z1640" s="3"/>
      <c r="AA1640" s="3"/>
      <c r="AB1640" s="3"/>
    </row>
    <row r="1641" spans="1:28" x14ac:dyDescent="0.2">
      <c r="A1641">
        <v>713</v>
      </c>
      <c r="B1641" t="s">
        <v>754</v>
      </c>
      <c r="C1641" t="s">
        <v>18</v>
      </c>
      <c r="D1641" t="s">
        <v>19</v>
      </c>
      <c r="E1641" t="s">
        <v>24</v>
      </c>
      <c r="F1641" t="s">
        <v>33</v>
      </c>
      <c r="G1641" t="s">
        <v>25</v>
      </c>
      <c r="H1641" s="1">
        <v>82610</v>
      </c>
      <c r="I1641" s="3">
        <v>0</v>
      </c>
      <c r="J1641" s="3">
        <v>1168044</v>
      </c>
      <c r="K1641" s="3">
        <v>7767.2</v>
      </c>
      <c r="L1641" s="2">
        <v>22.2</v>
      </c>
      <c r="M1641" s="11">
        <v>35.265240640000002</v>
      </c>
      <c r="N1641" s="3">
        <v>4</v>
      </c>
      <c r="O1641" s="3">
        <v>48108</v>
      </c>
      <c r="P1641" s="3">
        <v>216766</v>
      </c>
      <c r="Q1641" s="10">
        <v>0</v>
      </c>
      <c r="R1641" s="3">
        <f>(Таблица1[Размер кредита]-$AA$2)/$AA$3</f>
        <v>-1.2922866581484442</v>
      </c>
      <c r="S1641" s="3">
        <f>(Таблица1[Кредитный рейтинг]-$AA$7)/($AA$8-$AA$7)</f>
        <v>0</v>
      </c>
      <c r="T1641" s="3">
        <f>(Таблица1[Срок с последнего нарушения кредитного договора (мес,)]-$AA$12)/($AA$13-$AA$12)</f>
        <v>0.40074137090909095</v>
      </c>
      <c r="U1641" s="3">
        <f>(Таблица1[Количество кредитных карт]-$AA$18)/($AA$19-$AA$18)</f>
        <v>7.1428571428571425E-2</v>
      </c>
      <c r="V1641" s="3">
        <f>(Таблица1[Число нарушений кредитных договоров]-$AA$23)/($AA$24-$AA$23)</f>
        <v>0</v>
      </c>
      <c r="W1641" s="3">
        <f>Таблица1[[#This Row],[Годовой доход]]/12</f>
        <v>97337</v>
      </c>
      <c r="X1641" s="3">
        <f>Таблица1[[#This Row],[Ежемесячный платеж]]/Таблица1[[#This Row],[Ежем доход]]</f>
        <v>7.9796993948858086E-2</v>
      </c>
      <c r="Y1641" s="3"/>
      <c r="Z1641" s="3"/>
      <c r="AA1641" s="3"/>
      <c r="AB1641" s="3"/>
    </row>
    <row r="1642" spans="1:28" x14ac:dyDescent="0.2">
      <c r="A1642">
        <v>1053</v>
      </c>
      <c r="B1642" t="s">
        <v>1092</v>
      </c>
      <c r="C1642" t="s">
        <v>18</v>
      </c>
      <c r="D1642" t="s">
        <v>19</v>
      </c>
      <c r="E1642" t="s">
        <v>63</v>
      </c>
      <c r="F1642" t="s">
        <v>21</v>
      </c>
      <c r="G1642" t="s">
        <v>25</v>
      </c>
      <c r="H1642" s="1">
        <v>142186</v>
      </c>
      <c r="I1642" s="3">
        <v>705</v>
      </c>
      <c r="J1642" s="3">
        <v>793459</v>
      </c>
      <c r="K1642" s="3">
        <v>16464.07</v>
      </c>
      <c r="L1642" s="2">
        <v>28.9</v>
      </c>
      <c r="M1642" s="11">
        <v>62</v>
      </c>
      <c r="N1642" s="3">
        <v>8</v>
      </c>
      <c r="O1642" s="3">
        <v>85291</v>
      </c>
      <c r="P1642" s="3">
        <v>216590</v>
      </c>
      <c r="Q1642" s="10">
        <v>1</v>
      </c>
      <c r="R1642" s="3">
        <f>(Таблица1[Размер кредита]-$AA$2)/$AA$3</f>
        <v>-0.95310375507623069</v>
      </c>
      <c r="S1642" s="3">
        <f>(Таблица1[Кредитный рейтинг]-$AA$7)/($AA$8-$AA$7)</f>
        <v>0.93874833555259651</v>
      </c>
      <c r="T1642" s="3">
        <f>(Таблица1[Срок с последнего нарушения кредитного договора (мес,)]-$AA$12)/($AA$13-$AA$12)</f>
        <v>0.70454545454545459</v>
      </c>
      <c r="U1642" s="3">
        <f>(Таблица1[Количество кредитных карт]-$AA$18)/($AA$19-$AA$18)</f>
        <v>0.16666666666666666</v>
      </c>
      <c r="V1642" s="3">
        <f>(Таблица1[Число нарушений кредитных договоров]-$AA$23)/($AA$24-$AA$23)</f>
        <v>0.14285714285714285</v>
      </c>
      <c r="W1642" s="3">
        <f>Таблица1[[#This Row],[Годовой доход]]/12</f>
        <v>66121.583333333328</v>
      </c>
      <c r="X1642" s="3">
        <f>Таблица1[[#This Row],[Ежемесячный платеж]]/Таблица1[[#This Row],[Ежем доход]]</f>
        <v>0.24899691099351071</v>
      </c>
      <c r="Y1642" s="3"/>
      <c r="Z1642" s="3"/>
      <c r="AA1642" s="3"/>
      <c r="AB1642" s="3"/>
    </row>
    <row r="1643" spans="1:28" x14ac:dyDescent="0.2">
      <c r="A1643">
        <v>82</v>
      </c>
      <c r="B1643" t="s">
        <v>124</v>
      </c>
      <c r="C1643" t="s">
        <v>18</v>
      </c>
      <c r="D1643" t="s">
        <v>19</v>
      </c>
      <c r="E1643" t="s">
        <v>37</v>
      </c>
      <c r="F1643" t="s">
        <v>21</v>
      </c>
      <c r="G1643" t="s">
        <v>67</v>
      </c>
      <c r="H1643" s="1">
        <v>89320</v>
      </c>
      <c r="I1643" s="3">
        <v>748</v>
      </c>
      <c r="J1643" s="3">
        <v>1832075</v>
      </c>
      <c r="K1643" s="3">
        <v>13312.92</v>
      </c>
      <c r="L1643" s="2">
        <v>19</v>
      </c>
      <c r="M1643" s="11">
        <v>35.265240640000002</v>
      </c>
      <c r="N1643" s="3">
        <v>6</v>
      </c>
      <c r="O1643" s="3">
        <v>127946</v>
      </c>
      <c r="P1643" s="3">
        <v>216260</v>
      </c>
      <c r="Q1643" s="10">
        <v>0</v>
      </c>
      <c r="R1643" s="3">
        <f>(Таблица1[Размер кредита]-$AA$2)/$AA$3</f>
        <v>-1.2540847432898676</v>
      </c>
      <c r="S1643" s="3">
        <f>(Таблица1[Кредитный рейтинг]-$AA$7)/($AA$8-$AA$7)</f>
        <v>0.99600532623169102</v>
      </c>
      <c r="T1643" s="3">
        <f>(Таблица1[Срок с последнего нарушения кредитного договора (мес,)]-$AA$12)/($AA$13-$AA$12)</f>
        <v>0.40074137090909095</v>
      </c>
      <c r="U1643" s="3">
        <f>(Таблица1[Количество кредитных карт]-$AA$18)/($AA$19-$AA$18)</f>
        <v>0.11904761904761904</v>
      </c>
      <c r="V1643" s="3">
        <f>(Таблица1[Число нарушений кредитных договоров]-$AA$23)/($AA$24-$AA$23)</f>
        <v>0</v>
      </c>
      <c r="W1643" s="3">
        <f>Таблица1[[#This Row],[Годовой доход]]/12</f>
        <v>152672.91666666666</v>
      </c>
      <c r="X1643" s="3">
        <f>Таблица1[[#This Row],[Ежемесячный платеж]]/Таблица1[[#This Row],[Ежем доход]]</f>
        <v>8.7198962924552773E-2</v>
      </c>
      <c r="Y1643" s="3"/>
      <c r="Z1643" s="3"/>
      <c r="AA1643" s="3"/>
      <c r="AB1643" s="3"/>
    </row>
    <row r="1644" spans="1:28" x14ac:dyDescent="0.2">
      <c r="A1644">
        <v>1491</v>
      </c>
      <c r="B1644" t="s">
        <v>1530</v>
      </c>
      <c r="C1644" t="s">
        <v>18</v>
      </c>
      <c r="D1644" t="s">
        <v>29</v>
      </c>
      <c r="E1644" t="s">
        <v>37</v>
      </c>
      <c r="F1644" t="s">
        <v>21</v>
      </c>
      <c r="G1644" t="s">
        <v>25</v>
      </c>
      <c r="H1644" s="1">
        <v>309594.52439999999</v>
      </c>
      <c r="I1644" s="3">
        <v>738</v>
      </c>
      <c r="J1644" s="3">
        <v>1678878</v>
      </c>
      <c r="K1644" s="3">
        <v>17908.07</v>
      </c>
      <c r="L1644" s="2">
        <v>22</v>
      </c>
      <c r="M1644" s="11">
        <v>41</v>
      </c>
      <c r="N1644" s="3">
        <v>7</v>
      </c>
      <c r="O1644" s="3">
        <v>93879</v>
      </c>
      <c r="P1644" s="3">
        <v>216128</v>
      </c>
      <c r="Q1644" s="10">
        <v>0</v>
      </c>
      <c r="R1644" s="3">
        <f>(Таблица1[Размер кредита]-$AA$2)/$AA$3</f>
        <v>-1.2411115481956205E-10</v>
      </c>
      <c r="S1644" s="3">
        <f>(Таблица1[Кредитный рейтинг]-$AA$7)/($AA$8-$AA$7)</f>
        <v>0.9826897470039947</v>
      </c>
      <c r="T1644" s="3">
        <f>(Таблица1[Срок с последнего нарушения кредитного договора (мес,)]-$AA$12)/($AA$13-$AA$12)</f>
        <v>0.46590909090909088</v>
      </c>
      <c r="U1644" s="3">
        <f>(Таблица1[Количество кредитных карт]-$AA$18)/($AA$19-$AA$18)</f>
        <v>0.14285714285714285</v>
      </c>
      <c r="V1644" s="3">
        <f>(Таблица1[Число нарушений кредитных договоров]-$AA$23)/($AA$24-$AA$23)</f>
        <v>0</v>
      </c>
      <c r="W1644" s="3">
        <f>Таблица1[[#This Row],[Годовой доход]]/12</f>
        <v>139906.5</v>
      </c>
      <c r="X1644" s="3">
        <f>Таблица1[[#This Row],[Ежемесячный платеж]]/Таблица1[[#This Row],[Ежем доход]]</f>
        <v>0.12800027160996807</v>
      </c>
      <c r="Y1644" s="3"/>
      <c r="Z1644" s="3"/>
      <c r="AA1644" s="3"/>
      <c r="AB1644" s="3"/>
    </row>
    <row r="1645" spans="1:28" x14ac:dyDescent="0.2">
      <c r="A1645">
        <v>359</v>
      </c>
      <c r="B1645" t="s">
        <v>401</v>
      </c>
      <c r="C1645" t="s">
        <v>18</v>
      </c>
      <c r="D1645" t="s">
        <v>29</v>
      </c>
      <c r="E1645" t="s">
        <v>24</v>
      </c>
      <c r="F1645" t="s">
        <v>21</v>
      </c>
      <c r="G1645" t="s">
        <v>25</v>
      </c>
      <c r="H1645" s="1">
        <v>545160</v>
      </c>
      <c r="I1645" s="3">
        <v>699</v>
      </c>
      <c r="J1645" s="3">
        <v>3954888</v>
      </c>
      <c r="K1645" s="3">
        <v>27881.93</v>
      </c>
      <c r="L1645" s="2">
        <v>18.100000000000001</v>
      </c>
      <c r="M1645" s="11">
        <v>39</v>
      </c>
      <c r="N1645" s="3">
        <v>15</v>
      </c>
      <c r="O1645" s="3">
        <v>163020</v>
      </c>
      <c r="P1645" s="3">
        <v>215974</v>
      </c>
      <c r="Q1645" s="10">
        <v>0</v>
      </c>
      <c r="R1645" s="3">
        <f>(Таблица1[Размер кредита]-$AA$2)/$AA$3</f>
        <v>1.3411404234960489</v>
      </c>
      <c r="S1645" s="3">
        <f>(Таблица1[Кредитный рейтинг]-$AA$7)/($AA$8-$AA$7)</f>
        <v>0.93075898801597867</v>
      </c>
      <c r="T1645" s="3">
        <f>(Таблица1[Срок с последнего нарушения кредитного договора (мес,)]-$AA$12)/($AA$13-$AA$12)</f>
        <v>0.44318181818181818</v>
      </c>
      <c r="U1645" s="3">
        <f>(Таблица1[Количество кредитных карт]-$AA$18)/($AA$19-$AA$18)</f>
        <v>0.33333333333333331</v>
      </c>
      <c r="V1645" s="3">
        <f>(Таблица1[Число нарушений кредитных договоров]-$AA$23)/($AA$24-$AA$23)</f>
        <v>0</v>
      </c>
      <c r="W1645" s="3">
        <f>Таблица1[[#This Row],[Годовой доход]]/12</f>
        <v>329574</v>
      </c>
      <c r="X1645" s="3">
        <f>Таблица1[[#This Row],[Ежемесячный платеж]]/Таблица1[[#This Row],[Ежем доход]]</f>
        <v>8.4599907759714058E-2</v>
      </c>
      <c r="Y1645" s="3"/>
      <c r="Z1645" s="3"/>
      <c r="AA1645" s="3"/>
      <c r="AB1645" s="3"/>
    </row>
    <row r="1646" spans="1:28" x14ac:dyDescent="0.2">
      <c r="A1646">
        <v>419</v>
      </c>
      <c r="B1646" t="s">
        <v>461</v>
      </c>
      <c r="C1646" t="s">
        <v>18</v>
      </c>
      <c r="D1646" t="s">
        <v>19</v>
      </c>
      <c r="E1646" t="s">
        <v>37</v>
      </c>
      <c r="F1646" t="s">
        <v>33</v>
      </c>
      <c r="G1646" t="s">
        <v>25</v>
      </c>
      <c r="H1646" s="1">
        <v>152372</v>
      </c>
      <c r="I1646" s="3">
        <v>697</v>
      </c>
      <c r="J1646" s="3">
        <v>845937</v>
      </c>
      <c r="K1646" s="3">
        <v>2876.22</v>
      </c>
      <c r="L1646" s="2">
        <v>8.8000000000000007</v>
      </c>
      <c r="M1646" s="11">
        <v>46</v>
      </c>
      <c r="N1646" s="3">
        <v>10</v>
      </c>
      <c r="O1646" s="3">
        <v>56943</v>
      </c>
      <c r="P1646" s="3">
        <v>215468</v>
      </c>
      <c r="Q1646" s="10">
        <v>0</v>
      </c>
      <c r="R1646" s="3">
        <f>(Таблица1[Размер кредита]-$AA$2)/$AA$3</f>
        <v>-0.89511199579911294</v>
      </c>
      <c r="S1646" s="3">
        <f>(Таблица1[Кредитный рейтинг]-$AA$7)/($AA$8-$AA$7)</f>
        <v>0.92809587217043943</v>
      </c>
      <c r="T1646" s="3">
        <f>(Таблица1[Срок с последнего нарушения кредитного договора (мес,)]-$AA$12)/($AA$13-$AA$12)</f>
        <v>0.52272727272727271</v>
      </c>
      <c r="U1646" s="3">
        <f>(Таблица1[Количество кредитных карт]-$AA$18)/($AA$19-$AA$18)</f>
        <v>0.21428571428571427</v>
      </c>
      <c r="V1646" s="3">
        <f>(Таблица1[Число нарушений кредитных договоров]-$AA$23)/($AA$24-$AA$23)</f>
        <v>0</v>
      </c>
      <c r="W1646" s="3">
        <f>Таблица1[[#This Row],[Годовой доход]]/12</f>
        <v>70494.75</v>
      </c>
      <c r="X1646" s="3">
        <f>Таблица1[[#This Row],[Ежемесячный платеж]]/Таблица1[[#This Row],[Ежем доход]]</f>
        <v>4.0800485142510612E-2</v>
      </c>
      <c r="Y1646" s="3"/>
      <c r="Z1646" s="3"/>
      <c r="AA1646" s="3"/>
      <c r="AB1646" s="3"/>
    </row>
    <row r="1647" spans="1:28" x14ac:dyDescent="0.2">
      <c r="A1647">
        <v>421</v>
      </c>
      <c r="B1647" t="s">
        <v>461</v>
      </c>
      <c r="C1647" t="s">
        <v>18</v>
      </c>
      <c r="D1647" t="s">
        <v>19</v>
      </c>
      <c r="E1647" t="s">
        <v>37</v>
      </c>
      <c r="F1647" t="s">
        <v>33</v>
      </c>
      <c r="G1647" t="s">
        <v>25</v>
      </c>
      <c r="H1647" s="1">
        <v>152372</v>
      </c>
      <c r="I1647" s="3">
        <v>697</v>
      </c>
      <c r="J1647" s="3">
        <v>845937</v>
      </c>
      <c r="K1647" s="3">
        <v>2876.22</v>
      </c>
      <c r="L1647" s="2">
        <v>8.8000000000000007</v>
      </c>
      <c r="M1647" s="11">
        <v>46</v>
      </c>
      <c r="N1647" s="3">
        <v>10</v>
      </c>
      <c r="O1647" s="3">
        <v>56943</v>
      </c>
      <c r="P1647" s="3">
        <v>215468</v>
      </c>
      <c r="Q1647" s="10">
        <v>0</v>
      </c>
      <c r="R1647" s="3">
        <f>(Таблица1[Размер кредита]-$AA$2)/$AA$3</f>
        <v>-0.89511199579911294</v>
      </c>
      <c r="S1647" s="3">
        <f>(Таблица1[Кредитный рейтинг]-$AA$7)/($AA$8-$AA$7)</f>
        <v>0.92809587217043943</v>
      </c>
      <c r="T1647" s="3">
        <f>(Таблица1[Срок с последнего нарушения кредитного договора (мес,)]-$AA$12)/($AA$13-$AA$12)</f>
        <v>0.52272727272727271</v>
      </c>
      <c r="U1647" s="3">
        <f>(Таблица1[Количество кредитных карт]-$AA$18)/($AA$19-$AA$18)</f>
        <v>0.21428571428571427</v>
      </c>
      <c r="V1647" s="3">
        <f>(Таблица1[Число нарушений кредитных договоров]-$AA$23)/($AA$24-$AA$23)</f>
        <v>0</v>
      </c>
      <c r="W1647" s="3">
        <f>Таблица1[[#This Row],[Годовой доход]]/12</f>
        <v>70494.75</v>
      </c>
      <c r="X1647" s="3">
        <f>Таблица1[[#This Row],[Ежемесячный платеж]]/Таблица1[[#This Row],[Ежем доход]]</f>
        <v>4.0800485142510612E-2</v>
      </c>
      <c r="Y1647" s="3"/>
      <c r="Z1647" s="3"/>
      <c r="AA1647" s="3"/>
      <c r="AB1647" s="3"/>
    </row>
    <row r="1648" spans="1:28" x14ac:dyDescent="0.2">
      <c r="A1648">
        <v>709</v>
      </c>
      <c r="B1648" t="s">
        <v>750</v>
      </c>
      <c r="C1648" t="s">
        <v>35</v>
      </c>
      <c r="D1648" t="s">
        <v>19</v>
      </c>
      <c r="E1648" t="s">
        <v>41</v>
      </c>
      <c r="F1648" t="s">
        <v>21</v>
      </c>
      <c r="G1648" t="s">
        <v>25</v>
      </c>
      <c r="H1648" s="1">
        <v>322300</v>
      </c>
      <c r="I1648" s="3">
        <v>733</v>
      </c>
      <c r="J1648" s="3">
        <v>891480</v>
      </c>
      <c r="K1648" s="3">
        <v>23772.799999999999</v>
      </c>
      <c r="L1648" s="2">
        <v>22.6</v>
      </c>
      <c r="M1648" s="11">
        <v>11</v>
      </c>
      <c r="N1648" s="3">
        <v>11</v>
      </c>
      <c r="O1648" s="3">
        <v>53827</v>
      </c>
      <c r="P1648" s="3">
        <v>214918</v>
      </c>
      <c r="Q1648" s="10">
        <v>0</v>
      </c>
      <c r="R1648" s="3">
        <f>(Таблица1[Размер кредита]-$AA$2)/$AA$3</f>
        <v>7.2335841471853235E-2</v>
      </c>
      <c r="S1648" s="3">
        <f>(Таблица1[Кредитный рейтинг]-$AA$7)/($AA$8-$AA$7)</f>
        <v>0.97603195739014648</v>
      </c>
      <c r="T1648" s="3">
        <f>(Таблица1[Срок с последнего нарушения кредитного договора (мес,)]-$AA$12)/($AA$13-$AA$12)</f>
        <v>0.125</v>
      </c>
      <c r="U1648" s="3">
        <f>(Таблица1[Количество кредитных карт]-$AA$18)/($AA$19-$AA$18)</f>
        <v>0.23809523809523808</v>
      </c>
      <c r="V1648" s="3">
        <f>(Таблица1[Число нарушений кредитных договоров]-$AA$23)/($AA$24-$AA$23)</f>
        <v>0</v>
      </c>
      <c r="W1648" s="3">
        <f>Таблица1[[#This Row],[Годовой доход]]/12</f>
        <v>74290</v>
      </c>
      <c r="X1648" s="3">
        <f>Таблица1[[#This Row],[Ежемесячный платеж]]/Таблица1[[#This Row],[Ежем доход]]</f>
        <v>0.32</v>
      </c>
      <c r="Y1648" s="3"/>
      <c r="Z1648" s="3"/>
      <c r="AA1648" s="3"/>
      <c r="AB1648" s="3"/>
    </row>
    <row r="1649" spans="1:28" x14ac:dyDescent="0.2">
      <c r="A1649">
        <v>102</v>
      </c>
      <c r="B1649" t="s">
        <v>144</v>
      </c>
      <c r="C1649" t="s">
        <v>18</v>
      </c>
      <c r="D1649" t="s">
        <v>19</v>
      </c>
      <c r="E1649" t="s">
        <v>47</v>
      </c>
      <c r="F1649" t="s">
        <v>33</v>
      </c>
      <c r="G1649" t="s">
        <v>67</v>
      </c>
      <c r="H1649" s="1">
        <v>132792</v>
      </c>
      <c r="I1649" s="3">
        <v>751</v>
      </c>
      <c r="J1649" s="3">
        <v>668990</v>
      </c>
      <c r="K1649" s="3">
        <v>6132.25</v>
      </c>
      <c r="L1649" s="2">
        <v>14.7</v>
      </c>
      <c r="M1649" s="11">
        <v>35.265240640000002</v>
      </c>
      <c r="N1649" s="3">
        <v>5</v>
      </c>
      <c r="O1649" s="3">
        <v>61199</v>
      </c>
      <c r="P1649" s="3">
        <v>214742</v>
      </c>
      <c r="Q1649" s="10">
        <v>0</v>
      </c>
      <c r="R1649" s="3">
        <f>(Таблица1[Размер кредита]-$AA$2)/$AA$3</f>
        <v>-1.0065864358782377</v>
      </c>
      <c r="S1649" s="3">
        <f>(Таблица1[Кредитный рейтинг]-$AA$7)/($AA$8-$AA$7)</f>
        <v>1</v>
      </c>
      <c r="T1649" s="3">
        <f>(Таблица1[Срок с последнего нарушения кредитного договора (мес,)]-$AA$12)/($AA$13-$AA$12)</f>
        <v>0.40074137090909095</v>
      </c>
      <c r="U1649" s="3">
        <f>(Таблица1[Количество кредитных карт]-$AA$18)/($AA$19-$AA$18)</f>
        <v>9.5238095238095233E-2</v>
      </c>
      <c r="V1649" s="3">
        <f>(Таблица1[Число нарушений кредитных договоров]-$AA$23)/($AA$24-$AA$23)</f>
        <v>0</v>
      </c>
      <c r="W1649" s="3">
        <f>Таблица1[[#This Row],[Годовой доход]]/12</f>
        <v>55749.166666666664</v>
      </c>
      <c r="X1649" s="3">
        <f>Таблица1[[#This Row],[Ежемесячный платеж]]/Таблица1[[#This Row],[Ежем доход]]</f>
        <v>0.10999715989775632</v>
      </c>
      <c r="Y1649" s="3"/>
      <c r="Z1649" s="3"/>
      <c r="AA1649" s="3"/>
      <c r="AB1649" s="3"/>
    </row>
    <row r="1650" spans="1:28" x14ac:dyDescent="0.2">
      <c r="A1650">
        <v>1537</v>
      </c>
      <c r="B1650" t="s">
        <v>1576</v>
      </c>
      <c r="C1650" t="s">
        <v>35</v>
      </c>
      <c r="D1650" t="s">
        <v>29</v>
      </c>
      <c r="E1650" t="s">
        <v>32</v>
      </c>
      <c r="F1650" t="s">
        <v>21</v>
      </c>
      <c r="G1650" t="s">
        <v>25</v>
      </c>
      <c r="H1650" s="1">
        <v>546876</v>
      </c>
      <c r="I1650" s="3">
        <v>0</v>
      </c>
      <c r="J1650" s="3">
        <v>1168044</v>
      </c>
      <c r="K1650" s="3">
        <v>24642.62</v>
      </c>
      <c r="L1650" s="2">
        <v>23.4</v>
      </c>
      <c r="M1650" s="11">
        <v>35.265240640000002</v>
      </c>
      <c r="N1650" s="3">
        <v>13</v>
      </c>
      <c r="O1650" s="3">
        <v>141094</v>
      </c>
      <c r="P1650" s="3">
        <v>214698</v>
      </c>
      <c r="Q1650" s="10">
        <v>0</v>
      </c>
      <c r="R1650" s="3">
        <f>(Таблица1[Размер кредита]-$AA$2)/$AA$3</f>
        <v>1.3509100935254554</v>
      </c>
      <c r="S1650" s="3">
        <f>(Таблица1[Кредитный рейтинг]-$AA$7)/($AA$8-$AA$7)</f>
        <v>0</v>
      </c>
      <c r="T1650" s="3">
        <f>(Таблица1[Срок с последнего нарушения кредитного договора (мес,)]-$AA$12)/($AA$13-$AA$12)</f>
        <v>0.40074137090909095</v>
      </c>
      <c r="U1650" s="3">
        <f>(Таблица1[Количество кредитных карт]-$AA$18)/($AA$19-$AA$18)</f>
        <v>0.2857142857142857</v>
      </c>
      <c r="V1650" s="3">
        <f>(Таблица1[Число нарушений кредитных договоров]-$AA$23)/($AA$24-$AA$23)</f>
        <v>0</v>
      </c>
      <c r="W1650" s="3">
        <f>Таблица1[[#This Row],[Годовой доход]]/12</f>
        <v>97337</v>
      </c>
      <c r="X1650" s="3">
        <f>Таблица1[[#This Row],[Ежемесячный платеж]]/Таблица1[[#This Row],[Ежем доход]]</f>
        <v>0.25316806558657035</v>
      </c>
      <c r="Y1650" s="3"/>
      <c r="Z1650" s="3"/>
      <c r="AA1650" s="3"/>
      <c r="AB1650" s="3"/>
    </row>
    <row r="1651" spans="1:28" x14ac:dyDescent="0.2">
      <c r="A1651">
        <v>188</v>
      </c>
      <c r="B1651" t="s">
        <v>230</v>
      </c>
      <c r="C1651" t="s">
        <v>18</v>
      </c>
      <c r="D1651" t="s">
        <v>19</v>
      </c>
      <c r="E1651" t="s">
        <v>52</v>
      </c>
      <c r="F1651" t="s">
        <v>33</v>
      </c>
      <c r="G1651" t="s">
        <v>25</v>
      </c>
      <c r="H1651" s="1">
        <v>476586</v>
      </c>
      <c r="I1651" s="3">
        <v>707</v>
      </c>
      <c r="J1651" s="3">
        <v>1403207</v>
      </c>
      <c r="K1651" s="3">
        <v>18241.52</v>
      </c>
      <c r="L1651" s="2">
        <v>13.4</v>
      </c>
      <c r="M1651" s="11">
        <v>11</v>
      </c>
      <c r="N1651" s="3">
        <v>6</v>
      </c>
      <c r="O1651" s="3">
        <v>91580</v>
      </c>
      <c r="P1651" s="3">
        <v>214654</v>
      </c>
      <c r="Q1651" s="10">
        <v>0</v>
      </c>
      <c r="R1651" s="3">
        <f>(Таблица1[Размер кредита]-$AA$2)/$AA$3</f>
        <v>0.9507293788593838</v>
      </c>
      <c r="S1651" s="3">
        <f>(Таблица1[Кредитный рейтинг]-$AA$7)/($AA$8-$AA$7)</f>
        <v>0.94141145139813587</v>
      </c>
      <c r="T1651" s="3">
        <f>(Таблица1[Срок с последнего нарушения кредитного договора (мес,)]-$AA$12)/($AA$13-$AA$12)</f>
        <v>0.125</v>
      </c>
      <c r="U1651" s="3">
        <f>(Таблица1[Количество кредитных карт]-$AA$18)/($AA$19-$AA$18)</f>
        <v>0.11904761904761904</v>
      </c>
      <c r="V1651" s="3">
        <f>(Таблица1[Число нарушений кредитных договоров]-$AA$23)/($AA$24-$AA$23)</f>
        <v>0</v>
      </c>
      <c r="W1651" s="3">
        <f>Таблица1[[#This Row],[Годовой доход]]/12</f>
        <v>116933.91666666667</v>
      </c>
      <c r="X1651" s="3">
        <f>Таблица1[[#This Row],[Ежемесячный платеж]]/Таблица1[[#This Row],[Ежем доход]]</f>
        <v>0.15599853763557336</v>
      </c>
      <c r="Y1651" s="3"/>
      <c r="Z1651" s="3"/>
      <c r="AA1651" s="3"/>
      <c r="AB1651" s="3"/>
    </row>
    <row r="1652" spans="1:28" x14ac:dyDescent="0.2">
      <c r="A1652">
        <v>1338</v>
      </c>
      <c r="B1652" t="s">
        <v>1377</v>
      </c>
      <c r="C1652" t="s">
        <v>18</v>
      </c>
      <c r="D1652" t="s">
        <v>29</v>
      </c>
      <c r="E1652" t="s">
        <v>47</v>
      </c>
      <c r="F1652" t="s">
        <v>33</v>
      </c>
      <c r="G1652" t="s">
        <v>25</v>
      </c>
      <c r="H1652" s="1">
        <v>214522</v>
      </c>
      <c r="I1652" s="3">
        <v>723</v>
      </c>
      <c r="J1652" s="3">
        <v>518757</v>
      </c>
      <c r="K1652" s="3">
        <v>6441.19</v>
      </c>
      <c r="L1652" s="2">
        <v>17.600000000000001</v>
      </c>
      <c r="M1652" s="11">
        <v>35.265240640000002</v>
      </c>
      <c r="N1652" s="3">
        <v>7</v>
      </c>
      <c r="O1652" s="3">
        <v>148675</v>
      </c>
      <c r="P1652" s="3">
        <v>214654</v>
      </c>
      <c r="Q1652" s="10">
        <v>1</v>
      </c>
      <c r="R1652" s="3">
        <f>(Таблица1[Размер кредита]-$AA$2)/$AA$3</f>
        <v>-0.54127458768278991</v>
      </c>
      <c r="S1652" s="3">
        <f>(Таблица1[Кредитный рейтинг]-$AA$7)/($AA$8-$AA$7)</f>
        <v>0.96271637816245004</v>
      </c>
      <c r="T1652" s="3">
        <f>(Таблица1[Срок с последнего нарушения кредитного договора (мес,)]-$AA$12)/($AA$13-$AA$12)</f>
        <v>0.40074137090909095</v>
      </c>
      <c r="U1652" s="3">
        <f>(Таблица1[Количество кредитных карт]-$AA$18)/($AA$19-$AA$18)</f>
        <v>0.14285714285714285</v>
      </c>
      <c r="V1652" s="3">
        <f>(Таблица1[Число нарушений кредитных договоров]-$AA$23)/($AA$24-$AA$23)</f>
        <v>0.14285714285714285</v>
      </c>
      <c r="W1652" s="3">
        <f>Таблица1[[#This Row],[Годовой доход]]/12</f>
        <v>43229.75</v>
      </c>
      <c r="X1652" s="3">
        <f>Таблица1[[#This Row],[Ежемесячный платеж]]/Таблица1[[#This Row],[Ежем доход]]</f>
        <v>0.14899901109768157</v>
      </c>
      <c r="Y1652" s="3"/>
      <c r="Z1652" s="3"/>
      <c r="AA1652" s="3"/>
      <c r="AB1652" s="3"/>
    </row>
    <row r="1653" spans="1:28" x14ac:dyDescent="0.2">
      <c r="A1653">
        <v>813</v>
      </c>
      <c r="B1653" t="s">
        <v>854</v>
      </c>
      <c r="C1653" t="s">
        <v>35</v>
      </c>
      <c r="D1653" t="s">
        <v>19</v>
      </c>
      <c r="E1653" t="s">
        <v>63</v>
      </c>
      <c r="F1653" t="s">
        <v>33</v>
      </c>
      <c r="G1653" t="s">
        <v>25</v>
      </c>
      <c r="H1653" s="1">
        <v>446820</v>
      </c>
      <c r="I1653" s="3">
        <v>715</v>
      </c>
      <c r="J1653" s="3">
        <v>1254228</v>
      </c>
      <c r="K1653" s="3">
        <v>6427.89</v>
      </c>
      <c r="L1653" s="2">
        <v>16.5</v>
      </c>
      <c r="M1653" s="11">
        <v>35.265240640000002</v>
      </c>
      <c r="N1653" s="3">
        <v>3</v>
      </c>
      <c r="O1653" s="3">
        <v>110903</v>
      </c>
      <c r="P1653" s="3">
        <v>214390</v>
      </c>
      <c r="Q1653" s="10">
        <v>0</v>
      </c>
      <c r="R1653" s="3">
        <f>(Таблица1[Размер кредита]-$AA$2)/$AA$3</f>
        <v>0.78126317950314128</v>
      </c>
      <c r="S1653" s="3">
        <f>(Таблица1[Кредитный рейтинг]-$AA$7)/($AA$8-$AA$7)</f>
        <v>0.95206391478029295</v>
      </c>
      <c r="T1653" s="3">
        <f>(Таблица1[Срок с последнего нарушения кредитного договора (мес,)]-$AA$12)/($AA$13-$AA$12)</f>
        <v>0.40074137090909095</v>
      </c>
      <c r="U1653" s="3">
        <f>(Таблица1[Количество кредитных карт]-$AA$18)/($AA$19-$AA$18)</f>
        <v>4.7619047619047616E-2</v>
      </c>
      <c r="V1653" s="3">
        <f>(Таблица1[Число нарушений кредитных договоров]-$AA$23)/($AA$24-$AA$23)</f>
        <v>0</v>
      </c>
      <c r="W1653" s="3">
        <f>Таблица1[[#This Row],[Годовой доход]]/12</f>
        <v>104519</v>
      </c>
      <c r="X1653" s="3">
        <f>Таблица1[[#This Row],[Ежемесячный платеж]]/Таблица1[[#This Row],[Ежем доход]]</f>
        <v>6.1499727322305041E-2</v>
      </c>
      <c r="Y1653" s="3"/>
      <c r="Z1653" s="3"/>
      <c r="AA1653" s="3"/>
      <c r="AB1653" s="3"/>
    </row>
    <row r="1654" spans="1:28" x14ac:dyDescent="0.2">
      <c r="A1654">
        <v>963</v>
      </c>
      <c r="B1654" t="s">
        <v>1004</v>
      </c>
      <c r="C1654" t="s">
        <v>18</v>
      </c>
      <c r="D1654" t="s">
        <v>19</v>
      </c>
      <c r="E1654" t="s">
        <v>24</v>
      </c>
      <c r="F1654" t="s">
        <v>33</v>
      </c>
      <c r="G1654" t="s">
        <v>25</v>
      </c>
      <c r="H1654" s="1">
        <v>172700</v>
      </c>
      <c r="I1654" s="3">
        <v>723</v>
      </c>
      <c r="J1654" s="3">
        <v>775542</v>
      </c>
      <c r="K1654" s="3">
        <v>19840.939999999999</v>
      </c>
      <c r="L1654" s="2">
        <v>14.9</v>
      </c>
      <c r="M1654" s="11">
        <v>35.265240640000002</v>
      </c>
      <c r="N1654" s="3">
        <v>12</v>
      </c>
      <c r="O1654" s="3">
        <v>109269</v>
      </c>
      <c r="P1654" s="3">
        <v>213708</v>
      </c>
      <c r="Q1654" s="10">
        <v>1</v>
      </c>
      <c r="R1654" s="3">
        <f>(Таблица1[Размер кредита]-$AA$2)/$AA$3</f>
        <v>-0.77937898160460584</v>
      </c>
      <c r="S1654" s="3">
        <f>(Таблица1[Кредитный рейтинг]-$AA$7)/($AA$8-$AA$7)</f>
        <v>0.96271637816245004</v>
      </c>
      <c r="T1654" s="3">
        <f>(Таблица1[Срок с последнего нарушения кредитного договора (мес,)]-$AA$12)/($AA$13-$AA$12)</f>
        <v>0.40074137090909095</v>
      </c>
      <c r="U1654" s="3">
        <f>(Таблица1[Количество кредитных карт]-$AA$18)/($AA$19-$AA$18)</f>
        <v>0.26190476190476192</v>
      </c>
      <c r="V1654" s="3">
        <f>(Таблица1[Число нарушений кредитных договоров]-$AA$23)/($AA$24-$AA$23)</f>
        <v>0.14285714285714285</v>
      </c>
      <c r="W1654" s="3">
        <f>Таблица1[[#This Row],[Годовой доход]]/12</f>
        <v>64628.5</v>
      </c>
      <c r="X1654" s="3">
        <f>Таблица1[[#This Row],[Ежемесячный платеж]]/Таблица1[[#This Row],[Ежем доход]]</f>
        <v>0.30699985300602672</v>
      </c>
      <c r="Y1654" s="3"/>
      <c r="Z1654" s="3"/>
      <c r="AA1654" s="3"/>
      <c r="AB1654" s="3"/>
    </row>
    <row r="1655" spans="1:28" x14ac:dyDescent="0.2">
      <c r="A1655">
        <v>891</v>
      </c>
      <c r="B1655" t="s">
        <v>932</v>
      </c>
      <c r="C1655" t="s">
        <v>18</v>
      </c>
      <c r="D1655" t="s">
        <v>19</v>
      </c>
      <c r="E1655" t="s">
        <v>24</v>
      </c>
      <c r="F1655" t="s">
        <v>33</v>
      </c>
      <c r="G1655" t="s">
        <v>67</v>
      </c>
      <c r="H1655" s="1">
        <v>112332</v>
      </c>
      <c r="I1655" s="3">
        <v>699</v>
      </c>
      <c r="J1655" s="3">
        <v>873050</v>
      </c>
      <c r="K1655" s="3">
        <v>15787.48</v>
      </c>
      <c r="L1655" s="2">
        <v>17.2</v>
      </c>
      <c r="M1655" s="11">
        <v>35.265240640000002</v>
      </c>
      <c r="N1655" s="3">
        <v>7</v>
      </c>
      <c r="O1655" s="3">
        <v>175978</v>
      </c>
      <c r="P1655" s="3">
        <v>213356</v>
      </c>
      <c r="Q1655" s="10">
        <v>0</v>
      </c>
      <c r="R1655" s="3">
        <f>(Таблица1[Размер кредита]-$AA$2)/$AA$3</f>
        <v>-1.12307096315193</v>
      </c>
      <c r="S1655" s="3">
        <f>(Таблица1[Кредитный рейтинг]-$AA$7)/($AA$8-$AA$7)</f>
        <v>0.93075898801597867</v>
      </c>
      <c r="T1655" s="3">
        <f>(Таблица1[Срок с последнего нарушения кредитного договора (мес,)]-$AA$12)/($AA$13-$AA$12)</f>
        <v>0.40074137090909095</v>
      </c>
      <c r="U1655" s="3">
        <f>(Таблица1[Количество кредитных карт]-$AA$18)/($AA$19-$AA$18)</f>
        <v>0.14285714285714285</v>
      </c>
      <c r="V1655" s="3">
        <f>(Таблица1[Число нарушений кредитных договоров]-$AA$23)/($AA$24-$AA$23)</f>
        <v>0</v>
      </c>
      <c r="W1655" s="3">
        <f>Таблица1[[#This Row],[Годовой доход]]/12</f>
        <v>72754.166666666672</v>
      </c>
      <c r="X1655" s="3">
        <f>Таблица1[[#This Row],[Ежемесячный платеж]]/Таблица1[[#This Row],[Ежем доход]]</f>
        <v>0.21699760609357996</v>
      </c>
      <c r="Y1655" s="3"/>
      <c r="Z1655" s="3"/>
      <c r="AA1655" s="3"/>
      <c r="AB1655" s="3"/>
    </row>
    <row r="1656" spans="1:28" x14ac:dyDescent="0.2">
      <c r="A1656">
        <v>1181</v>
      </c>
      <c r="B1656" t="s">
        <v>1220</v>
      </c>
      <c r="C1656" t="s">
        <v>35</v>
      </c>
      <c r="D1656" t="s">
        <v>19</v>
      </c>
      <c r="E1656" t="s">
        <v>41</v>
      </c>
      <c r="F1656" t="s">
        <v>33</v>
      </c>
      <c r="G1656" t="s">
        <v>25</v>
      </c>
      <c r="H1656" s="1">
        <v>55946</v>
      </c>
      <c r="I1656" s="3">
        <v>727</v>
      </c>
      <c r="J1656" s="3">
        <v>501771</v>
      </c>
      <c r="K1656" s="3">
        <v>8655.4500000000007</v>
      </c>
      <c r="L1656" s="2">
        <v>16.8</v>
      </c>
      <c r="M1656" s="11">
        <v>35.265240640000002</v>
      </c>
      <c r="N1656" s="3">
        <v>6</v>
      </c>
      <c r="O1656" s="3">
        <v>40432</v>
      </c>
      <c r="P1656" s="3">
        <v>212828</v>
      </c>
      <c r="Q1656" s="10">
        <v>0</v>
      </c>
      <c r="R1656" s="3">
        <f>(Таблица1[Размер кредита]-$AA$2)/$AA$3</f>
        <v>-1.4440923001438366</v>
      </c>
      <c r="S1656" s="3">
        <f>(Таблица1[Кредитный рейтинг]-$AA$7)/($AA$8-$AA$7)</f>
        <v>0.96804260985352863</v>
      </c>
      <c r="T1656" s="3">
        <f>(Таблица1[Срок с последнего нарушения кредитного договора (мес,)]-$AA$12)/($AA$13-$AA$12)</f>
        <v>0.40074137090909095</v>
      </c>
      <c r="U1656" s="3">
        <f>(Таблица1[Количество кредитных карт]-$AA$18)/($AA$19-$AA$18)</f>
        <v>0.11904761904761904</v>
      </c>
      <c r="V1656" s="3">
        <f>(Таблица1[Число нарушений кредитных договоров]-$AA$23)/($AA$24-$AA$23)</f>
        <v>0</v>
      </c>
      <c r="W1656" s="3">
        <f>Таблица1[[#This Row],[Годовой доход]]/12</f>
        <v>41814.25</v>
      </c>
      <c r="X1656" s="3">
        <f>Таблица1[[#This Row],[Ежемесячный платеж]]/Таблица1[[#This Row],[Ежем доход]]</f>
        <v>0.20699761444961948</v>
      </c>
      <c r="Y1656" s="3"/>
      <c r="Z1656" s="3"/>
      <c r="AA1656" s="3"/>
      <c r="AB1656" s="3"/>
    </row>
    <row r="1657" spans="1:28" x14ac:dyDescent="0.2">
      <c r="A1657">
        <v>977</v>
      </c>
      <c r="B1657" t="s">
        <v>1017</v>
      </c>
      <c r="C1657" t="s">
        <v>18</v>
      </c>
      <c r="D1657" t="s">
        <v>29</v>
      </c>
      <c r="E1657" t="s">
        <v>32</v>
      </c>
      <c r="F1657" t="s">
        <v>21</v>
      </c>
      <c r="G1657" t="s">
        <v>25</v>
      </c>
      <c r="H1657" s="1">
        <v>372196</v>
      </c>
      <c r="I1657" s="3">
        <v>665</v>
      </c>
      <c r="J1657" s="3">
        <v>1243645</v>
      </c>
      <c r="K1657" s="3">
        <v>10778.13</v>
      </c>
      <c r="L1657" s="2">
        <v>16</v>
      </c>
      <c r="M1657" s="11">
        <v>35.265240640000002</v>
      </c>
      <c r="N1657" s="3">
        <v>6</v>
      </c>
      <c r="O1657" s="3">
        <v>147269</v>
      </c>
      <c r="P1657" s="3">
        <v>212608</v>
      </c>
      <c r="Q1657" s="10">
        <v>0</v>
      </c>
      <c r="R1657" s="3">
        <f>(Таблица1[Размер кредита]-$AA$2)/$AA$3</f>
        <v>0.35640778540382517</v>
      </c>
      <c r="S1657" s="3">
        <f>(Таблица1[Кредитный рейтинг]-$AA$7)/($AA$8-$AA$7)</f>
        <v>0.88548601864181087</v>
      </c>
      <c r="T1657" s="3">
        <f>(Таблица1[Срок с последнего нарушения кредитного договора (мес,)]-$AA$12)/($AA$13-$AA$12)</f>
        <v>0.40074137090909095</v>
      </c>
      <c r="U1657" s="3">
        <f>(Таблица1[Количество кредитных карт]-$AA$18)/($AA$19-$AA$18)</f>
        <v>0.11904761904761904</v>
      </c>
      <c r="V1657" s="3">
        <f>(Таблица1[Число нарушений кредитных договоров]-$AA$23)/($AA$24-$AA$23)</f>
        <v>0</v>
      </c>
      <c r="W1657" s="3">
        <f>Таблица1[[#This Row],[Годовой доход]]/12</f>
        <v>103637.08333333333</v>
      </c>
      <c r="X1657" s="3">
        <f>Таблица1[[#This Row],[Ежемесячный платеж]]/Таблица1[[#This Row],[Ежем доход]]</f>
        <v>0.10399877778626537</v>
      </c>
      <c r="Y1657" s="3"/>
      <c r="Z1657" s="3"/>
      <c r="AA1657" s="3"/>
      <c r="AB1657" s="3"/>
    </row>
    <row r="1658" spans="1:28" x14ac:dyDescent="0.2">
      <c r="A1658">
        <v>140</v>
      </c>
      <c r="B1658" t="s">
        <v>182</v>
      </c>
      <c r="C1658" t="s">
        <v>18</v>
      </c>
      <c r="D1658" t="s">
        <v>19</v>
      </c>
      <c r="E1658" t="s">
        <v>37</v>
      </c>
      <c r="F1658" t="s">
        <v>33</v>
      </c>
      <c r="G1658" t="s">
        <v>25</v>
      </c>
      <c r="H1658" s="1">
        <v>129844</v>
      </c>
      <c r="I1658" s="3">
        <v>0</v>
      </c>
      <c r="J1658" s="3">
        <v>1168044</v>
      </c>
      <c r="K1658" s="3">
        <v>16120.17</v>
      </c>
      <c r="L1658" s="2">
        <v>14.2</v>
      </c>
      <c r="M1658" s="11">
        <v>35.265240640000002</v>
      </c>
      <c r="N1658" s="3">
        <v>10</v>
      </c>
      <c r="O1658" s="3">
        <v>110618</v>
      </c>
      <c r="P1658" s="3">
        <v>212058</v>
      </c>
      <c r="Q1658" s="10">
        <v>0</v>
      </c>
      <c r="R1658" s="3">
        <f>(Таблица1[Размер кредита]-$AA$2)/$AA$3</f>
        <v>-1.0233702279800385</v>
      </c>
      <c r="S1658" s="3">
        <f>(Таблица1[Кредитный рейтинг]-$AA$7)/($AA$8-$AA$7)</f>
        <v>0</v>
      </c>
      <c r="T1658" s="3">
        <f>(Таблица1[Срок с последнего нарушения кредитного договора (мес,)]-$AA$12)/($AA$13-$AA$12)</f>
        <v>0.40074137090909095</v>
      </c>
      <c r="U1658" s="3">
        <f>(Таблица1[Количество кредитных карт]-$AA$18)/($AA$19-$AA$18)</f>
        <v>0.21428571428571427</v>
      </c>
      <c r="V1658" s="3">
        <f>(Таблица1[Число нарушений кредитных договоров]-$AA$23)/($AA$24-$AA$23)</f>
        <v>0</v>
      </c>
      <c r="W1658" s="3">
        <f>Таблица1[[#This Row],[Годовой доход]]/12</f>
        <v>97337</v>
      </c>
      <c r="X1658" s="3">
        <f>Таблица1[[#This Row],[Ежемесячный платеж]]/Таблица1[[#This Row],[Ежем доход]]</f>
        <v>0.16561194612531721</v>
      </c>
      <c r="Y1658" s="3"/>
      <c r="Z1658" s="3"/>
      <c r="AA1658" s="3"/>
      <c r="AB1658" s="3"/>
    </row>
    <row r="1659" spans="1:28" x14ac:dyDescent="0.2">
      <c r="A1659">
        <v>1448</v>
      </c>
      <c r="B1659" t="s">
        <v>1487</v>
      </c>
      <c r="C1659" t="s">
        <v>18</v>
      </c>
      <c r="D1659" t="s">
        <v>19</v>
      </c>
      <c r="E1659" t="s">
        <v>52</v>
      </c>
      <c r="F1659" t="s">
        <v>33</v>
      </c>
      <c r="G1659" t="s">
        <v>25</v>
      </c>
      <c r="H1659" s="1">
        <v>215798</v>
      </c>
      <c r="I1659" s="3">
        <v>725</v>
      </c>
      <c r="J1659" s="3">
        <v>1358994</v>
      </c>
      <c r="K1659" s="3">
        <v>2502.87</v>
      </c>
      <c r="L1659" s="2">
        <v>15.5</v>
      </c>
      <c r="M1659" s="11">
        <v>35.265240640000002</v>
      </c>
      <c r="N1659" s="3">
        <v>7</v>
      </c>
      <c r="O1659" s="3">
        <v>114133</v>
      </c>
      <c r="P1659" s="3">
        <v>211442</v>
      </c>
      <c r="Q1659" s="10">
        <v>0</v>
      </c>
      <c r="R1659" s="3">
        <f>(Таблица1[Размер кредита]-$AA$2)/$AA$3</f>
        <v>-0.53400996125066713</v>
      </c>
      <c r="S1659" s="3">
        <f>(Таблица1[Кредитный рейтинг]-$AA$7)/($AA$8-$AA$7)</f>
        <v>0.96537949400798939</v>
      </c>
      <c r="T1659" s="3">
        <f>(Таблица1[Срок с последнего нарушения кредитного договора (мес,)]-$AA$12)/($AA$13-$AA$12)</f>
        <v>0.40074137090909095</v>
      </c>
      <c r="U1659" s="3">
        <f>(Таблица1[Количество кредитных карт]-$AA$18)/($AA$19-$AA$18)</f>
        <v>0.14285714285714285</v>
      </c>
      <c r="V1659" s="3">
        <f>(Таблица1[Число нарушений кредитных договоров]-$AA$23)/($AA$24-$AA$23)</f>
        <v>0</v>
      </c>
      <c r="W1659" s="3">
        <f>Таблица1[[#This Row],[Годовой доход]]/12</f>
        <v>113249.5</v>
      </c>
      <c r="X1659" s="3">
        <f>Таблица1[[#This Row],[Ежемесячный платеж]]/Таблица1[[#This Row],[Ежем доход]]</f>
        <v>2.2100494924922404E-2</v>
      </c>
      <c r="Y1659" s="3"/>
      <c r="Z1659" s="3"/>
      <c r="AA1659" s="3"/>
      <c r="AB1659" s="3"/>
    </row>
    <row r="1660" spans="1:28" x14ac:dyDescent="0.2">
      <c r="A1660">
        <v>1341</v>
      </c>
      <c r="B1660" t="s">
        <v>1380</v>
      </c>
      <c r="C1660" t="s">
        <v>18</v>
      </c>
      <c r="D1660" t="s">
        <v>19</v>
      </c>
      <c r="E1660" t="s">
        <v>37</v>
      </c>
      <c r="F1660" t="s">
        <v>33</v>
      </c>
      <c r="G1660" t="s">
        <v>25</v>
      </c>
      <c r="H1660" s="1">
        <v>171776</v>
      </c>
      <c r="I1660" s="3">
        <v>0</v>
      </c>
      <c r="J1660" s="3">
        <v>1168044</v>
      </c>
      <c r="K1660" s="3">
        <v>9462</v>
      </c>
      <c r="L1660" s="2">
        <v>6.6</v>
      </c>
      <c r="M1660" s="11">
        <v>35.265240640000002</v>
      </c>
      <c r="N1660" s="3">
        <v>5</v>
      </c>
      <c r="O1660" s="3">
        <v>101270</v>
      </c>
      <c r="P1660" s="3">
        <v>210518</v>
      </c>
      <c r="Q1660" s="10">
        <v>0</v>
      </c>
      <c r="R1660" s="3">
        <f>(Таблица1[Размер кредита]-$AA$2)/$AA$3</f>
        <v>-0.78463957315890165</v>
      </c>
      <c r="S1660" s="3">
        <f>(Таблица1[Кредитный рейтинг]-$AA$7)/($AA$8-$AA$7)</f>
        <v>0</v>
      </c>
      <c r="T1660" s="3">
        <f>(Таблица1[Срок с последнего нарушения кредитного договора (мес,)]-$AA$12)/($AA$13-$AA$12)</f>
        <v>0.40074137090909095</v>
      </c>
      <c r="U1660" s="3">
        <f>(Таблица1[Количество кредитных карт]-$AA$18)/($AA$19-$AA$18)</f>
        <v>9.5238095238095233E-2</v>
      </c>
      <c r="V1660" s="3">
        <f>(Таблица1[Число нарушений кредитных договоров]-$AA$23)/($AA$24-$AA$23)</f>
        <v>0</v>
      </c>
      <c r="W1660" s="3">
        <f>Таблица1[[#This Row],[Годовой доход]]/12</f>
        <v>97337</v>
      </c>
      <c r="X1660" s="3">
        <f>Таблица1[[#This Row],[Ежемесячный платеж]]/Таблица1[[#This Row],[Ежем доход]]</f>
        <v>9.7208666796798751E-2</v>
      </c>
      <c r="Y1660" s="3"/>
      <c r="Z1660" s="3"/>
      <c r="AA1660" s="3"/>
      <c r="AB1660" s="3"/>
    </row>
    <row r="1661" spans="1:28" x14ac:dyDescent="0.2">
      <c r="A1661">
        <v>1729</v>
      </c>
      <c r="B1661" t="s">
        <v>1767</v>
      </c>
      <c r="C1661" t="s">
        <v>35</v>
      </c>
      <c r="D1661" t="s">
        <v>19</v>
      </c>
      <c r="E1661" t="s">
        <v>63</v>
      </c>
      <c r="F1661" t="s">
        <v>21</v>
      </c>
      <c r="G1661" t="s">
        <v>25</v>
      </c>
      <c r="H1661" s="1">
        <v>151096</v>
      </c>
      <c r="I1661" s="3">
        <v>721</v>
      </c>
      <c r="J1661" s="3">
        <v>671137</v>
      </c>
      <c r="K1661" s="3">
        <v>12863.57</v>
      </c>
      <c r="L1661" s="2">
        <v>17.899999999999999</v>
      </c>
      <c r="M1661" s="11">
        <v>8</v>
      </c>
      <c r="N1661" s="3">
        <v>8</v>
      </c>
      <c r="O1661" s="3">
        <v>108509</v>
      </c>
      <c r="P1661" s="3">
        <v>209396</v>
      </c>
      <c r="Q1661" s="10">
        <v>0</v>
      </c>
      <c r="R1661" s="3">
        <f>(Таблица1[Размер кредита]-$AA$2)/$AA$3</f>
        <v>-0.90237662223123571</v>
      </c>
      <c r="S1661" s="3">
        <f>(Таблица1[Кредитный рейтинг]-$AA$7)/($AA$8-$AA$7)</f>
        <v>0.96005326231691079</v>
      </c>
      <c r="T1661" s="3">
        <f>(Таблица1[Срок с последнего нарушения кредитного договора (мес,)]-$AA$12)/($AA$13-$AA$12)</f>
        <v>9.0909090909090912E-2</v>
      </c>
      <c r="U1661" s="3">
        <f>(Таблица1[Количество кредитных карт]-$AA$18)/($AA$19-$AA$18)</f>
        <v>0.16666666666666666</v>
      </c>
      <c r="V1661" s="3">
        <f>(Таблица1[Число нарушений кредитных договоров]-$AA$23)/($AA$24-$AA$23)</f>
        <v>0</v>
      </c>
      <c r="W1661" s="3">
        <f>Таблица1[[#This Row],[Годовой доход]]/12</f>
        <v>55928.083333333336</v>
      </c>
      <c r="X1661" s="3">
        <f>Таблица1[[#This Row],[Ежемесячный платеж]]/Таблица1[[#This Row],[Ежем доход]]</f>
        <v>0.23000198171163264</v>
      </c>
      <c r="Y1661" s="3"/>
      <c r="Z1661" s="3"/>
      <c r="AA1661" s="3"/>
      <c r="AB1661" s="3"/>
    </row>
    <row r="1662" spans="1:28" x14ac:dyDescent="0.2">
      <c r="A1662">
        <v>897</v>
      </c>
      <c r="B1662" t="s">
        <v>938</v>
      </c>
      <c r="C1662" t="s">
        <v>18</v>
      </c>
      <c r="D1662" t="s">
        <v>29</v>
      </c>
      <c r="E1662" t="s">
        <v>24</v>
      </c>
      <c r="F1662" t="s">
        <v>21</v>
      </c>
      <c r="G1662" t="s">
        <v>25</v>
      </c>
      <c r="H1662" s="1">
        <v>457666</v>
      </c>
      <c r="I1662" s="3">
        <v>0</v>
      </c>
      <c r="J1662" s="3">
        <v>1168044</v>
      </c>
      <c r="K1662" s="3">
        <v>7381.31</v>
      </c>
      <c r="L1662" s="2">
        <v>39</v>
      </c>
      <c r="M1662" s="11">
        <v>35.265240640000002</v>
      </c>
      <c r="N1662" s="3">
        <v>4</v>
      </c>
      <c r="O1662" s="3">
        <v>173090</v>
      </c>
      <c r="P1662" s="3">
        <v>209198</v>
      </c>
      <c r="Q1662" s="10">
        <v>0</v>
      </c>
      <c r="R1662" s="3">
        <f>(Таблица1[Размер кредита]-$AA$2)/$AA$3</f>
        <v>0.84301250417618456</v>
      </c>
      <c r="S1662" s="3">
        <f>(Таблица1[Кредитный рейтинг]-$AA$7)/($AA$8-$AA$7)</f>
        <v>0</v>
      </c>
      <c r="T1662" s="3">
        <f>(Таблица1[Срок с последнего нарушения кредитного договора (мес,)]-$AA$12)/($AA$13-$AA$12)</f>
        <v>0.40074137090909095</v>
      </c>
      <c r="U1662" s="3">
        <f>(Таблица1[Количество кредитных карт]-$AA$18)/($AA$19-$AA$18)</f>
        <v>7.1428571428571425E-2</v>
      </c>
      <c r="V1662" s="3">
        <f>(Таблица1[Число нарушений кредитных договоров]-$AA$23)/($AA$24-$AA$23)</f>
        <v>0</v>
      </c>
      <c r="W1662" s="3">
        <f>Таблица1[[#This Row],[Годовой доход]]/12</f>
        <v>97337</v>
      </c>
      <c r="X1662" s="3">
        <f>Таблица1[[#This Row],[Ежемесячный платеж]]/Таблица1[[#This Row],[Ежем доход]]</f>
        <v>7.5832520007807935E-2</v>
      </c>
      <c r="Y1662" s="3"/>
      <c r="Z1662" s="3"/>
      <c r="AA1662" s="3"/>
      <c r="AB1662" s="3"/>
    </row>
    <row r="1663" spans="1:28" x14ac:dyDescent="0.2">
      <c r="A1663">
        <v>1169</v>
      </c>
      <c r="B1663" t="s">
        <v>1208</v>
      </c>
      <c r="C1663" t="s">
        <v>18</v>
      </c>
      <c r="D1663" t="s">
        <v>19</v>
      </c>
      <c r="E1663" t="s">
        <v>30</v>
      </c>
      <c r="F1663" t="s">
        <v>33</v>
      </c>
      <c r="G1663" t="s">
        <v>25</v>
      </c>
      <c r="H1663" s="1">
        <v>309594.52439999999</v>
      </c>
      <c r="I1663" s="3">
        <v>729</v>
      </c>
      <c r="J1663" s="3">
        <v>975251</v>
      </c>
      <c r="K1663" s="3">
        <v>8777.24</v>
      </c>
      <c r="L1663" s="2">
        <v>23.4</v>
      </c>
      <c r="M1663" s="11">
        <v>49</v>
      </c>
      <c r="N1663" s="3">
        <v>7</v>
      </c>
      <c r="O1663" s="3">
        <v>110732</v>
      </c>
      <c r="P1663" s="3">
        <v>208472</v>
      </c>
      <c r="Q1663" s="10">
        <v>1</v>
      </c>
      <c r="R1663" s="3">
        <f>(Таблица1[Размер кредита]-$AA$2)/$AA$3</f>
        <v>-1.2411115481956205E-10</v>
      </c>
      <c r="S1663" s="3">
        <f>(Таблица1[Кредитный рейтинг]-$AA$7)/($AA$8-$AA$7)</f>
        <v>0.97070572569906788</v>
      </c>
      <c r="T1663" s="3">
        <f>(Таблица1[Срок с последнего нарушения кредитного договора (мес,)]-$AA$12)/($AA$13-$AA$12)</f>
        <v>0.55681818181818177</v>
      </c>
      <c r="U1663" s="3">
        <f>(Таблица1[Количество кредитных карт]-$AA$18)/($AA$19-$AA$18)</f>
        <v>0.14285714285714285</v>
      </c>
      <c r="V1663" s="3">
        <f>(Таблица1[Число нарушений кредитных договоров]-$AA$23)/($AA$24-$AA$23)</f>
        <v>0.14285714285714285</v>
      </c>
      <c r="W1663" s="3">
        <f>Таблица1[[#This Row],[Годовой доход]]/12</f>
        <v>81270.916666666672</v>
      </c>
      <c r="X1663" s="3">
        <f>Таблица1[[#This Row],[Ежемесячный платеж]]/Таблица1[[#This Row],[Ежем доход]]</f>
        <v>0.10799976621403104</v>
      </c>
      <c r="Y1663" s="3"/>
      <c r="Z1663" s="3"/>
      <c r="AA1663" s="3"/>
      <c r="AB1663" s="3"/>
    </row>
    <row r="1664" spans="1:28" x14ac:dyDescent="0.2">
      <c r="A1664">
        <v>1325</v>
      </c>
      <c r="B1664" t="s">
        <v>1364</v>
      </c>
      <c r="C1664" t="s">
        <v>18</v>
      </c>
      <c r="D1664" t="s">
        <v>19</v>
      </c>
      <c r="E1664" t="s">
        <v>24</v>
      </c>
      <c r="F1664" t="s">
        <v>21</v>
      </c>
      <c r="G1664" t="s">
        <v>25</v>
      </c>
      <c r="H1664" s="1">
        <v>218174</v>
      </c>
      <c r="I1664" s="3">
        <v>731</v>
      </c>
      <c r="J1664" s="3">
        <v>1168215</v>
      </c>
      <c r="K1664" s="3">
        <v>12947.93</v>
      </c>
      <c r="L1664" s="2">
        <v>25.4</v>
      </c>
      <c r="M1664" s="11">
        <v>35.265240640000002</v>
      </c>
      <c r="N1664" s="3">
        <v>8</v>
      </c>
      <c r="O1664" s="3">
        <v>156522</v>
      </c>
      <c r="P1664" s="3">
        <v>208318</v>
      </c>
      <c r="Q1664" s="10">
        <v>1</v>
      </c>
      <c r="R1664" s="3">
        <f>(Таблица1[Размер кредита]-$AA$2)/$AA$3</f>
        <v>-0.52048272582533517</v>
      </c>
      <c r="S1664" s="3">
        <f>(Таблица1[Кредитный рейтинг]-$AA$7)/($AA$8-$AA$7)</f>
        <v>0.97336884154460723</v>
      </c>
      <c r="T1664" s="3">
        <f>(Таблица1[Срок с последнего нарушения кредитного договора (мес,)]-$AA$12)/($AA$13-$AA$12)</f>
        <v>0.40074137090909095</v>
      </c>
      <c r="U1664" s="3">
        <f>(Таблица1[Количество кредитных карт]-$AA$18)/($AA$19-$AA$18)</f>
        <v>0.16666666666666666</v>
      </c>
      <c r="V1664" s="3">
        <f>(Таблица1[Число нарушений кредитных договоров]-$AA$23)/($AA$24-$AA$23)</f>
        <v>0.14285714285714285</v>
      </c>
      <c r="W1664" s="3">
        <f>Таблица1[[#This Row],[Годовой доход]]/12</f>
        <v>97351.25</v>
      </c>
      <c r="X1664" s="3">
        <f>Таблица1[[#This Row],[Ежемесячный платеж]]/Таблица1[[#This Row],[Ежем доход]]</f>
        <v>0.13300219565747742</v>
      </c>
      <c r="Y1664" s="3"/>
      <c r="Z1664" s="3"/>
      <c r="AA1664" s="3"/>
      <c r="AB1664" s="3"/>
    </row>
    <row r="1665" spans="1:28" x14ac:dyDescent="0.2">
      <c r="A1665">
        <v>1785</v>
      </c>
      <c r="B1665" t="s">
        <v>1823</v>
      </c>
      <c r="C1665" t="s">
        <v>18</v>
      </c>
      <c r="D1665" t="s">
        <v>19</v>
      </c>
      <c r="E1665" t="s">
        <v>37</v>
      </c>
      <c r="F1665" t="s">
        <v>33</v>
      </c>
      <c r="G1665" t="s">
        <v>25</v>
      </c>
      <c r="H1665" s="1">
        <v>176836</v>
      </c>
      <c r="I1665" s="3">
        <v>0</v>
      </c>
      <c r="J1665" s="3">
        <v>1168044</v>
      </c>
      <c r="K1665" s="3">
        <v>16852.810000000001</v>
      </c>
      <c r="L1665" s="2">
        <v>14.8</v>
      </c>
      <c r="M1665" s="11">
        <v>39</v>
      </c>
      <c r="N1665" s="3">
        <v>9</v>
      </c>
      <c r="O1665" s="3">
        <v>154280</v>
      </c>
      <c r="P1665" s="3">
        <v>207724</v>
      </c>
      <c r="Q1665" s="10">
        <v>0</v>
      </c>
      <c r="R1665" s="3">
        <f>(Таблица1[Размер кредита]-$AA$2)/$AA$3</f>
        <v>-0.75583157179013905</v>
      </c>
      <c r="S1665" s="3">
        <f>(Таблица1[Кредитный рейтинг]-$AA$7)/($AA$8-$AA$7)</f>
        <v>0</v>
      </c>
      <c r="T1665" s="3">
        <f>(Таблица1[Срок с последнего нарушения кредитного договора (мес,)]-$AA$12)/($AA$13-$AA$12)</f>
        <v>0.44318181818181818</v>
      </c>
      <c r="U1665" s="3">
        <f>(Таблица1[Количество кредитных карт]-$AA$18)/($AA$19-$AA$18)</f>
        <v>0.19047619047619047</v>
      </c>
      <c r="V1665" s="3">
        <f>(Таблица1[Число нарушений кредитных договоров]-$AA$23)/($AA$24-$AA$23)</f>
        <v>0</v>
      </c>
      <c r="W1665" s="3">
        <f>Таблица1[[#This Row],[Годовой доход]]/12</f>
        <v>97337</v>
      </c>
      <c r="X1665" s="3">
        <f>Таблица1[[#This Row],[Ежемесячный платеж]]/Таблица1[[#This Row],[Ежем доход]]</f>
        <v>0.17313878586765569</v>
      </c>
      <c r="Y1665" s="3"/>
      <c r="Z1665" s="3"/>
      <c r="AA1665" s="3"/>
      <c r="AB1665" s="3"/>
    </row>
    <row r="1666" spans="1:28" x14ac:dyDescent="0.2">
      <c r="A1666">
        <v>783</v>
      </c>
      <c r="B1666" t="s">
        <v>824</v>
      </c>
      <c r="C1666" t="s">
        <v>18</v>
      </c>
      <c r="D1666" t="s">
        <v>19</v>
      </c>
      <c r="E1666" t="s">
        <v>20</v>
      </c>
      <c r="F1666" t="s">
        <v>33</v>
      </c>
      <c r="G1666" t="s">
        <v>25</v>
      </c>
      <c r="H1666" s="1">
        <v>217888</v>
      </c>
      <c r="I1666" s="3">
        <v>735</v>
      </c>
      <c r="J1666" s="3">
        <v>1223144</v>
      </c>
      <c r="K1666" s="3">
        <v>9163.51</v>
      </c>
      <c r="L1666" s="2">
        <v>10.8</v>
      </c>
      <c r="M1666" s="11">
        <v>35.265240640000002</v>
      </c>
      <c r="N1666" s="3">
        <v>8</v>
      </c>
      <c r="O1666" s="3">
        <v>117952</v>
      </c>
      <c r="P1666" s="3">
        <v>207570</v>
      </c>
      <c r="Q1666" s="10">
        <v>0</v>
      </c>
      <c r="R1666" s="3">
        <f>(Таблица1[Размер кредита]-$AA$2)/$AA$3</f>
        <v>-0.52211100416356959</v>
      </c>
      <c r="S1666" s="3">
        <f>(Таблица1[Кредитный рейтинг]-$AA$7)/($AA$8-$AA$7)</f>
        <v>0.97869507323568572</v>
      </c>
      <c r="T1666" s="3">
        <f>(Таблица1[Срок с последнего нарушения кредитного договора (мес,)]-$AA$12)/($AA$13-$AA$12)</f>
        <v>0.40074137090909095</v>
      </c>
      <c r="U1666" s="3">
        <f>(Таблица1[Количество кредитных карт]-$AA$18)/($AA$19-$AA$18)</f>
        <v>0.16666666666666666</v>
      </c>
      <c r="V1666" s="3">
        <f>(Таблица1[Число нарушений кредитных договоров]-$AA$23)/($AA$24-$AA$23)</f>
        <v>0</v>
      </c>
      <c r="W1666" s="3">
        <f>Таблица1[[#This Row],[Годовой доход]]/12</f>
        <v>101928.66666666667</v>
      </c>
      <c r="X1666" s="3">
        <f>Таблица1[[#This Row],[Ежемесячный платеж]]/Таблица1[[#This Row],[Ежем доход]]</f>
        <v>8.9901205418168262E-2</v>
      </c>
      <c r="Y1666" s="3"/>
      <c r="Z1666" s="3"/>
      <c r="AA1666" s="3"/>
      <c r="AB1666" s="3"/>
    </row>
    <row r="1667" spans="1:28" x14ac:dyDescent="0.2">
      <c r="A1667">
        <v>1666</v>
      </c>
      <c r="B1667" t="s">
        <v>1704</v>
      </c>
      <c r="C1667" t="s">
        <v>18</v>
      </c>
      <c r="D1667" t="s">
        <v>19</v>
      </c>
      <c r="E1667" t="s">
        <v>24</v>
      </c>
      <c r="F1667" t="s">
        <v>21</v>
      </c>
      <c r="G1667" t="s">
        <v>25</v>
      </c>
      <c r="H1667" s="1">
        <v>215512</v>
      </c>
      <c r="I1667" s="3">
        <v>708</v>
      </c>
      <c r="J1667" s="3">
        <v>1535048</v>
      </c>
      <c r="K1667" s="3">
        <v>9325.39</v>
      </c>
      <c r="L1667" s="2">
        <v>15.8</v>
      </c>
      <c r="M1667" s="11">
        <v>38</v>
      </c>
      <c r="N1667" s="3">
        <v>9</v>
      </c>
      <c r="O1667" s="3">
        <v>126388</v>
      </c>
      <c r="P1667" s="3">
        <v>206712</v>
      </c>
      <c r="Q1667" s="10">
        <v>1</v>
      </c>
      <c r="R1667" s="3">
        <f>(Таблица1[Размер кредита]-$AA$2)/$AA$3</f>
        <v>-0.53563823958890155</v>
      </c>
      <c r="S1667" s="3">
        <f>(Таблица1[Кредитный рейтинг]-$AA$7)/($AA$8-$AA$7)</f>
        <v>0.94274300932090549</v>
      </c>
      <c r="T1667" s="3">
        <f>(Таблица1[Срок с последнего нарушения кредитного договора (мес,)]-$AA$12)/($AA$13-$AA$12)</f>
        <v>0.43181818181818182</v>
      </c>
      <c r="U1667" s="3">
        <f>(Таблица1[Количество кредитных карт]-$AA$18)/($AA$19-$AA$18)</f>
        <v>0.19047619047619047</v>
      </c>
      <c r="V1667" s="3">
        <f>(Таблица1[Число нарушений кредитных договоров]-$AA$23)/($AA$24-$AA$23)</f>
        <v>0.14285714285714285</v>
      </c>
      <c r="W1667" s="3">
        <f>Таблица1[[#This Row],[Годовой доход]]/12</f>
        <v>127920.66666666667</v>
      </c>
      <c r="X1667" s="3">
        <f>Таблица1[[#This Row],[Ежемесячный платеж]]/Таблица1[[#This Row],[Ежем доход]]</f>
        <v>7.2899792058619656E-2</v>
      </c>
      <c r="Y1667" s="3"/>
      <c r="Z1667" s="3"/>
      <c r="AA1667" s="3"/>
      <c r="AB1667" s="3"/>
    </row>
    <row r="1668" spans="1:28" x14ac:dyDescent="0.2">
      <c r="A1668">
        <v>1939</v>
      </c>
      <c r="B1668" t="s">
        <v>1975</v>
      </c>
      <c r="C1668" t="s">
        <v>18</v>
      </c>
      <c r="D1668" t="s">
        <v>19</v>
      </c>
      <c r="E1668" t="s">
        <v>41</v>
      </c>
      <c r="F1668" t="s">
        <v>33</v>
      </c>
      <c r="G1668" t="s">
        <v>25</v>
      </c>
      <c r="H1668" s="1">
        <v>218988</v>
      </c>
      <c r="I1668" s="3">
        <v>736</v>
      </c>
      <c r="J1668" s="3">
        <v>1365131</v>
      </c>
      <c r="K1668" s="3">
        <v>14902.65</v>
      </c>
      <c r="L1668" s="2">
        <v>10.4</v>
      </c>
      <c r="M1668" s="11">
        <v>35.265240640000002</v>
      </c>
      <c r="N1668" s="3">
        <v>11</v>
      </c>
      <c r="O1668" s="3">
        <v>92758</v>
      </c>
      <c r="P1668" s="3">
        <v>206536</v>
      </c>
      <c r="Q1668" s="10">
        <v>0</v>
      </c>
      <c r="R1668" s="3">
        <f>(Таблица1[Размер кредита]-$AA$2)/$AA$3</f>
        <v>-0.5158483951703603</v>
      </c>
      <c r="S1668" s="3">
        <f>(Таблица1[Кредитный рейтинг]-$AA$7)/($AA$8-$AA$7)</f>
        <v>0.98002663115845534</v>
      </c>
      <c r="T1668" s="3">
        <f>(Таблица1[Срок с последнего нарушения кредитного договора (мес,)]-$AA$12)/($AA$13-$AA$12)</f>
        <v>0.40074137090909095</v>
      </c>
      <c r="U1668" s="3">
        <f>(Таблица1[Количество кредитных карт]-$AA$18)/($AA$19-$AA$18)</f>
        <v>0.23809523809523808</v>
      </c>
      <c r="V1668" s="3">
        <f>(Таблица1[Число нарушений кредитных договоров]-$AA$23)/($AA$24-$AA$23)</f>
        <v>0</v>
      </c>
      <c r="W1668" s="3">
        <f>Таблица1[[#This Row],[Годовой доход]]/12</f>
        <v>113760.91666666667</v>
      </c>
      <c r="X1668" s="3">
        <f>Таблица1[[#This Row],[Ежемесячный платеж]]/Таблица1[[#This Row],[Ежем доход]]</f>
        <v>0.13099973555651434</v>
      </c>
      <c r="Y1668" s="3"/>
      <c r="Z1668" s="3"/>
      <c r="AA1668" s="3"/>
      <c r="AB1668" s="3"/>
    </row>
    <row r="1669" spans="1:28" x14ac:dyDescent="0.2">
      <c r="A1669">
        <v>1933</v>
      </c>
      <c r="B1669" t="s">
        <v>1969</v>
      </c>
      <c r="C1669" t="s">
        <v>18</v>
      </c>
      <c r="D1669" t="s">
        <v>19</v>
      </c>
      <c r="E1669" t="s">
        <v>24</v>
      </c>
      <c r="F1669" t="s">
        <v>33</v>
      </c>
      <c r="G1669" t="s">
        <v>25</v>
      </c>
      <c r="H1669" s="1">
        <v>202488</v>
      </c>
      <c r="I1669" s="3">
        <v>687</v>
      </c>
      <c r="J1669" s="3">
        <v>668002</v>
      </c>
      <c r="K1669" s="3">
        <v>10799.22</v>
      </c>
      <c r="L1669" s="2">
        <v>16.3</v>
      </c>
      <c r="M1669" s="11">
        <v>6</v>
      </c>
      <c r="N1669" s="3">
        <v>11</v>
      </c>
      <c r="O1669" s="3">
        <v>88521</v>
      </c>
      <c r="P1669" s="3">
        <v>206250</v>
      </c>
      <c r="Q1669" s="10">
        <v>0</v>
      </c>
      <c r="R1669" s="3">
        <f>(Таблица1[Размер кредита]-$AA$2)/$AA$3</f>
        <v>-0.60978753006849917</v>
      </c>
      <c r="S1669" s="3">
        <f>(Таблица1[Кредитный рейтинг]-$AA$7)/($AA$8-$AA$7)</f>
        <v>0.91478029294274299</v>
      </c>
      <c r="T1669" s="3">
        <f>(Таблица1[Срок с последнего нарушения кредитного договора (мес,)]-$AA$12)/($AA$13-$AA$12)</f>
        <v>6.8181818181818177E-2</v>
      </c>
      <c r="U1669" s="3">
        <f>(Таблица1[Количество кредитных карт]-$AA$18)/($AA$19-$AA$18)</f>
        <v>0.23809523809523808</v>
      </c>
      <c r="V1669" s="3">
        <f>(Таблица1[Число нарушений кредитных договоров]-$AA$23)/($AA$24-$AA$23)</f>
        <v>0</v>
      </c>
      <c r="W1669" s="3">
        <f>Таблица1[[#This Row],[Годовой доход]]/12</f>
        <v>55666.833333333336</v>
      </c>
      <c r="X1669" s="3">
        <f>Таблица1[[#This Row],[Ежемесячный платеж]]/Таблица1[[#This Row],[Ежем доход]]</f>
        <v>0.19399738324136753</v>
      </c>
      <c r="Y1669" s="3"/>
      <c r="Z1669" s="3"/>
      <c r="AA1669" s="3"/>
      <c r="AB1669" s="3"/>
    </row>
    <row r="1670" spans="1:28" x14ac:dyDescent="0.2">
      <c r="A1670">
        <v>1294</v>
      </c>
      <c r="B1670" t="s">
        <v>1333</v>
      </c>
      <c r="C1670" t="s">
        <v>18</v>
      </c>
      <c r="D1670" t="s">
        <v>19</v>
      </c>
      <c r="E1670" t="s">
        <v>37</v>
      </c>
      <c r="F1670" t="s">
        <v>27</v>
      </c>
      <c r="G1670" t="s">
        <v>25</v>
      </c>
      <c r="H1670" s="1">
        <v>120472</v>
      </c>
      <c r="I1670" s="3">
        <v>711</v>
      </c>
      <c r="J1670" s="3">
        <v>677502</v>
      </c>
      <c r="K1670" s="3">
        <v>8638.16</v>
      </c>
      <c r="L1670" s="2">
        <v>8.1</v>
      </c>
      <c r="M1670" s="11">
        <v>37</v>
      </c>
      <c r="N1670" s="3">
        <v>19</v>
      </c>
      <c r="O1670" s="3">
        <v>146699</v>
      </c>
      <c r="P1670" s="3">
        <v>206162</v>
      </c>
      <c r="Q1670" s="10">
        <v>0</v>
      </c>
      <c r="R1670" s="3">
        <f>(Таблица1[Размер кредита]-$AA$2)/$AA$3</f>
        <v>-1.0767276566021815</v>
      </c>
      <c r="S1670" s="3">
        <f>(Таблица1[Кредитный рейтинг]-$AA$7)/($AA$8-$AA$7)</f>
        <v>0.94673768308921435</v>
      </c>
      <c r="T1670" s="3">
        <f>(Таблица1[Срок с последнего нарушения кредитного договора (мес,)]-$AA$12)/($AA$13-$AA$12)</f>
        <v>0.42045454545454547</v>
      </c>
      <c r="U1670" s="3">
        <f>(Таблица1[Количество кредитных карт]-$AA$18)/($AA$19-$AA$18)</f>
        <v>0.42857142857142855</v>
      </c>
      <c r="V1670" s="3">
        <f>(Таблица1[Число нарушений кредитных договоров]-$AA$23)/($AA$24-$AA$23)</f>
        <v>0</v>
      </c>
      <c r="W1670" s="3">
        <f>Таблица1[[#This Row],[Годовой доход]]/12</f>
        <v>56458.5</v>
      </c>
      <c r="X1670" s="3">
        <f>Таблица1[[#This Row],[Ежемесячный платеж]]/Таблица1[[#This Row],[Ежем доход]]</f>
        <v>0.15300016826518592</v>
      </c>
      <c r="Y1670" s="3"/>
      <c r="Z1670" s="3"/>
      <c r="AA1670" s="3"/>
      <c r="AB1670" s="3"/>
    </row>
    <row r="1671" spans="1:28" x14ac:dyDescent="0.2">
      <c r="A1671">
        <v>834</v>
      </c>
      <c r="B1671" s="4" t="s">
        <v>875</v>
      </c>
      <c r="C1671" t="s">
        <v>18</v>
      </c>
      <c r="D1671" t="s">
        <v>19</v>
      </c>
      <c r="E1671" t="s">
        <v>32</v>
      </c>
      <c r="F1671" t="s">
        <v>21</v>
      </c>
      <c r="G1671" t="s">
        <v>25</v>
      </c>
      <c r="H1671" s="1">
        <v>221276</v>
      </c>
      <c r="I1671" s="3">
        <v>743</v>
      </c>
      <c r="J1671" s="3">
        <v>1299486</v>
      </c>
      <c r="K1671" s="3">
        <v>12345.25</v>
      </c>
      <c r="L1671" s="2">
        <v>20.8</v>
      </c>
      <c r="M1671" s="11">
        <v>37</v>
      </c>
      <c r="N1671" s="3">
        <v>12</v>
      </c>
      <c r="O1671" s="3">
        <v>74385</v>
      </c>
      <c r="P1671" s="3">
        <v>206030</v>
      </c>
      <c r="Q1671" s="10">
        <v>1</v>
      </c>
      <c r="R1671" s="3">
        <f>(Таблица1[Размер кредита]-$AA$2)/$AA$3</f>
        <v>-0.50282216846448502</v>
      </c>
      <c r="S1671" s="3">
        <f>(Таблица1[Кредитный рейтинг]-$AA$7)/($AA$8-$AA$7)</f>
        <v>0.98934753661784292</v>
      </c>
      <c r="T1671" s="3">
        <f>(Таблица1[Срок с последнего нарушения кредитного договора (мес,)]-$AA$12)/($AA$13-$AA$12)</f>
        <v>0.42045454545454547</v>
      </c>
      <c r="U1671" s="3">
        <f>(Таблица1[Количество кредитных карт]-$AA$18)/($AA$19-$AA$18)</f>
        <v>0.26190476190476192</v>
      </c>
      <c r="V1671" s="3">
        <f>(Таблица1[Число нарушений кредитных договоров]-$AA$23)/($AA$24-$AA$23)</f>
        <v>0.14285714285714285</v>
      </c>
      <c r="W1671" s="3">
        <f>Таблица1[[#This Row],[Годовой доход]]/12</f>
        <v>108290.5</v>
      </c>
      <c r="X1671" s="3">
        <f>Таблица1[[#This Row],[Ежемесячный платеж]]/Таблица1[[#This Row],[Ежем доход]]</f>
        <v>0.11400122817791035</v>
      </c>
      <c r="Y1671" s="3"/>
      <c r="Z1671" s="3"/>
      <c r="AA1671" s="3"/>
      <c r="AB1671" s="3"/>
    </row>
    <row r="1672" spans="1:28" x14ac:dyDescent="0.2">
      <c r="A1672">
        <v>1172</v>
      </c>
      <c r="B1672" t="s">
        <v>1211</v>
      </c>
      <c r="C1672" t="s">
        <v>18</v>
      </c>
      <c r="D1672" t="s">
        <v>19</v>
      </c>
      <c r="E1672" t="s">
        <v>24</v>
      </c>
      <c r="F1672" t="s">
        <v>21</v>
      </c>
      <c r="G1672" t="s">
        <v>25</v>
      </c>
      <c r="H1672" s="1">
        <v>417164</v>
      </c>
      <c r="I1672" s="3">
        <v>709</v>
      </c>
      <c r="J1672" s="3">
        <v>1002364</v>
      </c>
      <c r="K1672" s="3">
        <v>9271.81</v>
      </c>
      <c r="L1672" s="2">
        <v>21.7</v>
      </c>
      <c r="M1672" s="11">
        <v>45</v>
      </c>
      <c r="N1672" s="3">
        <v>8</v>
      </c>
      <c r="O1672" s="3">
        <v>136705</v>
      </c>
      <c r="P1672" s="3">
        <v>205832</v>
      </c>
      <c r="Q1672" s="10">
        <v>0</v>
      </c>
      <c r="R1672" s="3">
        <f>(Таблица1[Размер кредита]-$AA$2)/$AA$3</f>
        <v>0.6124232410462197</v>
      </c>
      <c r="S1672" s="3">
        <f>(Таблица1[Кредитный рейтинг]-$AA$7)/($AA$8-$AA$7)</f>
        <v>0.94407456724367511</v>
      </c>
      <c r="T1672" s="3">
        <f>(Таблица1[Срок с последнего нарушения кредитного договора (мес,)]-$AA$12)/($AA$13-$AA$12)</f>
        <v>0.51136363636363635</v>
      </c>
      <c r="U1672" s="3">
        <f>(Таблица1[Количество кредитных карт]-$AA$18)/($AA$19-$AA$18)</f>
        <v>0.16666666666666666</v>
      </c>
      <c r="V1672" s="3">
        <f>(Таблица1[Число нарушений кредитных договоров]-$AA$23)/($AA$24-$AA$23)</f>
        <v>0</v>
      </c>
      <c r="W1672" s="3">
        <f>Таблица1[[#This Row],[Годовой доход]]/12</f>
        <v>83530.333333333328</v>
      </c>
      <c r="X1672" s="3">
        <f>Таблица1[[#This Row],[Ежемесячный платеж]]/Таблица1[[#This Row],[Ежем доход]]</f>
        <v>0.11099931761316248</v>
      </c>
      <c r="Y1672" s="3"/>
      <c r="Z1672" s="3"/>
      <c r="AA1672" s="3"/>
      <c r="AB1672" s="3"/>
    </row>
    <row r="1673" spans="1:28" x14ac:dyDescent="0.2">
      <c r="A1673">
        <v>1708</v>
      </c>
      <c r="B1673" t="s">
        <v>1746</v>
      </c>
      <c r="C1673" t="s">
        <v>18</v>
      </c>
      <c r="D1673" t="s">
        <v>19</v>
      </c>
      <c r="E1673" t="s">
        <v>41</v>
      </c>
      <c r="F1673" t="s">
        <v>33</v>
      </c>
      <c r="G1673" t="s">
        <v>67</v>
      </c>
      <c r="H1673" s="1">
        <v>37752</v>
      </c>
      <c r="I1673" s="3">
        <v>715</v>
      </c>
      <c r="J1673" s="3">
        <v>767372</v>
      </c>
      <c r="K1673" s="3">
        <v>11446.74</v>
      </c>
      <c r="L1673" s="2">
        <v>14.2</v>
      </c>
      <c r="M1673" s="11">
        <v>9</v>
      </c>
      <c r="N1673" s="3">
        <v>5</v>
      </c>
      <c r="O1673" s="3">
        <v>703</v>
      </c>
      <c r="P1673" s="3">
        <v>205480</v>
      </c>
      <c r="Q1673" s="10">
        <v>0</v>
      </c>
      <c r="R1673" s="3">
        <f>(Таблица1[Размер кредита]-$AA$2)/$AA$3</f>
        <v>-1.5476758528915178</v>
      </c>
      <c r="S1673" s="3">
        <f>(Таблица1[Кредитный рейтинг]-$AA$7)/($AA$8-$AA$7)</f>
        <v>0.95206391478029295</v>
      </c>
      <c r="T1673" s="3">
        <f>(Таблица1[Срок с последнего нарушения кредитного договора (мес,)]-$AA$12)/($AA$13-$AA$12)</f>
        <v>0.10227272727272728</v>
      </c>
      <c r="U1673" s="3">
        <f>(Таблица1[Количество кредитных карт]-$AA$18)/($AA$19-$AA$18)</f>
        <v>9.5238095238095233E-2</v>
      </c>
      <c r="V1673" s="3">
        <f>(Таблица1[Число нарушений кредитных договоров]-$AA$23)/($AA$24-$AA$23)</f>
        <v>0</v>
      </c>
      <c r="W1673" s="3">
        <f>Таблица1[[#This Row],[Годовой доход]]/12</f>
        <v>63947.666666666664</v>
      </c>
      <c r="X1673" s="3">
        <f>Таблица1[[#This Row],[Ежемесячный платеж]]/Таблица1[[#This Row],[Ежем доход]]</f>
        <v>0.17900168366841637</v>
      </c>
      <c r="Y1673" s="3"/>
      <c r="Z1673" s="3"/>
      <c r="AA1673" s="3"/>
      <c r="AB1673" s="3"/>
    </row>
    <row r="1674" spans="1:28" x14ac:dyDescent="0.2">
      <c r="A1674">
        <v>1279</v>
      </c>
      <c r="B1674" t="s">
        <v>1318</v>
      </c>
      <c r="C1674" t="s">
        <v>18</v>
      </c>
      <c r="D1674" t="s">
        <v>29</v>
      </c>
      <c r="E1674" t="s">
        <v>37</v>
      </c>
      <c r="F1674" t="s">
        <v>33</v>
      </c>
      <c r="G1674" t="s">
        <v>25</v>
      </c>
      <c r="H1674" s="1">
        <v>699006</v>
      </c>
      <c r="I1674" s="3">
        <v>707</v>
      </c>
      <c r="J1674" s="3">
        <v>1886510</v>
      </c>
      <c r="K1674" s="3">
        <v>16349.88</v>
      </c>
      <c r="L1674" s="2">
        <v>15.4</v>
      </c>
      <c r="M1674" s="11">
        <v>35.265240640000002</v>
      </c>
      <c r="N1674" s="3">
        <v>6</v>
      </c>
      <c r="O1674" s="3">
        <v>18411</v>
      </c>
      <c r="P1674" s="3">
        <v>204996</v>
      </c>
      <c r="Q1674" s="10">
        <v>0</v>
      </c>
      <c r="R1674" s="3">
        <f>(Таблица1[Размер кредита]-$AA$2)/$AA$3</f>
        <v>2.2170289172862958</v>
      </c>
      <c r="S1674" s="3">
        <f>(Таблица1[Кредитный рейтинг]-$AA$7)/($AA$8-$AA$7)</f>
        <v>0.94141145139813587</v>
      </c>
      <c r="T1674" s="3">
        <f>(Таблица1[Срок с последнего нарушения кредитного договора (мес,)]-$AA$12)/($AA$13-$AA$12)</f>
        <v>0.40074137090909095</v>
      </c>
      <c r="U1674" s="3">
        <f>(Таблица1[Количество кредитных карт]-$AA$18)/($AA$19-$AA$18)</f>
        <v>0.11904761904761904</v>
      </c>
      <c r="V1674" s="3">
        <f>(Таблица1[Число нарушений кредитных договоров]-$AA$23)/($AA$24-$AA$23)</f>
        <v>0</v>
      </c>
      <c r="W1674" s="3">
        <f>Таблица1[[#This Row],[Годовой доход]]/12</f>
        <v>157209.16666666666</v>
      </c>
      <c r="X1674" s="3">
        <f>Таблица1[[#This Row],[Ежемесячный платеж]]/Таблица1[[#This Row],[Ежем доход]]</f>
        <v>0.10400080572061637</v>
      </c>
      <c r="Y1674" s="3"/>
      <c r="Z1674" s="3"/>
      <c r="AA1674" s="3"/>
      <c r="AB1674" s="3"/>
    </row>
    <row r="1675" spans="1:28" x14ac:dyDescent="0.2">
      <c r="A1675">
        <v>1916</v>
      </c>
      <c r="B1675" t="s">
        <v>1952</v>
      </c>
      <c r="C1675" t="s">
        <v>18</v>
      </c>
      <c r="D1675" t="s">
        <v>19</v>
      </c>
      <c r="E1675" t="s">
        <v>69</v>
      </c>
      <c r="F1675" t="s">
        <v>27</v>
      </c>
      <c r="G1675" t="s">
        <v>25</v>
      </c>
      <c r="H1675" s="1">
        <v>440044</v>
      </c>
      <c r="I1675" s="3">
        <v>745</v>
      </c>
      <c r="J1675" s="3">
        <v>1900190</v>
      </c>
      <c r="K1675" s="3">
        <v>24860.74</v>
      </c>
      <c r="L1675" s="2">
        <v>20.6</v>
      </c>
      <c r="M1675" s="11">
        <v>33</v>
      </c>
      <c r="N1675" s="3">
        <v>10</v>
      </c>
      <c r="O1675" s="3">
        <v>66120</v>
      </c>
      <c r="P1675" s="3">
        <v>204732</v>
      </c>
      <c r="Q1675" s="10">
        <v>0</v>
      </c>
      <c r="R1675" s="3">
        <f>(Таблица1[Размер кредита]-$AA$2)/$AA$3</f>
        <v>0.74268550810497225</v>
      </c>
      <c r="S1675" s="3">
        <f>(Таблица1[Кредитный рейтинг]-$AA$7)/($AA$8-$AA$7)</f>
        <v>0.99201065246338216</v>
      </c>
      <c r="T1675" s="3">
        <f>(Таблица1[Срок с последнего нарушения кредитного договора (мес,)]-$AA$12)/($AA$13-$AA$12)</f>
        <v>0.375</v>
      </c>
      <c r="U1675" s="3">
        <f>(Таблица1[Количество кредитных карт]-$AA$18)/($AA$19-$AA$18)</f>
        <v>0.21428571428571427</v>
      </c>
      <c r="V1675" s="3">
        <f>(Таблица1[Число нарушений кредитных договоров]-$AA$23)/($AA$24-$AA$23)</f>
        <v>0</v>
      </c>
      <c r="W1675" s="3">
        <f>Таблица1[[#This Row],[Годовой доход]]/12</f>
        <v>158349.16666666666</v>
      </c>
      <c r="X1675" s="3">
        <f>Таблица1[[#This Row],[Ежемесячный платеж]]/Таблица1[[#This Row],[Ежем доход]]</f>
        <v>0.15699950004999502</v>
      </c>
      <c r="Y1675" s="3"/>
      <c r="Z1675" s="3"/>
      <c r="AA1675" s="3"/>
      <c r="AB1675" s="3"/>
    </row>
    <row r="1676" spans="1:28" x14ac:dyDescent="0.2">
      <c r="A1676">
        <v>1065</v>
      </c>
      <c r="B1676" t="s">
        <v>1104</v>
      </c>
      <c r="C1676" t="s">
        <v>18</v>
      </c>
      <c r="D1676" t="s">
        <v>29</v>
      </c>
      <c r="E1676" t="s">
        <v>52</v>
      </c>
      <c r="F1676" t="s">
        <v>21</v>
      </c>
      <c r="G1676" t="s">
        <v>25</v>
      </c>
      <c r="H1676" s="1">
        <v>299420</v>
      </c>
      <c r="I1676" s="3">
        <v>677</v>
      </c>
      <c r="J1676" s="3">
        <v>836589</v>
      </c>
      <c r="K1676" s="3">
        <v>6748.42</v>
      </c>
      <c r="L1676" s="2">
        <v>22.8</v>
      </c>
      <c r="M1676" s="11">
        <v>39</v>
      </c>
      <c r="N1676" s="3">
        <v>7</v>
      </c>
      <c r="O1676" s="3">
        <v>99142</v>
      </c>
      <c r="P1676" s="3">
        <v>204622</v>
      </c>
      <c r="Q1676" s="10">
        <v>2</v>
      </c>
      <c r="R1676" s="3">
        <f>(Таблица1[Размер кредита]-$AA$2)/$AA$3</f>
        <v>-5.7926425586899338E-2</v>
      </c>
      <c r="S1676" s="3">
        <f>(Таблица1[Кредитный рейтинг]-$AA$7)/($AA$8-$AA$7)</f>
        <v>0.90146471371504655</v>
      </c>
      <c r="T1676" s="3">
        <f>(Таблица1[Срок с последнего нарушения кредитного договора (мес,)]-$AA$12)/($AA$13-$AA$12)</f>
        <v>0.44318181818181818</v>
      </c>
      <c r="U1676" s="3">
        <f>(Таблица1[Количество кредитных карт]-$AA$18)/($AA$19-$AA$18)</f>
        <v>0.14285714285714285</v>
      </c>
      <c r="V1676" s="3">
        <f>(Таблица1[Число нарушений кредитных договоров]-$AA$23)/($AA$24-$AA$23)</f>
        <v>0.2857142857142857</v>
      </c>
      <c r="W1676" s="3">
        <f>Таблица1[[#This Row],[Годовой доход]]/12</f>
        <v>69715.75</v>
      </c>
      <c r="X1676" s="3">
        <f>Таблица1[[#This Row],[Ежемесячный платеж]]/Таблица1[[#This Row],[Ежем доход]]</f>
        <v>9.6799073380118547E-2</v>
      </c>
      <c r="Y1676" s="3"/>
      <c r="Z1676" s="3"/>
      <c r="AA1676" s="3"/>
      <c r="AB1676" s="3"/>
    </row>
    <row r="1677" spans="1:28" x14ac:dyDescent="0.2">
      <c r="A1677">
        <v>1791</v>
      </c>
      <c r="B1677" t="s">
        <v>1829</v>
      </c>
      <c r="C1677" t="s">
        <v>18</v>
      </c>
      <c r="D1677" t="s">
        <v>19</v>
      </c>
      <c r="E1677" t="s">
        <v>41</v>
      </c>
      <c r="F1677" t="s">
        <v>21</v>
      </c>
      <c r="G1677" t="s">
        <v>25</v>
      </c>
      <c r="H1677" s="1">
        <v>177276</v>
      </c>
      <c r="I1677" s="3">
        <v>0</v>
      </c>
      <c r="J1677" s="3">
        <v>1168044</v>
      </c>
      <c r="K1677" s="3">
        <v>15507.04</v>
      </c>
      <c r="L1677" s="2">
        <v>20.100000000000001</v>
      </c>
      <c r="M1677" s="11">
        <v>23</v>
      </c>
      <c r="N1677" s="3">
        <v>9</v>
      </c>
      <c r="O1677" s="3">
        <v>127376</v>
      </c>
      <c r="P1677" s="3">
        <v>203984</v>
      </c>
      <c r="Q1677" s="10">
        <v>0</v>
      </c>
      <c r="R1677" s="3">
        <f>(Таблица1[Размер кредита]-$AA$2)/$AA$3</f>
        <v>-0.75332652819285539</v>
      </c>
      <c r="S1677" s="3">
        <f>(Таблица1[Кредитный рейтинг]-$AA$7)/($AA$8-$AA$7)</f>
        <v>0</v>
      </c>
      <c r="T1677" s="3">
        <f>(Таблица1[Срок с последнего нарушения кредитного договора (мес,)]-$AA$12)/($AA$13-$AA$12)</f>
        <v>0.26136363636363635</v>
      </c>
      <c r="U1677" s="3">
        <f>(Таблица1[Количество кредитных карт]-$AA$18)/($AA$19-$AA$18)</f>
        <v>0.19047619047619047</v>
      </c>
      <c r="V1677" s="3">
        <f>(Таблица1[Число нарушений кредитных договоров]-$AA$23)/($AA$24-$AA$23)</f>
        <v>0</v>
      </c>
      <c r="W1677" s="3">
        <f>Таблица1[[#This Row],[Годовой доход]]/12</f>
        <v>97337</v>
      </c>
      <c r="X1677" s="3">
        <f>Таблица1[[#This Row],[Ежемесячный платеж]]/Таблица1[[#This Row],[Ежем доход]]</f>
        <v>0.15931290259613509</v>
      </c>
      <c r="Y1677" s="3"/>
      <c r="Z1677" s="3"/>
      <c r="AA1677" s="3"/>
      <c r="AB1677" s="3"/>
    </row>
    <row r="1678" spans="1:28" x14ac:dyDescent="0.2">
      <c r="A1678">
        <v>542</v>
      </c>
      <c r="B1678" t="s">
        <v>583</v>
      </c>
      <c r="C1678" t="s">
        <v>18</v>
      </c>
      <c r="D1678" t="s">
        <v>19</v>
      </c>
      <c r="E1678" t="s">
        <v>24</v>
      </c>
      <c r="F1678" t="s">
        <v>21</v>
      </c>
      <c r="G1678" t="s">
        <v>25</v>
      </c>
      <c r="H1678" s="1">
        <v>132462</v>
      </c>
      <c r="I1678" s="3">
        <v>691</v>
      </c>
      <c r="J1678" s="3">
        <v>781736</v>
      </c>
      <c r="K1678" s="3">
        <v>4156.0600000000004</v>
      </c>
      <c r="L1678" s="2">
        <v>15.6</v>
      </c>
      <c r="M1678" s="11">
        <v>35.265240640000002</v>
      </c>
      <c r="N1678" s="3">
        <v>4</v>
      </c>
      <c r="O1678" s="3">
        <v>82517</v>
      </c>
      <c r="P1678" s="3">
        <v>203302</v>
      </c>
      <c r="Q1678" s="10">
        <v>1</v>
      </c>
      <c r="R1678" s="3">
        <f>(Таблица1[Размер кредита]-$AA$2)/$AA$3</f>
        <v>-1.0084652185762006</v>
      </c>
      <c r="S1678" s="3">
        <f>(Таблица1[Кредитный рейтинг]-$AA$7)/($AA$8-$AA$7)</f>
        <v>0.92010652463382159</v>
      </c>
      <c r="T1678" s="3">
        <f>(Таблица1[Срок с последнего нарушения кредитного договора (мес,)]-$AA$12)/($AA$13-$AA$12)</f>
        <v>0.40074137090909095</v>
      </c>
      <c r="U1678" s="3">
        <f>(Таблица1[Количество кредитных карт]-$AA$18)/($AA$19-$AA$18)</f>
        <v>7.1428571428571425E-2</v>
      </c>
      <c r="V1678" s="3">
        <f>(Таблица1[Число нарушений кредитных договоров]-$AA$23)/($AA$24-$AA$23)</f>
        <v>0.14285714285714285</v>
      </c>
      <c r="W1678" s="3">
        <f>Таблица1[[#This Row],[Годовой доход]]/12</f>
        <v>65144.666666666664</v>
      </c>
      <c r="X1678" s="3">
        <f>Таблица1[[#This Row],[Ежемесячный платеж]]/Таблица1[[#This Row],[Ежем доход]]</f>
        <v>6.3797394516818984E-2</v>
      </c>
      <c r="Y1678" s="3"/>
      <c r="Z1678" s="3"/>
      <c r="AA1678" s="3"/>
      <c r="AB1678" s="3"/>
    </row>
    <row r="1679" spans="1:28" x14ac:dyDescent="0.2">
      <c r="A1679">
        <v>1600</v>
      </c>
      <c r="B1679" t="s">
        <v>1639</v>
      </c>
      <c r="C1679" t="s">
        <v>18</v>
      </c>
      <c r="D1679" t="s">
        <v>19</v>
      </c>
      <c r="E1679" t="s">
        <v>69</v>
      </c>
      <c r="F1679" t="s">
        <v>21</v>
      </c>
      <c r="G1679" t="s">
        <v>25</v>
      </c>
      <c r="H1679" s="1">
        <v>427328</v>
      </c>
      <c r="I1679" s="3">
        <v>710</v>
      </c>
      <c r="J1679" s="3">
        <v>1029895</v>
      </c>
      <c r="K1679" s="3">
        <v>23172.78</v>
      </c>
      <c r="L1679" s="2">
        <v>19.7</v>
      </c>
      <c r="M1679" s="11">
        <v>33</v>
      </c>
      <c r="N1679" s="3">
        <v>11</v>
      </c>
      <c r="O1679" s="3">
        <v>79192</v>
      </c>
      <c r="P1679" s="3">
        <v>203302</v>
      </c>
      <c r="Q1679" s="10">
        <v>1</v>
      </c>
      <c r="R1679" s="3">
        <f>(Таблица1[Размер кредита]-$AA$2)/$AA$3</f>
        <v>0.6702897481434732</v>
      </c>
      <c r="S1679" s="3">
        <f>(Таблица1[Кредитный рейтинг]-$AA$7)/($AA$8-$AA$7)</f>
        <v>0.94540612516644473</v>
      </c>
      <c r="T1679" s="3">
        <f>(Таблица1[Срок с последнего нарушения кредитного договора (мес,)]-$AA$12)/($AA$13-$AA$12)</f>
        <v>0.375</v>
      </c>
      <c r="U1679" s="3">
        <f>(Таблица1[Количество кредитных карт]-$AA$18)/($AA$19-$AA$18)</f>
        <v>0.23809523809523808</v>
      </c>
      <c r="V1679" s="3">
        <f>(Таблица1[Число нарушений кредитных договоров]-$AA$23)/($AA$24-$AA$23)</f>
        <v>0.14285714285714285</v>
      </c>
      <c r="W1679" s="3">
        <f>Таблица1[[#This Row],[Годовой доход]]/12</f>
        <v>85824.583333333328</v>
      </c>
      <c r="X1679" s="3">
        <f>Таблица1[[#This Row],[Ежемесячный платеж]]/Таблица1[[#This Row],[Ежем доход]]</f>
        <v>0.27000166036343509</v>
      </c>
      <c r="Y1679" s="3"/>
      <c r="Z1679" s="3"/>
      <c r="AA1679" s="3"/>
      <c r="AB1679" s="3"/>
    </row>
    <row r="1680" spans="1:28" x14ac:dyDescent="0.2">
      <c r="A1680">
        <v>1412</v>
      </c>
      <c r="B1680" t="s">
        <v>1451</v>
      </c>
      <c r="C1680" t="s">
        <v>18</v>
      </c>
      <c r="D1680" t="s">
        <v>19</v>
      </c>
      <c r="E1680" t="s">
        <v>41</v>
      </c>
      <c r="F1680" t="s">
        <v>33</v>
      </c>
      <c r="G1680" t="s">
        <v>25</v>
      </c>
      <c r="H1680" s="1">
        <v>223234</v>
      </c>
      <c r="I1680" s="3">
        <v>724</v>
      </c>
      <c r="J1680" s="3">
        <v>1156758</v>
      </c>
      <c r="K1680" s="3">
        <v>5668.08</v>
      </c>
      <c r="L1680" s="2">
        <v>13</v>
      </c>
      <c r="M1680" s="11">
        <v>35.265240640000002</v>
      </c>
      <c r="N1680" s="3">
        <v>7</v>
      </c>
      <c r="O1680" s="3">
        <v>156370</v>
      </c>
      <c r="P1680" s="3">
        <v>203214</v>
      </c>
      <c r="Q1680" s="10">
        <v>0</v>
      </c>
      <c r="R1680" s="3">
        <f>(Таблица1[Размер кредита]-$AA$2)/$AA$3</f>
        <v>-0.49167472445657256</v>
      </c>
      <c r="S1680" s="3">
        <f>(Таблица1[Кредитный рейтинг]-$AA$7)/($AA$8-$AA$7)</f>
        <v>0.96404793608521966</v>
      </c>
      <c r="T1680" s="3">
        <f>(Таблица1[Срок с последнего нарушения кредитного договора (мес,)]-$AA$12)/($AA$13-$AA$12)</f>
        <v>0.40074137090909095</v>
      </c>
      <c r="U1680" s="3">
        <f>(Таблица1[Количество кредитных карт]-$AA$18)/($AA$19-$AA$18)</f>
        <v>0.14285714285714285</v>
      </c>
      <c r="V1680" s="3">
        <f>(Таблица1[Число нарушений кредитных договоров]-$AA$23)/($AA$24-$AA$23)</f>
        <v>0</v>
      </c>
      <c r="W1680" s="3">
        <f>Таблица1[[#This Row],[Годовой доход]]/12</f>
        <v>96396.5</v>
      </c>
      <c r="X1680" s="3">
        <f>Таблица1[[#This Row],[Ежемесячный платеж]]/Таблица1[[#This Row],[Ежем доход]]</f>
        <v>5.8799645215334581E-2</v>
      </c>
      <c r="Y1680" s="3"/>
      <c r="Z1680" s="3"/>
      <c r="AA1680" s="3"/>
      <c r="AB1680" s="3"/>
    </row>
    <row r="1681" spans="1:28" x14ac:dyDescent="0.2">
      <c r="A1681">
        <v>645</v>
      </c>
      <c r="B1681" t="s">
        <v>686</v>
      </c>
      <c r="C1681" t="s">
        <v>18</v>
      </c>
      <c r="D1681" t="s">
        <v>19</v>
      </c>
      <c r="E1681" t="s">
        <v>69</v>
      </c>
      <c r="F1681" t="s">
        <v>21</v>
      </c>
      <c r="G1681" t="s">
        <v>25</v>
      </c>
      <c r="H1681" s="1">
        <v>309594.52439999999</v>
      </c>
      <c r="I1681" s="3">
        <v>721</v>
      </c>
      <c r="J1681" s="3">
        <v>777024</v>
      </c>
      <c r="K1681" s="3">
        <v>4506.8</v>
      </c>
      <c r="L1681" s="2">
        <v>12</v>
      </c>
      <c r="M1681" s="11">
        <v>35.265240640000002</v>
      </c>
      <c r="N1681" s="3">
        <v>3</v>
      </c>
      <c r="O1681" s="3">
        <v>161405</v>
      </c>
      <c r="P1681" s="3">
        <v>202488</v>
      </c>
      <c r="Q1681" s="10">
        <v>1</v>
      </c>
      <c r="R1681" s="3">
        <f>(Таблица1[Размер кредита]-$AA$2)/$AA$3</f>
        <v>-1.2411115481956205E-10</v>
      </c>
      <c r="S1681" s="3">
        <f>(Таблица1[Кредитный рейтинг]-$AA$7)/($AA$8-$AA$7)</f>
        <v>0.96005326231691079</v>
      </c>
      <c r="T1681" s="3">
        <f>(Таблица1[Срок с последнего нарушения кредитного договора (мес,)]-$AA$12)/($AA$13-$AA$12)</f>
        <v>0.40074137090909095</v>
      </c>
      <c r="U1681" s="3">
        <f>(Таблица1[Количество кредитных карт]-$AA$18)/($AA$19-$AA$18)</f>
        <v>4.7619047619047616E-2</v>
      </c>
      <c r="V1681" s="3">
        <f>(Таблица1[Число нарушений кредитных договоров]-$AA$23)/($AA$24-$AA$23)</f>
        <v>0.14285714285714285</v>
      </c>
      <c r="W1681" s="3">
        <f>Таблица1[[#This Row],[Годовой доход]]/12</f>
        <v>64752</v>
      </c>
      <c r="X1681" s="3">
        <f>Таблица1[[#This Row],[Ежемесячный платеж]]/Таблица1[[#This Row],[Ежем доход]]</f>
        <v>6.960093896713615E-2</v>
      </c>
      <c r="Y1681" s="3"/>
      <c r="Z1681" s="3"/>
      <c r="AA1681" s="3"/>
      <c r="AB1681" s="3"/>
    </row>
    <row r="1682" spans="1:28" x14ac:dyDescent="0.2">
      <c r="A1682">
        <v>477</v>
      </c>
      <c r="B1682" t="s">
        <v>518</v>
      </c>
      <c r="C1682" t="s">
        <v>18</v>
      </c>
      <c r="D1682" t="s">
        <v>19</v>
      </c>
      <c r="E1682" t="s">
        <v>24</v>
      </c>
      <c r="F1682" t="s">
        <v>33</v>
      </c>
      <c r="G1682" t="s">
        <v>67</v>
      </c>
      <c r="H1682" s="1">
        <v>309594.52439999999</v>
      </c>
      <c r="I1682" s="3">
        <v>700</v>
      </c>
      <c r="J1682" s="3">
        <v>730588</v>
      </c>
      <c r="K1682" s="3">
        <v>6149.16</v>
      </c>
      <c r="L1682" s="2">
        <v>9.1999999999999993</v>
      </c>
      <c r="M1682" s="11">
        <v>60</v>
      </c>
      <c r="N1682" s="3">
        <v>7</v>
      </c>
      <c r="O1682" s="3">
        <v>38437</v>
      </c>
      <c r="P1682" s="3">
        <v>202268</v>
      </c>
      <c r="Q1682" s="10">
        <v>0</v>
      </c>
      <c r="R1682" s="3">
        <f>(Таблица1[Размер кредита]-$AA$2)/$AA$3</f>
        <v>-1.2411115481956205E-10</v>
      </c>
      <c r="S1682" s="3">
        <f>(Таблица1[Кредитный рейтинг]-$AA$7)/($AA$8-$AA$7)</f>
        <v>0.93209054593874829</v>
      </c>
      <c r="T1682" s="3">
        <f>(Таблица1[Срок с последнего нарушения кредитного договора (мес,)]-$AA$12)/($AA$13-$AA$12)</f>
        <v>0.68181818181818177</v>
      </c>
      <c r="U1682" s="3">
        <f>(Таблица1[Количество кредитных карт]-$AA$18)/($AA$19-$AA$18)</f>
        <v>0.14285714285714285</v>
      </c>
      <c r="V1682" s="3">
        <f>(Таблица1[Число нарушений кредитных договоров]-$AA$23)/($AA$24-$AA$23)</f>
        <v>0</v>
      </c>
      <c r="W1682" s="3">
        <f>Таблица1[[#This Row],[Годовой доход]]/12</f>
        <v>60882.333333333336</v>
      </c>
      <c r="X1682" s="3">
        <f>Таблица1[[#This Row],[Ежемесячный платеж]]/Таблица1[[#This Row],[Ежем доход]]</f>
        <v>0.10100072818058878</v>
      </c>
      <c r="Y1682" s="3"/>
      <c r="Z1682" s="3"/>
      <c r="AA1682" s="3"/>
      <c r="AB1682" s="3"/>
    </row>
    <row r="1683" spans="1:28" x14ac:dyDescent="0.2">
      <c r="A1683">
        <v>1410</v>
      </c>
      <c r="B1683" t="s">
        <v>1449</v>
      </c>
      <c r="C1683" t="s">
        <v>35</v>
      </c>
      <c r="D1683" t="s">
        <v>19</v>
      </c>
      <c r="E1683" t="s">
        <v>24</v>
      </c>
      <c r="F1683" t="s">
        <v>27</v>
      </c>
      <c r="G1683" t="s">
        <v>25</v>
      </c>
      <c r="H1683" s="1">
        <v>217514</v>
      </c>
      <c r="I1683" s="3">
        <v>654</v>
      </c>
      <c r="J1683" s="3">
        <v>525996</v>
      </c>
      <c r="K1683" s="3">
        <v>4996.8100000000004</v>
      </c>
      <c r="L1683" s="2">
        <v>9.6999999999999993</v>
      </c>
      <c r="M1683" s="11">
        <v>35.265240640000002</v>
      </c>
      <c r="N1683" s="3">
        <v>7</v>
      </c>
      <c r="O1683" s="3">
        <v>122227</v>
      </c>
      <c r="P1683" s="3">
        <v>202202</v>
      </c>
      <c r="Q1683" s="10">
        <v>0</v>
      </c>
      <c r="R1683" s="3">
        <f>(Таблица1[Размер кредита]-$AA$2)/$AA$3</f>
        <v>-0.5242402912212607</v>
      </c>
      <c r="S1683" s="3">
        <f>(Таблица1[Кредитный рейтинг]-$AA$7)/($AA$8-$AA$7)</f>
        <v>0.87083888149134492</v>
      </c>
      <c r="T1683" s="3">
        <f>(Таблица1[Срок с последнего нарушения кредитного договора (мес,)]-$AA$12)/($AA$13-$AA$12)</f>
        <v>0.40074137090909095</v>
      </c>
      <c r="U1683" s="3">
        <f>(Таблица1[Количество кредитных карт]-$AA$18)/($AA$19-$AA$18)</f>
        <v>0.14285714285714285</v>
      </c>
      <c r="V1683" s="3">
        <f>(Таблица1[Число нарушений кредитных договоров]-$AA$23)/($AA$24-$AA$23)</f>
        <v>0</v>
      </c>
      <c r="W1683" s="3">
        <f>Таблица1[[#This Row],[Годовой доход]]/12</f>
        <v>43833</v>
      </c>
      <c r="X1683" s="3">
        <f>Таблица1[[#This Row],[Ежемесячный платеж]]/Таблица1[[#This Row],[Ежем доход]]</f>
        <v>0.11399653229302124</v>
      </c>
      <c r="Y1683" s="3"/>
      <c r="Z1683" s="3"/>
      <c r="AA1683" s="3"/>
      <c r="AB1683" s="3"/>
    </row>
    <row r="1684" spans="1:28" x14ac:dyDescent="0.2">
      <c r="A1684">
        <v>172</v>
      </c>
      <c r="B1684" t="s">
        <v>214</v>
      </c>
      <c r="C1684" t="s">
        <v>18</v>
      </c>
      <c r="D1684" t="s">
        <v>19</v>
      </c>
      <c r="E1684" t="s">
        <v>50</v>
      </c>
      <c r="F1684" t="s">
        <v>33</v>
      </c>
      <c r="G1684" t="s">
        <v>25</v>
      </c>
      <c r="H1684" s="1">
        <v>263648</v>
      </c>
      <c r="I1684" s="3">
        <v>736</v>
      </c>
      <c r="J1684" s="3">
        <v>1138518</v>
      </c>
      <c r="K1684" s="3">
        <v>12808.28</v>
      </c>
      <c r="L1684" s="2">
        <v>15</v>
      </c>
      <c r="M1684" s="11">
        <v>35.265240640000002</v>
      </c>
      <c r="N1684" s="3">
        <v>6</v>
      </c>
      <c r="O1684" s="3">
        <v>61788</v>
      </c>
      <c r="P1684" s="3">
        <v>202092</v>
      </c>
      <c r="Q1684" s="10">
        <v>1</v>
      </c>
      <c r="R1684" s="3">
        <f>(Таблица1[Размер кредита]-$AA$2)/$AA$3</f>
        <v>-0.26158647004606439</v>
      </c>
      <c r="S1684" s="3">
        <f>(Таблица1[Кредитный рейтинг]-$AA$7)/($AA$8-$AA$7)</f>
        <v>0.98002663115845534</v>
      </c>
      <c r="T1684" s="3">
        <f>(Таблица1[Срок с последнего нарушения кредитного договора (мес,)]-$AA$12)/($AA$13-$AA$12)</f>
        <v>0.40074137090909095</v>
      </c>
      <c r="U1684" s="3">
        <f>(Таблица1[Количество кредитных карт]-$AA$18)/($AA$19-$AA$18)</f>
        <v>0.11904761904761904</v>
      </c>
      <c r="V1684" s="3">
        <f>(Таблица1[Число нарушений кредитных договоров]-$AA$23)/($AA$24-$AA$23)</f>
        <v>0.14285714285714285</v>
      </c>
      <c r="W1684" s="3">
        <f>Таблица1[[#This Row],[Годовой доход]]/12</f>
        <v>94876.5</v>
      </c>
      <c r="X1684" s="3">
        <f>Таблица1[[#This Row],[Ежемесячный платеж]]/Таблица1[[#This Row],[Ежем доход]]</f>
        <v>0.1349994993491539</v>
      </c>
      <c r="Y1684" s="3"/>
      <c r="Z1684" s="3"/>
      <c r="AA1684" s="3"/>
      <c r="AB1684" s="3"/>
    </row>
    <row r="1685" spans="1:28" x14ac:dyDescent="0.2">
      <c r="A1685">
        <v>1349</v>
      </c>
      <c r="B1685" t="s">
        <v>1388</v>
      </c>
      <c r="C1685" t="s">
        <v>18</v>
      </c>
      <c r="D1685" t="s">
        <v>29</v>
      </c>
      <c r="E1685" t="s">
        <v>63</v>
      </c>
      <c r="F1685" t="s">
        <v>21</v>
      </c>
      <c r="G1685" t="s">
        <v>25</v>
      </c>
      <c r="H1685" s="1">
        <v>237930</v>
      </c>
      <c r="I1685" s="3">
        <v>711</v>
      </c>
      <c r="J1685" s="3">
        <v>1245374</v>
      </c>
      <c r="K1685" s="3">
        <v>30511.72</v>
      </c>
      <c r="L1685" s="2">
        <v>22.9</v>
      </c>
      <c r="M1685" s="11">
        <v>44</v>
      </c>
      <c r="N1685" s="3">
        <v>11</v>
      </c>
      <c r="O1685" s="3">
        <v>145635</v>
      </c>
      <c r="P1685" s="3">
        <v>201938</v>
      </c>
      <c r="Q1685" s="10">
        <v>1</v>
      </c>
      <c r="R1685" s="3">
        <f>(Таблица1[Размер кредита]-$AA$2)/$AA$3</f>
        <v>-0.40800626830729686</v>
      </c>
      <c r="S1685" s="3">
        <f>(Таблица1[Кредитный рейтинг]-$AA$7)/($AA$8-$AA$7)</f>
        <v>0.94673768308921435</v>
      </c>
      <c r="T1685" s="3">
        <f>(Таблица1[Срок с последнего нарушения кредитного договора (мес,)]-$AA$12)/($AA$13-$AA$12)</f>
        <v>0.5</v>
      </c>
      <c r="U1685" s="3">
        <f>(Таблица1[Количество кредитных карт]-$AA$18)/($AA$19-$AA$18)</f>
        <v>0.23809523809523808</v>
      </c>
      <c r="V1685" s="3">
        <f>(Таблица1[Число нарушений кредитных договоров]-$AA$23)/($AA$24-$AA$23)</f>
        <v>0.14285714285714285</v>
      </c>
      <c r="W1685" s="3">
        <f>Таблица1[[#This Row],[Годовой доход]]/12</f>
        <v>103781.16666666667</v>
      </c>
      <c r="X1685" s="3">
        <f>Таблица1[[#This Row],[Ежемесячный платеж]]/Таблица1[[#This Row],[Ежем доход]]</f>
        <v>0.29400054923259999</v>
      </c>
      <c r="Y1685" s="3"/>
      <c r="Z1685" s="3"/>
      <c r="AA1685" s="3"/>
      <c r="AB1685" s="3"/>
    </row>
    <row r="1686" spans="1:28" x14ac:dyDescent="0.2">
      <c r="A1686">
        <v>1207</v>
      </c>
      <c r="B1686" t="s">
        <v>1246</v>
      </c>
      <c r="C1686" t="s">
        <v>18</v>
      </c>
      <c r="D1686" t="s">
        <v>19</v>
      </c>
      <c r="E1686" t="s">
        <v>24</v>
      </c>
      <c r="F1686" t="s">
        <v>33</v>
      </c>
      <c r="G1686" t="s">
        <v>25</v>
      </c>
      <c r="H1686" s="1">
        <v>39006</v>
      </c>
      <c r="I1686" s="3">
        <v>717</v>
      </c>
      <c r="J1686" s="3">
        <v>291992</v>
      </c>
      <c r="K1686" s="3">
        <v>6034.4</v>
      </c>
      <c r="L1686" s="2">
        <v>22</v>
      </c>
      <c r="M1686" s="11">
        <v>43</v>
      </c>
      <c r="N1686" s="3">
        <v>8</v>
      </c>
      <c r="O1686" s="3">
        <v>27512</v>
      </c>
      <c r="P1686" s="3">
        <v>201630</v>
      </c>
      <c r="Q1686" s="10">
        <v>1</v>
      </c>
      <c r="R1686" s="3">
        <f>(Таблица1[Размер кредита]-$AA$2)/$AA$3</f>
        <v>-1.540536478639259</v>
      </c>
      <c r="S1686" s="3">
        <f>(Таблица1[Кредитный рейтинг]-$AA$7)/($AA$8-$AA$7)</f>
        <v>0.9547270306258322</v>
      </c>
      <c r="T1686" s="3">
        <f>(Таблица1[Срок с последнего нарушения кредитного договора (мес,)]-$AA$12)/($AA$13-$AA$12)</f>
        <v>0.48863636363636365</v>
      </c>
      <c r="U1686" s="3">
        <f>(Таблица1[Количество кредитных карт]-$AA$18)/($AA$19-$AA$18)</f>
        <v>0.16666666666666666</v>
      </c>
      <c r="V1686" s="3">
        <f>(Таблица1[Число нарушений кредитных договоров]-$AA$23)/($AA$24-$AA$23)</f>
        <v>0.14285714285714285</v>
      </c>
      <c r="W1686" s="3">
        <f>Таблица1[[#This Row],[Годовой доход]]/12</f>
        <v>24332.666666666668</v>
      </c>
      <c r="X1686" s="3">
        <f>Таблица1[[#This Row],[Ежемесячный платеж]]/Таблица1[[#This Row],[Ежем доход]]</f>
        <v>0.2479958355023425</v>
      </c>
      <c r="Y1686" s="3"/>
      <c r="Z1686" s="3"/>
      <c r="AA1686" s="3"/>
      <c r="AB1686" s="3"/>
    </row>
    <row r="1687" spans="1:28" x14ac:dyDescent="0.2">
      <c r="A1687">
        <v>1393</v>
      </c>
      <c r="B1687" t="s">
        <v>1432</v>
      </c>
      <c r="C1687" t="s">
        <v>35</v>
      </c>
      <c r="D1687" t="s">
        <v>29</v>
      </c>
      <c r="E1687" t="s">
        <v>32</v>
      </c>
      <c r="F1687" t="s">
        <v>33</v>
      </c>
      <c r="G1687" t="s">
        <v>25</v>
      </c>
      <c r="H1687" s="1">
        <v>268708</v>
      </c>
      <c r="I1687" s="3">
        <v>730</v>
      </c>
      <c r="J1687" s="3">
        <v>870219</v>
      </c>
      <c r="K1687" s="3">
        <v>16454.57</v>
      </c>
      <c r="L1687" s="2">
        <v>23.3</v>
      </c>
      <c r="M1687" s="11">
        <v>35.265240640000002</v>
      </c>
      <c r="N1687" s="3">
        <v>5</v>
      </c>
      <c r="O1687" s="3">
        <v>169195</v>
      </c>
      <c r="P1687" s="3">
        <v>201542</v>
      </c>
      <c r="Q1687" s="10">
        <v>0</v>
      </c>
      <c r="R1687" s="3">
        <f>(Таблица1[Размер кредита]-$AA$2)/$AA$3</f>
        <v>-0.23277846867730181</v>
      </c>
      <c r="S1687" s="3">
        <f>(Таблица1[Кредитный рейтинг]-$AA$7)/($AA$8-$AA$7)</f>
        <v>0.9720372836218375</v>
      </c>
      <c r="T1687" s="3">
        <f>(Таблица1[Срок с последнего нарушения кредитного договора (мес,)]-$AA$12)/($AA$13-$AA$12)</f>
        <v>0.40074137090909095</v>
      </c>
      <c r="U1687" s="3">
        <f>(Таблица1[Количество кредитных карт]-$AA$18)/($AA$19-$AA$18)</f>
        <v>9.5238095238095233E-2</v>
      </c>
      <c r="V1687" s="3">
        <f>(Таблица1[Число нарушений кредитных договоров]-$AA$23)/($AA$24-$AA$23)</f>
        <v>0</v>
      </c>
      <c r="W1687" s="3">
        <f>Таблица1[[#This Row],[Годовой доход]]/12</f>
        <v>72518.25</v>
      </c>
      <c r="X1687" s="3">
        <f>Таблица1[[#This Row],[Ежемесячный платеж]]/Таблица1[[#This Row],[Ежем доход]]</f>
        <v>0.22690246937839784</v>
      </c>
      <c r="Y1687" s="3"/>
      <c r="Z1687" s="3"/>
      <c r="AA1687" s="3"/>
      <c r="AB1687" s="3"/>
    </row>
    <row r="1688" spans="1:28" x14ac:dyDescent="0.2">
      <c r="A1688">
        <v>308</v>
      </c>
      <c r="B1688" t="s">
        <v>350</v>
      </c>
      <c r="C1688" t="s">
        <v>35</v>
      </c>
      <c r="D1688" t="s">
        <v>19</v>
      </c>
      <c r="E1688" t="s">
        <v>63</v>
      </c>
      <c r="F1688" t="s">
        <v>21</v>
      </c>
      <c r="G1688" t="s">
        <v>25</v>
      </c>
      <c r="H1688" s="1">
        <v>141636</v>
      </c>
      <c r="I1688" s="3">
        <v>716</v>
      </c>
      <c r="J1688" s="3">
        <v>1051175</v>
      </c>
      <c r="K1688" s="3">
        <v>13227.04</v>
      </c>
      <c r="L1688" s="2">
        <v>12.5</v>
      </c>
      <c r="M1688" s="11">
        <v>18</v>
      </c>
      <c r="N1688" s="3">
        <v>12</v>
      </c>
      <c r="O1688" s="3">
        <v>151791</v>
      </c>
      <c r="P1688" s="3">
        <v>201322</v>
      </c>
      <c r="Q1688" s="10">
        <v>0</v>
      </c>
      <c r="R1688" s="3">
        <f>(Таблица1[Размер кредита]-$AA$2)/$AA$3</f>
        <v>-0.95623505957283539</v>
      </c>
      <c r="S1688" s="3">
        <f>(Таблица1[Кредитный рейтинг]-$AA$7)/($AA$8-$AA$7)</f>
        <v>0.95339547270306257</v>
      </c>
      <c r="T1688" s="3">
        <f>(Таблица1[Срок с последнего нарушения кредитного договора (мес,)]-$AA$12)/($AA$13-$AA$12)</f>
        <v>0.20454545454545456</v>
      </c>
      <c r="U1688" s="3">
        <f>(Таблица1[Количество кредитных карт]-$AA$18)/($AA$19-$AA$18)</f>
        <v>0.26190476190476192</v>
      </c>
      <c r="V1688" s="3">
        <f>(Таблица1[Число нарушений кредитных договоров]-$AA$23)/($AA$24-$AA$23)</f>
        <v>0</v>
      </c>
      <c r="W1688" s="3">
        <f>Таблица1[[#This Row],[Годовой доход]]/12</f>
        <v>87597.916666666672</v>
      </c>
      <c r="X1688" s="3">
        <f>Таблица1[[#This Row],[Ежемесячный платеж]]/Таблица1[[#This Row],[Ежем доход]]</f>
        <v>0.15099719837324899</v>
      </c>
      <c r="Y1688" s="3"/>
      <c r="Z1688" s="3"/>
      <c r="AA1688" s="3"/>
      <c r="AB1688" s="3"/>
    </row>
    <row r="1689" spans="1:28" x14ac:dyDescent="0.2">
      <c r="A1689">
        <v>1152</v>
      </c>
      <c r="B1689" t="s">
        <v>1191</v>
      </c>
      <c r="C1689" t="s">
        <v>18</v>
      </c>
      <c r="D1689" t="s">
        <v>19</v>
      </c>
      <c r="E1689" t="s">
        <v>24</v>
      </c>
      <c r="F1689" t="s">
        <v>21</v>
      </c>
      <c r="G1689" t="s">
        <v>67</v>
      </c>
      <c r="H1689" s="1">
        <v>108240</v>
      </c>
      <c r="I1689" s="3">
        <v>0</v>
      </c>
      <c r="J1689" s="3">
        <v>1168044</v>
      </c>
      <c r="K1689" s="3">
        <v>12202.37</v>
      </c>
      <c r="L1689" s="2">
        <v>27.2</v>
      </c>
      <c r="M1689" s="11">
        <v>30</v>
      </c>
      <c r="N1689" s="3">
        <v>10</v>
      </c>
      <c r="O1689" s="3">
        <v>68951</v>
      </c>
      <c r="P1689" s="3">
        <v>201102</v>
      </c>
      <c r="Q1689" s="10">
        <v>0</v>
      </c>
      <c r="R1689" s="3">
        <f>(Таблица1[Размер кредита]-$AA$2)/$AA$3</f>
        <v>-1.1463678686066685</v>
      </c>
      <c r="S1689" s="3">
        <f>(Таблица1[Кредитный рейтинг]-$AA$7)/($AA$8-$AA$7)</f>
        <v>0</v>
      </c>
      <c r="T1689" s="3">
        <f>(Таблица1[Срок с последнего нарушения кредитного договора (мес,)]-$AA$12)/($AA$13-$AA$12)</f>
        <v>0.34090909090909088</v>
      </c>
      <c r="U1689" s="3">
        <f>(Таблица1[Количество кредитных карт]-$AA$18)/($AA$19-$AA$18)</f>
        <v>0.21428571428571427</v>
      </c>
      <c r="V1689" s="3">
        <f>(Таблица1[Число нарушений кредитных договоров]-$AA$23)/($AA$24-$AA$23)</f>
        <v>0</v>
      </c>
      <c r="W1689" s="3">
        <f>Таблица1[[#This Row],[Годовой доход]]/12</f>
        <v>97337</v>
      </c>
      <c r="X1689" s="3">
        <f>Таблица1[[#This Row],[Ежемесячный платеж]]/Таблица1[[#This Row],[Ежем доход]]</f>
        <v>0.12536209252391178</v>
      </c>
      <c r="Y1689" s="3"/>
      <c r="Z1689" s="3"/>
      <c r="AA1689" s="3"/>
      <c r="AB1689" s="3"/>
    </row>
    <row r="1690" spans="1:28" x14ac:dyDescent="0.2">
      <c r="A1690">
        <v>1520</v>
      </c>
      <c r="B1690" t="s">
        <v>1559</v>
      </c>
      <c r="C1690" t="s">
        <v>35</v>
      </c>
      <c r="D1690" t="s">
        <v>29</v>
      </c>
      <c r="E1690" t="s">
        <v>24</v>
      </c>
      <c r="F1690" t="s">
        <v>21</v>
      </c>
      <c r="G1690" t="s">
        <v>25</v>
      </c>
      <c r="H1690" s="1">
        <v>319374</v>
      </c>
      <c r="I1690" s="3">
        <v>0</v>
      </c>
      <c r="J1690" s="3">
        <v>1168044</v>
      </c>
      <c r="K1690" s="3">
        <v>12721.64</v>
      </c>
      <c r="L1690" s="2">
        <v>18.600000000000001</v>
      </c>
      <c r="M1690" s="11">
        <v>21</v>
      </c>
      <c r="N1690" s="3">
        <v>4</v>
      </c>
      <c r="O1690" s="3">
        <v>58558</v>
      </c>
      <c r="P1690" s="3">
        <v>200024</v>
      </c>
      <c r="Q1690" s="10">
        <v>0</v>
      </c>
      <c r="R1690" s="3">
        <f>(Таблица1[Размер кредита]-$AA$2)/$AA$3</f>
        <v>5.5677301549916611E-2</v>
      </c>
      <c r="S1690" s="3">
        <f>(Таблица1[Кредитный рейтинг]-$AA$7)/($AA$8-$AA$7)</f>
        <v>0</v>
      </c>
      <c r="T1690" s="3">
        <f>(Таблица1[Срок с последнего нарушения кредитного договора (мес,)]-$AA$12)/($AA$13-$AA$12)</f>
        <v>0.23863636363636365</v>
      </c>
      <c r="U1690" s="3">
        <f>(Таблица1[Количество кредитных карт]-$AA$18)/($AA$19-$AA$18)</f>
        <v>7.1428571428571425E-2</v>
      </c>
      <c r="V1690" s="3">
        <f>(Таблица1[Число нарушений кредитных договоров]-$AA$23)/($AA$24-$AA$23)</f>
        <v>0</v>
      </c>
      <c r="W1690" s="3">
        <f>Таблица1[[#This Row],[Годовой доход]]/12</f>
        <v>97337</v>
      </c>
      <c r="X1690" s="3">
        <f>Таблица1[[#This Row],[Ежемесячный платеж]]/Таблица1[[#This Row],[Ежем доход]]</f>
        <v>0.13069685731016981</v>
      </c>
      <c r="Y1690" s="3"/>
      <c r="Z1690" s="3"/>
      <c r="AA1690" s="3"/>
      <c r="AB1690" s="3"/>
    </row>
    <row r="1691" spans="1:28" x14ac:dyDescent="0.2">
      <c r="A1691">
        <v>57</v>
      </c>
      <c r="B1691" t="s">
        <v>97</v>
      </c>
      <c r="C1691" t="s">
        <v>35</v>
      </c>
      <c r="D1691" t="s">
        <v>19</v>
      </c>
      <c r="E1691" t="s">
        <v>47</v>
      </c>
      <c r="F1691" t="s">
        <v>33</v>
      </c>
      <c r="G1691" t="s">
        <v>98</v>
      </c>
      <c r="H1691" s="1">
        <v>78012</v>
      </c>
      <c r="I1691" s="3">
        <v>738</v>
      </c>
      <c r="J1691" s="3">
        <v>728726</v>
      </c>
      <c r="K1691" s="3">
        <v>10135.36</v>
      </c>
      <c r="L1691" s="2">
        <v>11.4</v>
      </c>
      <c r="M1691" s="11">
        <v>35.265240640000002</v>
      </c>
      <c r="N1691" s="3">
        <v>8</v>
      </c>
      <c r="O1691" s="3">
        <v>104633</v>
      </c>
      <c r="P1691" s="3">
        <v>199936</v>
      </c>
      <c r="Q1691" s="10">
        <v>0</v>
      </c>
      <c r="R1691" s="3">
        <f>(Таблица1[Размер кредита]-$AA$2)/$AA$3</f>
        <v>-1.3184643637400588</v>
      </c>
      <c r="S1691" s="3">
        <f>(Таблица1[Кредитный рейтинг]-$AA$7)/($AA$8-$AA$7)</f>
        <v>0.9826897470039947</v>
      </c>
      <c r="T1691" s="3">
        <f>(Таблица1[Срок с последнего нарушения кредитного договора (мес,)]-$AA$12)/($AA$13-$AA$12)</f>
        <v>0.40074137090909095</v>
      </c>
      <c r="U1691" s="3">
        <f>(Таблица1[Количество кредитных карт]-$AA$18)/($AA$19-$AA$18)</f>
        <v>0.16666666666666666</v>
      </c>
      <c r="V1691" s="3">
        <f>(Таблица1[Число нарушений кредитных договоров]-$AA$23)/($AA$24-$AA$23)</f>
        <v>0</v>
      </c>
      <c r="W1691" s="3">
        <f>Таблица1[[#This Row],[Годовой доход]]/12</f>
        <v>60727.166666666664</v>
      </c>
      <c r="X1691" s="3">
        <f>Таблица1[[#This Row],[Ежемесячный платеж]]/Таблица1[[#This Row],[Ежем доход]]</f>
        <v>0.16689993221046046</v>
      </c>
      <c r="Y1691" s="3"/>
      <c r="Z1691" s="3"/>
      <c r="AA1691" s="3"/>
      <c r="AB1691" s="3"/>
    </row>
    <row r="1692" spans="1:28" x14ac:dyDescent="0.2">
      <c r="A1692">
        <v>775</v>
      </c>
      <c r="B1692" t="s">
        <v>816</v>
      </c>
      <c r="C1692" t="s">
        <v>35</v>
      </c>
      <c r="D1692" t="s">
        <v>19</v>
      </c>
      <c r="E1692" t="s">
        <v>69</v>
      </c>
      <c r="F1692" t="s">
        <v>21</v>
      </c>
      <c r="G1692" t="s">
        <v>70</v>
      </c>
      <c r="H1692" s="1">
        <v>46156</v>
      </c>
      <c r="I1692" s="3">
        <v>654</v>
      </c>
      <c r="J1692" s="3">
        <v>1640745</v>
      </c>
      <c r="K1692" s="3">
        <v>31721.26</v>
      </c>
      <c r="L1692" s="2">
        <v>16.7</v>
      </c>
      <c r="M1692" s="11">
        <v>63</v>
      </c>
      <c r="N1692" s="3">
        <v>8</v>
      </c>
      <c r="O1692" s="3">
        <v>164008</v>
      </c>
      <c r="P1692" s="3">
        <v>199914</v>
      </c>
      <c r="Q1692" s="10">
        <v>0</v>
      </c>
      <c r="R1692" s="3">
        <f>(Таблица1[Размер кредита]-$AA$2)/$AA$3</f>
        <v>-1.4998295201833989</v>
      </c>
      <c r="S1692" s="3">
        <f>(Таблица1[Кредитный рейтинг]-$AA$7)/($AA$8-$AA$7)</f>
        <v>0.87083888149134492</v>
      </c>
      <c r="T1692" s="3">
        <f>(Таблица1[Срок с последнего нарушения кредитного договора (мес,)]-$AA$12)/($AA$13-$AA$12)</f>
        <v>0.71590909090909094</v>
      </c>
      <c r="U1692" s="3">
        <f>(Таблица1[Количество кредитных карт]-$AA$18)/($AA$19-$AA$18)</f>
        <v>0.16666666666666666</v>
      </c>
      <c r="V1692" s="3">
        <f>(Таблица1[Число нарушений кредитных договоров]-$AA$23)/($AA$24-$AA$23)</f>
        <v>0</v>
      </c>
      <c r="W1692" s="3">
        <f>Таблица1[[#This Row],[Годовой доход]]/12</f>
        <v>136728.75</v>
      </c>
      <c r="X1692" s="3">
        <f>Таблица1[[#This Row],[Ежемесячный платеж]]/Таблица1[[#This Row],[Ежем доход]]</f>
        <v>0.23200138961264546</v>
      </c>
      <c r="Y1692" s="3"/>
      <c r="Z1692" s="3"/>
      <c r="AA1692" s="3"/>
      <c r="AB1692" s="3"/>
    </row>
    <row r="1693" spans="1:28" x14ac:dyDescent="0.2">
      <c r="A1693">
        <v>1541</v>
      </c>
      <c r="B1693" t="s">
        <v>1580</v>
      </c>
      <c r="C1693" t="s">
        <v>18</v>
      </c>
      <c r="D1693" t="s">
        <v>19</v>
      </c>
      <c r="E1693" t="s">
        <v>24</v>
      </c>
      <c r="F1693" t="s">
        <v>21</v>
      </c>
      <c r="G1693" t="s">
        <v>25</v>
      </c>
      <c r="H1693" s="1">
        <v>171622</v>
      </c>
      <c r="I1693" s="3">
        <v>0</v>
      </c>
      <c r="J1693" s="3">
        <v>1168044</v>
      </c>
      <c r="K1693" s="3">
        <v>6221.93</v>
      </c>
      <c r="L1693" s="2">
        <v>13.2</v>
      </c>
      <c r="M1693" s="11">
        <v>26</v>
      </c>
      <c r="N1693" s="3">
        <v>7</v>
      </c>
      <c r="O1693" s="3">
        <v>111131</v>
      </c>
      <c r="P1693" s="3">
        <v>199474</v>
      </c>
      <c r="Q1693" s="10">
        <v>0</v>
      </c>
      <c r="R1693" s="3">
        <f>(Таблица1[Размер кредита]-$AA$2)/$AA$3</f>
        <v>-0.78551633841795099</v>
      </c>
      <c r="S1693" s="3">
        <f>(Таблица1[Кредитный рейтинг]-$AA$7)/($AA$8-$AA$7)</f>
        <v>0</v>
      </c>
      <c r="T1693" s="3">
        <f>(Таблица1[Срок с последнего нарушения кредитного договора (мес,)]-$AA$12)/($AA$13-$AA$12)</f>
        <v>0.29545454545454547</v>
      </c>
      <c r="U1693" s="3">
        <f>(Таблица1[Количество кредитных карт]-$AA$18)/($AA$19-$AA$18)</f>
        <v>0.14285714285714285</v>
      </c>
      <c r="V1693" s="3">
        <f>(Таблица1[Число нарушений кредитных договоров]-$AA$23)/($AA$24-$AA$23)</f>
        <v>0</v>
      </c>
      <c r="W1693" s="3">
        <f>Таблица1[[#This Row],[Годовой доход]]/12</f>
        <v>97337</v>
      </c>
      <c r="X1693" s="3">
        <f>Таблица1[[#This Row],[Ежемесячный платеж]]/Таблица1[[#This Row],[Ежем доход]]</f>
        <v>6.3921530353308609E-2</v>
      </c>
      <c r="Y1693" s="3"/>
      <c r="Z1693" s="3"/>
      <c r="AA1693" s="3"/>
      <c r="AB1693" s="3"/>
    </row>
    <row r="1694" spans="1:28" x14ac:dyDescent="0.2">
      <c r="A1694">
        <v>1385</v>
      </c>
      <c r="B1694" t="s">
        <v>1424</v>
      </c>
      <c r="C1694" t="s">
        <v>18</v>
      </c>
      <c r="D1694" t="s">
        <v>19</v>
      </c>
      <c r="E1694" t="s">
        <v>20</v>
      </c>
      <c r="F1694" t="s">
        <v>21</v>
      </c>
      <c r="G1694" t="s">
        <v>70</v>
      </c>
      <c r="H1694" s="1">
        <v>309594.52439999999</v>
      </c>
      <c r="I1694" s="3">
        <v>651</v>
      </c>
      <c r="J1694" s="3">
        <v>3244535</v>
      </c>
      <c r="K1694" s="3">
        <v>15925.23</v>
      </c>
      <c r="L1694" s="2">
        <v>7.4</v>
      </c>
      <c r="M1694" s="11">
        <v>35.265240640000002</v>
      </c>
      <c r="N1694" s="3">
        <v>6</v>
      </c>
      <c r="O1694" s="3">
        <v>40622</v>
      </c>
      <c r="P1694" s="3">
        <v>199276</v>
      </c>
      <c r="Q1694" s="10">
        <v>2</v>
      </c>
      <c r="R1694" s="3">
        <f>(Таблица1[Размер кредита]-$AA$2)/$AA$3</f>
        <v>-1.2411115481956205E-10</v>
      </c>
      <c r="S1694" s="3">
        <f>(Таблица1[Кредитный рейтинг]-$AA$7)/($AA$8-$AA$7)</f>
        <v>0.86684420772303594</v>
      </c>
      <c r="T1694" s="3">
        <f>(Таблица1[Срок с последнего нарушения кредитного договора (мес,)]-$AA$12)/($AA$13-$AA$12)</f>
        <v>0.40074137090909095</v>
      </c>
      <c r="U1694" s="3">
        <f>(Таблица1[Количество кредитных карт]-$AA$18)/($AA$19-$AA$18)</f>
        <v>0.11904761904761904</v>
      </c>
      <c r="V1694" s="3">
        <f>(Таблица1[Число нарушений кредитных договоров]-$AA$23)/($AA$24-$AA$23)</f>
        <v>0.2857142857142857</v>
      </c>
      <c r="W1694" s="3">
        <f>Таблица1[[#This Row],[Годовой доход]]/12</f>
        <v>270377.91666666669</v>
      </c>
      <c r="X1694" s="3">
        <f>Таблица1[[#This Row],[Ежемесячный платеж]]/Таблица1[[#This Row],[Ежем доход]]</f>
        <v>5.8899891663982663E-2</v>
      </c>
      <c r="Y1694" s="3"/>
      <c r="Z1694" s="3"/>
      <c r="AA1694" s="3"/>
      <c r="AB1694" s="3"/>
    </row>
    <row r="1695" spans="1:28" x14ac:dyDescent="0.2">
      <c r="A1695">
        <v>1234</v>
      </c>
      <c r="B1695" t="s">
        <v>1273</v>
      </c>
      <c r="C1695" t="s">
        <v>35</v>
      </c>
      <c r="D1695" t="s">
        <v>19</v>
      </c>
      <c r="E1695" t="s">
        <v>24</v>
      </c>
      <c r="F1695" t="s">
        <v>33</v>
      </c>
      <c r="G1695" t="s">
        <v>25</v>
      </c>
      <c r="H1695" s="1">
        <v>129668</v>
      </c>
      <c r="I1695" s="3">
        <v>744</v>
      </c>
      <c r="J1695" s="3">
        <v>466602</v>
      </c>
      <c r="K1695" s="3">
        <v>10887.19</v>
      </c>
      <c r="L1695" s="2">
        <v>23.4</v>
      </c>
      <c r="M1695" s="11">
        <v>35.265240640000002</v>
      </c>
      <c r="N1695" s="3">
        <v>9</v>
      </c>
      <c r="O1695" s="3">
        <v>129789</v>
      </c>
      <c r="P1695" s="3">
        <v>198770</v>
      </c>
      <c r="Q1695" s="10">
        <v>0</v>
      </c>
      <c r="R1695" s="3">
        <f>(Таблица1[Размер кредита]-$AA$2)/$AA$3</f>
        <v>-1.0243722454189521</v>
      </c>
      <c r="S1695" s="3">
        <f>(Таблица1[Кредитный рейтинг]-$AA$7)/($AA$8-$AA$7)</f>
        <v>0.99067909454061254</v>
      </c>
      <c r="T1695" s="3">
        <f>(Таблица1[Срок с последнего нарушения кредитного договора (мес,)]-$AA$12)/($AA$13-$AA$12)</f>
        <v>0.40074137090909095</v>
      </c>
      <c r="U1695" s="3">
        <f>(Таблица1[Количество кредитных карт]-$AA$18)/($AA$19-$AA$18)</f>
        <v>0.19047619047619047</v>
      </c>
      <c r="V1695" s="3">
        <f>(Таблица1[Число нарушений кредитных договоров]-$AA$23)/($AA$24-$AA$23)</f>
        <v>0</v>
      </c>
      <c r="W1695" s="3">
        <f>Таблица1[[#This Row],[Годовой доход]]/12</f>
        <v>38883.5</v>
      </c>
      <c r="X1695" s="3">
        <f>Таблица1[[#This Row],[Ежемесячный платеж]]/Таблица1[[#This Row],[Ежем доход]]</f>
        <v>0.27999511360860008</v>
      </c>
      <c r="Y1695" s="3"/>
      <c r="Z1695" s="3"/>
      <c r="AA1695" s="3"/>
      <c r="AB1695" s="3"/>
    </row>
    <row r="1696" spans="1:28" x14ac:dyDescent="0.2">
      <c r="A1696">
        <v>234</v>
      </c>
      <c r="B1696" t="s">
        <v>276</v>
      </c>
      <c r="C1696" t="s">
        <v>18</v>
      </c>
      <c r="D1696" t="s">
        <v>19</v>
      </c>
      <c r="E1696" t="s">
        <v>30</v>
      </c>
      <c r="F1696" t="s">
        <v>33</v>
      </c>
      <c r="G1696" t="s">
        <v>25</v>
      </c>
      <c r="H1696" s="1">
        <v>309594.52439999999</v>
      </c>
      <c r="I1696" s="3">
        <v>699</v>
      </c>
      <c r="J1696" s="3">
        <v>656849</v>
      </c>
      <c r="K1696" s="3">
        <v>3848.07</v>
      </c>
      <c r="L1696" s="2">
        <v>11.7</v>
      </c>
      <c r="M1696" s="11">
        <v>60</v>
      </c>
      <c r="N1696" s="3">
        <v>10</v>
      </c>
      <c r="O1696" s="3">
        <v>30552</v>
      </c>
      <c r="P1696" s="3">
        <v>198682</v>
      </c>
      <c r="Q1696" s="10">
        <v>0</v>
      </c>
      <c r="R1696" s="3">
        <f>(Таблица1[Размер кредита]-$AA$2)/$AA$3</f>
        <v>-1.2411115481956205E-10</v>
      </c>
      <c r="S1696" s="3">
        <f>(Таблица1[Кредитный рейтинг]-$AA$7)/($AA$8-$AA$7)</f>
        <v>0.93075898801597867</v>
      </c>
      <c r="T1696" s="3">
        <f>(Таблица1[Срок с последнего нарушения кредитного договора (мес,)]-$AA$12)/($AA$13-$AA$12)</f>
        <v>0.68181818181818177</v>
      </c>
      <c r="U1696" s="3">
        <f>(Таблица1[Количество кредитных карт]-$AA$18)/($AA$19-$AA$18)</f>
        <v>0.21428571428571427</v>
      </c>
      <c r="V1696" s="3">
        <f>(Таблица1[Число нарушений кредитных договоров]-$AA$23)/($AA$24-$AA$23)</f>
        <v>0</v>
      </c>
      <c r="W1696" s="3">
        <f>Таблица1[[#This Row],[Годовой доход]]/12</f>
        <v>54737.416666666664</v>
      </c>
      <c r="X1696" s="3">
        <f>Таблица1[[#This Row],[Ежемесячный платеж]]/Таблица1[[#This Row],[Ежем доход]]</f>
        <v>7.0300540915796489E-2</v>
      </c>
      <c r="Y1696" s="3"/>
      <c r="Z1696" s="3"/>
      <c r="AA1696" s="3"/>
      <c r="AB1696" s="3"/>
    </row>
    <row r="1697" spans="1:28" x14ac:dyDescent="0.2">
      <c r="A1697">
        <v>223</v>
      </c>
      <c r="B1697" t="s">
        <v>265</v>
      </c>
      <c r="C1697" t="s">
        <v>35</v>
      </c>
      <c r="D1697" t="s">
        <v>19</v>
      </c>
      <c r="E1697" t="s">
        <v>41</v>
      </c>
      <c r="F1697" t="s">
        <v>33</v>
      </c>
      <c r="G1697" t="s">
        <v>70</v>
      </c>
      <c r="H1697" s="1">
        <v>292292</v>
      </c>
      <c r="I1697" s="3">
        <v>741</v>
      </c>
      <c r="J1697" s="3">
        <v>666805</v>
      </c>
      <c r="K1697" s="3">
        <v>6223.45</v>
      </c>
      <c r="L1697" s="2">
        <v>15</v>
      </c>
      <c r="M1697" s="11">
        <v>35.265240640000002</v>
      </c>
      <c r="N1697" s="3">
        <v>7</v>
      </c>
      <c r="O1697" s="3">
        <v>81016</v>
      </c>
      <c r="P1697" s="3">
        <v>198352</v>
      </c>
      <c r="Q1697" s="10">
        <v>0</v>
      </c>
      <c r="R1697" s="3">
        <f>(Таблица1[Размер кредита]-$AA$2)/$AA$3</f>
        <v>-9.8508131862895323E-2</v>
      </c>
      <c r="S1697" s="3">
        <f>(Таблица1[Кредитный рейтинг]-$AA$7)/($AA$8-$AA$7)</f>
        <v>0.98668442077230356</v>
      </c>
      <c r="T1697" s="3">
        <f>(Таблица1[Срок с последнего нарушения кредитного договора (мес,)]-$AA$12)/($AA$13-$AA$12)</f>
        <v>0.40074137090909095</v>
      </c>
      <c r="U1697" s="3">
        <f>(Таблица1[Количество кредитных карт]-$AA$18)/($AA$19-$AA$18)</f>
        <v>0.14285714285714285</v>
      </c>
      <c r="V1697" s="3">
        <f>(Таблица1[Число нарушений кредитных договоров]-$AA$23)/($AA$24-$AA$23)</f>
        <v>0</v>
      </c>
      <c r="W1697" s="3">
        <f>Таблица1[[#This Row],[Годовой доход]]/12</f>
        <v>55567.083333333336</v>
      </c>
      <c r="X1697" s="3">
        <f>Таблица1[[#This Row],[Ежемесячный платеж]]/Таблица1[[#This Row],[Ежем доход]]</f>
        <v>0.11199886023650092</v>
      </c>
      <c r="Y1697" s="3"/>
      <c r="Z1697" s="3"/>
      <c r="AA1697" s="3"/>
      <c r="AB1697" s="3"/>
    </row>
    <row r="1698" spans="1:28" x14ac:dyDescent="0.2">
      <c r="A1698">
        <v>193</v>
      </c>
      <c r="B1698" t="s">
        <v>235</v>
      </c>
      <c r="C1698" t="s">
        <v>35</v>
      </c>
      <c r="D1698" t="s">
        <v>19</v>
      </c>
      <c r="E1698" t="s">
        <v>37</v>
      </c>
      <c r="F1698" t="s">
        <v>33</v>
      </c>
      <c r="G1698" t="s">
        <v>25</v>
      </c>
      <c r="H1698" s="1">
        <v>107536</v>
      </c>
      <c r="I1698" s="3">
        <v>0</v>
      </c>
      <c r="J1698" s="3">
        <v>1168044</v>
      </c>
      <c r="K1698" s="3">
        <v>22176.61</v>
      </c>
      <c r="L1698" s="2">
        <v>13.5</v>
      </c>
      <c r="M1698" s="11">
        <v>35.265240640000002</v>
      </c>
      <c r="N1698" s="3">
        <v>7</v>
      </c>
      <c r="O1698" s="3">
        <v>107483</v>
      </c>
      <c r="P1698" s="3">
        <v>197868</v>
      </c>
      <c r="Q1698" s="10">
        <v>0</v>
      </c>
      <c r="R1698" s="3">
        <f>(Таблица1[Размер кредита]-$AA$2)/$AA$3</f>
        <v>-1.1503759383623224</v>
      </c>
      <c r="S1698" s="3">
        <f>(Таблица1[Кредитный рейтинг]-$AA$7)/($AA$8-$AA$7)</f>
        <v>0</v>
      </c>
      <c r="T1698" s="3">
        <f>(Таблица1[Срок с последнего нарушения кредитного договора (мес,)]-$AA$12)/($AA$13-$AA$12)</f>
        <v>0.40074137090909095</v>
      </c>
      <c r="U1698" s="3">
        <f>(Таблица1[Количество кредитных карт]-$AA$18)/($AA$19-$AA$18)</f>
        <v>0.14285714285714285</v>
      </c>
      <c r="V1698" s="3">
        <f>(Таблица1[Число нарушений кредитных договоров]-$AA$23)/($AA$24-$AA$23)</f>
        <v>0</v>
      </c>
      <c r="W1698" s="3">
        <f>Таблица1[[#This Row],[Годовой доход]]/12</f>
        <v>97337</v>
      </c>
      <c r="X1698" s="3">
        <f>Таблица1[[#This Row],[Ежемесячный платеж]]/Таблица1[[#This Row],[Ежем доход]]</f>
        <v>0.22783330080031233</v>
      </c>
      <c r="Y1698" s="3"/>
      <c r="Z1698" s="3"/>
      <c r="AA1698" s="3"/>
      <c r="AB1698" s="3"/>
    </row>
    <row r="1699" spans="1:28" x14ac:dyDescent="0.2">
      <c r="A1699">
        <v>1936</v>
      </c>
      <c r="B1699" t="s">
        <v>1972</v>
      </c>
      <c r="C1699" t="s">
        <v>35</v>
      </c>
      <c r="D1699" t="s">
        <v>19</v>
      </c>
      <c r="E1699" t="s">
        <v>24</v>
      </c>
      <c r="F1699" t="s">
        <v>33</v>
      </c>
      <c r="G1699" t="s">
        <v>25</v>
      </c>
      <c r="H1699" s="1">
        <v>142912</v>
      </c>
      <c r="I1699" s="3">
        <v>711</v>
      </c>
      <c r="J1699" s="3">
        <v>1060675</v>
      </c>
      <c r="K1699" s="3">
        <v>6885.6</v>
      </c>
      <c r="L1699" s="2">
        <v>14.7</v>
      </c>
      <c r="M1699" s="11">
        <v>35.265240640000002</v>
      </c>
      <c r="N1699" s="3">
        <v>7</v>
      </c>
      <c r="O1699" s="3">
        <v>138016</v>
      </c>
      <c r="P1699" s="3">
        <v>197560</v>
      </c>
      <c r="Q1699" s="10">
        <v>0</v>
      </c>
      <c r="R1699" s="3">
        <f>(Таблица1[Размер кредита]-$AA$2)/$AA$3</f>
        <v>-0.94897043314071261</v>
      </c>
      <c r="S1699" s="3">
        <f>(Таблица1[Кредитный рейтинг]-$AA$7)/($AA$8-$AA$7)</f>
        <v>0.94673768308921435</v>
      </c>
      <c r="T1699" s="3">
        <f>(Таблица1[Срок с последнего нарушения кредитного договора (мес,)]-$AA$12)/($AA$13-$AA$12)</f>
        <v>0.40074137090909095</v>
      </c>
      <c r="U1699" s="3">
        <f>(Таблица1[Количество кредитных карт]-$AA$18)/($AA$19-$AA$18)</f>
        <v>0.14285714285714285</v>
      </c>
      <c r="V1699" s="3">
        <f>(Таблица1[Число нарушений кредитных договоров]-$AA$23)/($AA$24-$AA$23)</f>
        <v>0</v>
      </c>
      <c r="W1699" s="3">
        <f>Таблица1[[#This Row],[Годовой доход]]/12</f>
        <v>88389.583333333328</v>
      </c>
      <c r="X1699" s="3">
        <f>Таблица1[[#This Row],[Ежемесячный платеж]]/Таблица1[[#This Row],[Ежем доход]]</f>
        <v>7.7900582176444258E-2</v>
      </c>
      <c r="Y1699" s="3"/>
      <c r="Z1699" s="3"/>
      <c r="AA1699" s="3"/>
      <c r="AB1699" s="3"/>
    </row>
    <row r="1700" spans="1:28" x14ac:dyDescent="0.2">
      <c r="A1700">
        <v>537</v>
      </c>
      <c r="B1700" t="s">
        <v>578</v>
      </c>
      <c r="C1700" t="s">
        <v>35</v>
      </c>
      <c r="D1700" t="s">
        <v>29</v>
      </c>
      <c r="E1700" t="s">
        <v>30</v>
      </c>
      <c r="F1700" t="s">
        <v>21</v>
      </c>
      <c r="G1700" t="s">
        <v>25</v>
      </c>
      <c r="H1700" s="1">
        <v>526460</v>
      </c>
      <c r="I1700" s="3">
        <v>688</v>
      </c>
      <c r="J1700" s="3">
        <v>1041979</v>
      </c>
      <c r="K1700" s="3">
        <v>28306.959999999999</v>
      </c>
      <c r="L1700" s="2">
        <v>30.8</v>
      </c>
      <c r="M1700" s="11">
        <v>35.265240640000002</v>
      </c>
      <c r="N1700" s="3">
        <v>20</v>
      </c>
      <c r="O1700" s="3">
        <v>157434</v>
      </c>
      <c r="P1700" s="3">
        <v>197494</v>
      </c>
      <c r="Q1700" s="10">
        <v>0</v>
      </c>
      <c r="R1700" s="3">
        <f>(Таблица1[Размер кредита]-$AA$2)/$AA$3</f>
        <v>1.2346760706114916</v>
      </c>
      <c r="S1700" s="3">
        <f>(Таблица1[Кредитный рейтинг]-$AA$7)/($AA$8-$AA$7)</f>
        <v>0.91611185086551261</v>
      </c>
      <c r="T1700" s="3">
        <f>(Таблица1[Срок с последнего нарушения кредитного договора (мес,)]-$AA$12)/($AA$13-$AA$12)</f>
        <v>0.40074137090909095</v>
      </c>
      <c r="U1700" s="3">
        <f>(Таблица1[Количество кредитных карт]-$AA$18)/($AA$19-$AA$18)</f>
        <v>0.45238095238095238</v>
      </c>
      <c r="V1700" s="3">
        <f>(Таблица1[Число нарушений кредитных договоров]-$AA$23)/($AA$24-$AA$23)</f>
        <v>0</v>
      </c>
      <c r="W1700" s="3">
        <f>Таблица1[[#This Row],[Годовой доход]]/12</f>
        <v>86831.583333333328</v>
      </c>
      <c r="X1700" s="3">
        <f>Таблица1[[#This Row],[Ежемесячный платеж]]/Таблица1[[#This Row],[Ежем доход]]</f>
        <v>0.32599843183020005</v>
      </c>
      <c r="Y1700" s="3"/>
      <c r="Z1700" s="3"/>
      <c r="AA1700" s="3"/>
      <c r="AB1700" s="3"/>
    </row>
    <row r="1701" spans="1:28" x14ac:dyDescent="0.2">
      <c r="A1701">
        <v>456</v>
      </c>
      <c r="B1701" t="s">
        <v>497</v>
      </c>
      <c r="C1701" t="s">
        <v>18</v>
      </c>
      <c r="D1701" t="s">
        <v>29</v>
      </c>
      <c r="E1701" t="s">
        <v>41</v>
      </c>
      <c r="F1701" t="s">
        <v>33</v>
      </c>
      <c r="G1701" t="s">
        <v>25</v>
      </c>
      <c r="H1701" s="1">
        <v>216832</v>
      </c>
      <c r="I1701" s="3">
        <v>0</v>
      </c>
      <c r="J1701" s="3">
        <v>1168044</v>
      </c>
      <c r="K1701" s="3">
        <v>25920.560000000001</v>
      </c>
      <c r="L1701" s="2">
        <v>14</v>
      </c>
      <c r="M1701" s="11">
        <v>15</v>
      </c>
      <c r="N1701" s="3">
        <v>8</v>
      </c>
      <c r="O1701" s="3">
        <v>97052</v>
      </c>
      <c r="P1701" s="3">
        <v>197164</v>
      </c>
      <c r="Q1701" s="10">
        <v>1</v>
      </c>
      <c r="R1701" s="3">
        <f>(Таблица1[Размер кредита]-$AA$2)/$AA$3</f>
        <v>-0.52812310879705049</v>
      </c>
      <c r="S1701" s="3">
        <f>(Таблица1[Кредитный рейтинг]-$AA$7)/($AA$8-$AA$7)</f>
        <v>0</v>
      </c>
      <c r="T1701" s="3">
        <f>(Таблица1[Срок с последнего нарушения кредитного договора (мес,)]-$AA$12)/($AA$13-$AA$12)</f>
        <v>0.17045454545454544</v>
      </c>
      <c r="U1701" s="3">
        <f>(Таблица1[Количество кредитных карт]-$AA$18)/($AA$19-$AA$18)</f>
        <v>0.16666666666666666</v>
      </c>
      <c r="V1701" s="3">
        <f>(Таблица1[Число нарушений кредитных договоров]-$AA$23)/($AA$24-$AA$23)</f>
        <v>0.14285714285714285</v>
      </c>
      <c r="W1701" s="3">
        <f>Таблица1[[#This Row],[Годовой доход]]/12</f>
        <v>97337</v>
      </c>
      <c r="X1701" s="3">
        <f>Таблица1[[#This Row],[Ежемесячный платеж]]/Таблица1[[#This Row],[Ежем доход]]</f>
        <v>0.26629709154792114</v>
      </c>
      <c r="Y1701" s="3"/>
      <c r="Z1701" s="3"/>
      <c r="AA1701" s="3"/>
      <c r="AB1701" s="3"/>
    </row>
    <row r="1702" spans="1:28" x14ac:dyDescent="0.2">
      <c r="A1702">
        <v>1647</v>
      </c>
      <c r="B1702" t="s">
        <v>1685</v>
      </c>
      <c r="C1702" t="s">
        <v>18</v>
      </c>
      <c r="D1702" t="s">
        <v>19</v>
      </c>
      <c r="E1702" t="s">
        <v>30</v>
      </c>
      <c r="F1702" t="s">
        <v>33</v>
      </c>
      <c r="G1702" t="s">
        <v>67</v>
      </c>
      <c r="H1702" s="1">
        <v>215666</v>
      </c>
      <c r="I1702" s="3">
        <v>691</v>
      </c>
      <c r="J1702" s="3">
        <v>651909</v>
      </c>
      <c r="K1702" s="3">
        <v>2982.62</v>
      </c>
      <c r="L1702" s="2">
        <v>11.3</v>
      </c>
      <c r="M1702" s="11">
        <v>36</v>
      </c>
      <c r="N1702" s="3">
        <v>7</v>
      </c>
      <c r="O1702" s="3">
        <v>79496</v>
      </c>
      <c r="P1702" s="3">
        <v>196262</v>
      </c>
      <c r="Q1702" s="10">
        <v>0</v>
      </c>
      <c r="R1702" s="3">
        <f>(Таблица1[Размер кредита]-$AA$2)/$AA$3</f>
        <v>-0.53476147432985222</v>
      </c>
      <c r="S1702" s="3">
        <f>(Таблица1[Кредитный рейтинг]-$AA$7)/($AA$8-$AA$7)</f>
        <v>0.92010652463382159</v>
      </c>
      <c r="T1702" s="3">
        <f>(Таблица1[Срок с последнего нарушения кредитного договора (мес,)]-$AA$12)/($AA$13-$AA$12)</f>
        <v>0.40909090909090912</v>
      </c>
      <c r="U1702" s="3">
        <f>(Таблица1[Количество кредитных карт]-$AA$18)/($AA$19-$AA$18)</f>
        <v>0.14285714285714285</v>
      </c>
      <c r="V1702" s="3">
        <f>(Таблица1[Число нарушений кредитных договоров]-$AA$23)/($AA$24-$AA$23)</f>
        <v>0</v>
      </c>
      <c r="W1702" s="3">
        <f>Таблица1[[#This Row],[Годовой доход]]/12</f>
        <v>54325.75</v>
      </c>
      <c r="X1702" s="3">
        <f>Таблица1[[#This Row],[Ежемесячный платеж]]/Таблица1[[#This Row],[Ежем доход]]</f>
        <v>5.4902509399318004E-2</v>
      </c>
      <c r="Y1702" s="3"/>
      <c r="Z1702" s="3"/>
      <c r="AA1702" s="3"/>
      <c r="AB1702" s="3"/>
    </row>
    <row r="1703" spans="1:28" x14ac:dyDescent="0.2">
      <c r="A1703">
        <v>1774</v>
      </c>
      <c r="B1703" t="s">
        <v>1812</v>
      </c>
      <c r="C1703" t="s">
        <v>35</v>
      </c>
      <c r="D1703" t="s">
        <v>19</v>
      </c>
      <c r="E1703" t="s">
        <v>47</v>
      </c>
      <c r="F1703" t="s">
        <v>33</v>
      </c>
      <c r="G1703" t="s">
        <v>25</v>
      </c>
      <c r="H1703" s="1">
        <v>288222</v>
      </c>
      <c r="I1703" s="3">
        <v>659</v>
      </c>
      <c r="J1703" s="3">
        <v>734027</v>
      </c>
      <c r="K1703" s="3">
        <v>20002.439999999999</v>
      </c>
      <c r="L1703" s="2">
        <v>8.9</v>
      </c>
      <c r="M1703" s="11">
        <v>35.265240640000002</v>
      </c>
      <c r="N1703" s="3">
        <v>24</v>
      </c>
      <c r="O1703" s="3">
        <v>52383</v>
      </c>
      <c r="P1703" s="3">
        <v>196262</v>
      </c>
      <c r="Q1703" s="10">
        <v>0</v>
      </c>
      <c r="R1703" s="3">
        <f>(Таблица1[Размер кредита]-$AA$2)/$AA$3</f>
        <v>-0.12167978513776959</v>
      </c>
      <c r="S1703" s="3">
        <f>(Таблица1[Кредитный рейтинг]-$AA$7)/($AA$8-$AA$7)</f>
        <v>0.87749667110519303</v>
      </c>
      <c r="T1703" s="3">
        <f>(Таблица1[Срок с последнего нарушения кредитного договора (мес,)]-$AA$12)/($AA$13-$AA$12)</f>
        <v>0.40074137090909095</v>
      </c>
      <c r="U1703" s="3">
        <f>(Таблица1[Количество кредитных карт]-$AA$18)/($AA$19-$AA$18)</f>
        <v>0.54761904761904767</v>
      </c>
      <c r="V1703" s="3">
        <f>(Таблица1[Число нарушений кредитных договоров]-$AA$23)/($AA$24-$AA$23)</f>
        <v>0</v>
      </c>
      <c r="W1703" s="3">
        <f>Таблица1[[#This Row],[Годовой доход]]/12</f>
        <v>61168.916666666664</v>
      </c>
      <c r="X1703" s="3">
        <f>Таблица1[[#This Row],[Ежемесячный платеж]]/Таблица1[[#This Row],[Ежем доход]]</f>
        <v>0.32700333911422874</v>
      </c>
      <c r="Y1703" s="3"/>
      <c r="Z1703" s="3"/>
      <c r="AA1703" s="3"/>
      <c r="AB1703" s="3"/>
    </row>
    <row r="1704" spans="1:28" x14ac:dyDescent="0.2">
      <c r="A1704">
        <v>212</v>
      </c>
      <c r="B1704" t="s">
        <v>254</v>
      </c>
      <c r="C1704" t="s">
        <v>18</v>
      </c>
      <c r="D1704" t="s">
        <v>19</v>
      </c>
      <c r="E1704" t="s">
        <v>63</v>
      </c>
      <c r="F1704" t="s">
        <v>33</v>
      </c>
      <c r="G1704" t="s">
        <v>25</v>
      </c>
      <c r="H1704" s="1">
        <v>104368</v>
      </c>
      <c r="I1704" s="3">
        <v>691</v>
      </c>
      <c r="J1704" s="3">
        <v>853974</v>
      </c>
      <c r="K1704" s="3">
        <v>22559.08</v>
      </c>
      <c r="L1704" s="2">
        <v>20</v>
      </c>
      <c r="M1704" s="11">
        <v>32</v>
      </c>
      <c r="N1704" s="3">
        <v>10</v>
      </c>
      <c r="O1704" s="3">
        <v>116223</v>
      </c>
      <c r="P1704" s="3">
        <v>195580</v>
      </c>
      <c r="Q1704" s="10">
        <v>1</v>
      </c>
      <c r="R1704" s="3">
        <f>(Таблица1[Размер кредита]-$AA$2)/$AA$3</f>
        <v>-1.1684122522627649</v>
      </c>
      <c r="S1704" s="3">
        <f>(Таблица1[Кредитный рейтинг]-$AA$7)/($AA$8-$AA$7)</f>
        <v>0.92010652463382159</v>
      </c>
      <c r="T1704" s="3">
        <f>(Таблица1[Срок с последнего нарушения кредитного договора (мес,)]-$AA$12)/($AA$13-$AA$12)</f>
        <v>0.36363636363636365</v>
      </c>
      <c r="U1704" s="3">
        <f>(Таблица1[Количество кредитных карт]-$AA$18)/($AA$19-$AA$18)</f>
        <v>0.21428571428571427</v>
      </c>
      <c r="V1704" s="3">
        <f>(Таблица1[Число нарушений кредитных договоров]-$AA$23)/($AA$24-$AA$23)</f>
        <v>0.14285714285714285</v>
      </c>
      <c r="W1704" s="3">
        <f>Таблица1[[#This Row],[Годовой доход]]/12</f>
        <v>71164.5</v>
      </c>
      <c r="X1704" s="3">
        <f>Таблица1[[#This Row],[Ежемесячный платеж]]/Таблица1[[#This Row],[Ежем доход]]</f>
        <v>0.31699906554532109</v>
      </c>
      <c r="Y1704" s="3"/>
      <c r="Z1704" s="3"/>
      <c r="AA1704" s="3"/>
      <c r="AB1704" s="3"/>
    </row>
    <row r="1705" spans="1:28" x14ac:dyDescent="0.2">
      <c r="A1705">
        <v>269</v>
      </c>
      <c r="B1705" t="s">
        <v>311</v>
      </c>
      <c r="C1705" t="s">
        <v>18</v>
      </c>
      <c r="D1705" t="s">
        <v>19</v>
      </c>
      <c r="E1705" t="s">
        <v>24</v>
      </c>
      <c r="F1705" t="s">
        <v>21</v>
      </c>
      <c r="G1705" t="s">
        <v>25</v>
      </c>
      <c r="H1705" s="1">
        <v>309594.52439999999</v>
      </c>
      <c r="I1705" s="3">
        <v>721</v>
      </c>
      <c r="J1705" s="3">
        <v>805733</v>
      </c>
      <c r="K1705" s="3">
        <v>12757.55</v>
      </c>
      <c r="L1705" s="2">
        <v>15.9</v>
      </c>
      <c r="M1705" s="11">
        <v>45</v>
      </c>
      <c r="N1705" s="3">
        <v>9</v>
      </c>
      <c r="O1705" s="3">
        <v>93347</v>
      </c>
      <c r="P1705" s="3">
        <v>195448</v>
      </c>
      <c r="Q1705" s="10">
        <v>0</v>
      </c>
      <c r="R1705" s="3">
        <f>(Таблица1[Размер кредита]-$AA$2)/$AA$3</f>
        <v>-1.2411115481956205E-10</v>
      </c>
      <c r="S1705" s="3">
        <f>(Таблица1[Кредитный рейтинг]-$AA$7)/($AA$8-$AA$7)</f>
        <v>0.96005326231691079</v>
      </c>
      <c r="T1705" s="3">
        <f>(Таблица1[Срок с последнего нарушения кредитного договора (мес,)]-$AA$12)/($AA$13-$AA$12)</f>
        <v>0.51136363636363635</v>
      </c>
      <c r="U1705" s="3">
        <f>(Таблица1[Количество кредитных карт]-$AA$18)/($AA$19-$AA$18)</f>
        <v>0.19047619047619047</v>
      </c>
      <c r="V1705" s="3">
        <f>(Таблица1[Число нарушений кредитных договоров]-$AA$23)/($AA$24-$AA$23)</f>
        <v>0</v>
      </c>
      <c r="W1705" s="3">
        <f>Таблица1[[#This Row],[Годовой доход]]/12</f>
        <v>67144.416666666672</v>
      </c>
      <c r="X1705" s="3">
        <f>Таблица1[[#This Row],[Ежемесячный платеж]]/Таблица1[[#This Row],[Ежем доход]]</f>
        <v>0.19000165067087979</v>
      </c>
      <c r="Y1705" s="3"/>
      <c r="Z1705" s="3"/>
      <c r="AA1705" s="3"/>
      <c r="AB1705" s="3"/>
    </row>
    <row r="1706" spans="1:28" x14ac:dyDescent="0.2">
      <c r="A1706">
        <v>1581</v>
      </c>
      <c r="B1706" t="s">
        <v>1620</v>
      </c>
      <c r="C1706" t="s">
        <v>18</v>
      </c>
      <c r="D1706" t="s">
        <v>19</v>
      </c>
      <c r="E1706" t="s">
        <v>69</v>
      </c>
      <c r="F1706" t="s">
        <v>21</v>
      </c>
      <c r="G1706" t="s">
        <v>25</v>
      </c>
      <c r="H1706" s="1">
        <v>173646</v>
      </c>
      <c r="I1706" s="3">
        <v>710</v>
      </c>
      <c r="J1706" s="3">
        <v>875026</v>
      </c>
      <c r="K1706" s="3">
        <v>13949.61</v>
      </c>
      <c r="L1706" s="2">
        <v>21.4</v>
      </c>
      <c r="M1706" s="11">
        <v>19</v>
      </c>
      <c r="N1706" s="3">
        <v>11</v>
      </c>
      <c r="O1706" s="3">
        <v>112176</v>
      </c>
      <c r="P1706" s="3">
        <v>195294</v>
      </c>
      <c r="Q1706" s="10">
        <v>0</v>
      </c>
      <c r="R1706" s="3">
        <f>(Таблица1[Размер кредита]-$AA$2)/$AA$3</f>
        <v>-0.77399313787044588</v>
      </c>
      <c r="S1706" s="3">
        <f>(Таблица1[Кредитный рейтинг]-$AA$7)/($AA$8-$AA$7)</f>
        <v>0.94540612516644473</v>
      </c>
      <c r="T1706" s="3">
        <f>(Таблица1[Срок с последнего нарушения кредитного договора (мес,)]-$AA$12)/($AA$13-$AA$12)</f>
        <v>0.21590909090909091</v>
      </c>
      <c r="U1706" s="3">
        <f>(Таблица1[Количество кредитных карт]-$AA$18)/($AA$19-$AA$18)</f>
        <v>0.23809523809523808</v>
      </c>
      <c r="V1706" s="3">
        <f>(Таблица1[Число нарушений кредитных договоров]-$AA$23)/($AA$24-$AA$23)</f>
        <v>0</v>
      </c>
      <c r="W1706" s="3">
        <f>Таблица1[[#This Row],[Годовой доход]]/12</f>
        <v>72918.833333333328</v>
      </c>
      <c r="X1706" s="3">
        <f>Таблица1[[#This Row],[Ежемесячный платеж]]/Таблица1[[#This Row],[Ежем доход]]</f>
        <v>0.19130325270334828</v>
      </c>
      <c r="Y1706" s="3"/>
      <c r="Z1706" s="3"/>
      <c r="AA1706" s="3"/>
      <c r="AB1706" s="3"/>
    </row>
    <row r="1707" spans="1:28" x14ac:dyDescent="0.2">
      <c r="A1707">
        <v>845</v>
      </c>
      <c r="B1707" t="s">
        <v>886</v>
      </c>
      <c r="C1707" t="s">
        <v>18</v>
      </c>
      <c r="D1707" t="s">
        <v>19</v>
      </c>
      <c r="E1707" t="s">
        <v>69</v>
      </c>
      <c r="F1707" t="s">
        <v>33</v>
      </c>
      <c r="G1707" t="s">
        <v>25</v>
      </c>
      <c r="H1707" s="1">
        <v>157234</v>
      </c>
      <c r="I1707" s="3">
        <v>0</v>
      </c>
      <c r="J1707" s="3">
        <v>1168044</v>
      </c>
      <c r="K1707" s="3">
        <v>13398.04</v>
      </c>
      <c r="L1707" s="2">
        <v>15.7</v>
      </c>
      <c r="M1707" s="11">
        <v>35.265240640000002</v>
      </c>
      <c r="N1707" s="3">
        <v>17</v>
      </c>
      <c r="O1707" s="3">
        <v>169043</v>
      </c>
      <c r="P1707" s="3">
        <v>194370</v>
      </c>
      <c r="Q1707" s="10">
        <v>0</v>
      </c>
      <c r="R1707" s="3">
        <f>(Таблица1[Размер кредита]-$AA$2)/$AA$3</f>
        <v>-0.86743126404912807</v>
      </c>
      <c r="S1707" s="3">
        <f>(Таблица1[Кредитный рейтинг]-$AA$7)/($AA$8-$AA$7)</f>
        <v>0</v>
      </c>
      <c r="T1707" s="3">
        <f>(Таблица1[Срок с последнего нарушения кредитного договора (мес,)]-$AA$12)/($AA$13-$AA$12)</f>
        <v>0.40074137090909095</v>
      </c>
      <c r="U1707" s="3">
        <f>(Таблица1[Количество кредитных карт]-$AA$18)/($AA$19-$AA$18)</f>
        <v>0.38095238095238093</v>
      </c>
      <c r="V1707" s="3">
        <f>(Таблица1[Число нарушений кредитных договоров]-$AA$23)/($AA$24-$AA$23)</f>
        <v>0</v>
      </c>
      <c r="W1707" s="3">
        <f>Таблица1[[#This Row],[Годовой доход]]/12</f>
        <v>97337</v>
      </c>
      <c r="X1707" s="3">
        <f>Таблица1[[#This Row],[Ежемесячный платеж]]/Таблица1[[#This Row],[Ежем доход]]</f>
        <v>0.13764591059925826</v>
      </c>
      <c r="Y1707" s="3"/>
      <c r="Z1707" s="3"/>
      <c r="AA1707" s="3"/>
      <c r="AB1707" s="3"/>
    </row>
    <row r="1708" spans="1:28" x14ac:dyDescent="0.2">
      <c r="A1708">
        <v>1577</v>
      </c>
      <c r="B1708" t="s">
        <v>1616</v>
      </c>
      <c r="C1708" t="s">
        <v>18</v>
      </c>
      <c r="D1708" t="s">
        <v>19</v>
      </c>
      <c r="E1708" t="s">
        <v>47</v>
      </c>
      <c r="F1708" t="s">
        <v>21</v>
      </c>
      <c r="G1708" t="s">
        <v>25</v>
      </c>
      <c r="H1708" s="1">
        <v>218416</v>
      </c>
      <c r="I1708" s="3">
        <v>716</v>
      </c>
      <c r="J1708" s="3">
        <v>867711</v>
      </c>
      <c r="K1708" s="3">
        <v>12798.59</v>
      </c>
      <c r="L1708" s="2">
        <v>12.4</v>
      </c>
      <c r="M1708" s="11">
        <v>31</v>
      </c>
      <c r="N1708" s="3">
        <v>12</v>
      </c>
      <c r="O1708" s="3">
        <v>93138</v>
      </c>
      <c r="P1708" s="3">
        <v>194326</v>
      </c>
      <c r="Q1708" s="10">
        <v>0</v>
      </c>
      <c r="R1708" s="3">
        <f>(Таблица1[Размер кредита]-$AA$2)/$AA$3</f>
        <v>-0.51910495184682914</v>
      </c>
      <c r="S1708" s="3">
        <f>(Таблица1[Кредитный рейтинг]-$AA$7)/($AA$8-$AA$7)</f>
        <v>0.95339547270306257</v>
      </c>
      <c r="T1708" s="3">
        <f>(Таблица1[Срок с последнего нарушения кредитного договора (мес,)]-$AA$12)/($AA$13-$AA$12)</f>
        <v>0.35227272727272729</v>
      </c>
      <c r="U1708" s="3">
        <f>(Таблица1[Количество кредитных карт]-$AA$18)/($AA$19-$AA$18)</f>
        <v>0.26190476190476192</v>
      </c>
      <c r="V1708" s="3">
        <f>(Таблица1[Число нарушений кредитных договоров]-$AA$23)/($AA$24-$AA$23)</f>
        <v>0</v>
      </c>
      <c r="W1708" s="3">
        <f>Таблица1[[#This Row],[Годовой доход]]/12</f>
        <v>72309.25</v>
      </c>
      <c r="X1708" s="3">
        <f>Таблица1[[#This Row],[Ежемесячный платеж]]/Таблица1[[#This Row],[Ежем доход]]</f>
        <v>0.17699796360769887</v>
      </c>
      <c r="Y1708" s="3"/>
      <c r="Z1708" s="3"/>
      <c r="AA1708" s="3"/>
      <c r="AB1708" s="3"/>
    </row>
    <row r="1709" spans="1:28" x14ac:dyDescent="0.2">
      <c r="A1709">
        <v>1357</v>
      </c>
      <c r="B1709" t="s">
        <v>1396</v>
      </c>
      <c r="C1709" t="s">
        <v>18</v>
      </c>
      <c r="D1709" t="s">
        <v>19</v>
      </c>
      <c r="E1709" t="s">
        <v>30</v>
      </c>
      <c r="F1709" t="s">
        <v>33</v>
      </c>
      <c r="G1709" t="s">
        <v>25</v>
      </c>
      <c r="H1709" s="1">
        <v>85954</v>
      </c>
      <c r="I1709" s="3">
        <v>718</v>
      </c>
      <c r="J1709" s="3">
        <v>556719</v>
      </c>
      <c r="K1709" s="3">
        <v>1874.35</v>
      </c>
      <c r="L1709" s="2">
        <v>4.9000000000000004</v>
      </c>
      <c r="M1709" s="11">
        <v>35.265240640000002</v>
      </c>
      <c r="N1709" s="3">
        <v>4</v>
      </c>
      <c r="O1709" s="3">
        <v>73131</v>
      </c>
      <c r="P1709" s="3">
        <v>193336</v>
      </c>
      <c r="Q1709" s="10">
        <v>0</v>
      </c>
      <c r="R1709" s="3">
        <f>(Таблица1[Размер кредита]-$AA$2)/$AA$3</f>
        <v>-1.2732483268090879</v>
      </c>
      <c r="S1709" s="3">
        <f>(Таблица1[Кредитный рейтинг]-$AA$7)/($AA$8-$AA$7)</f>
        <v>0.95605858854860182</v>
      </c>
      <c r="T1709" s="3">
        <f>(Таблица1[Срок с последнего нарушения кредитного договора (мес,)]-$AA$12)/($AA$13-$AA$12)</f>
        <v>0.40074137090909095</v>
      </c>
      <c r="U1709" s="3">
        <f>(Таблица1[Количество кредитных карт]-$AA$18)/($AA$19-$AA$18)</f>
        <v>7.1428571428571425E-2</v>
      </c>
      <c r="V1709" s="3">
        <f>(Таблица1[Число нарушений кредитных договоров]-$AA$23)/($AA$24-$AA$23)</f>
        <v>0</v>
      </c>
      <c r="W1709" s="3">
        <f>Таблица1[[#This Row],[Годовой доход]]/12</f>
        <v>46393.25</v>
      </c>
      <c r="X1709" s="3">
        <f>Таблица1[[#This Row],[Ежемесячный платеж]]/Таблица1[[#This Row],[Ежем доход]]</f>
        <v>4.0401351489710247E-2</v>
      </c>
      <c r="Y1709" s="3"/>
      <c r="Z1709" s="3"/>
      <c r="AA1709" s="3"/>
      <c r="AB1709" s="3"/>
    </row>
    <row r="1710" spans="1:28" x14ac:dyDescent="0.2">
      <c r="A1710">
        <v>147</v>
      </c>
      <c r="B1710" t="s">
        <v>189</v>
      </c>
      <c r="C1710" t="s">
        <v>18</v>
      </c>
      <c r="D1710" t="s">
        <v>19</v>
      </c>
      <c r="E1710" t="s">
        <v>50</v>
      </c>
      <c r="F1710" t="s">
        <v>21</v>
      </c>
      <c r="G1710" t="s">
        <v>25</v>
      </c>
      <c r="H1710" s="1">
        <v>214786</v>
      </c>
      <c r="I1710" s="3">
        <v>723</v>
      </c>
      <c r="J1710" s="3">
        <v>883329</v>
      </c>
      <c r="K1710" s="3">
        <v>11924.97</v>
      </c>
      <c r="L1710" s="2">
        <v>14.3</v>
      </c>
      <c r="M1710" s="11">
        <v>79</v>
      </c>
      <c r="N1710" s="3">
        <v>5</v>
      </c>
      <c r="O1710" s="3">
        <v>154755</v>
      </c>
      <c r="P1710" s="3">
        <v>193314</v>
      </c>
      <c r="Q1710" s="10">
        <v>0</v>
      </c>
      <c r="R1710" s="3">
        <f>(Таблица1[Размер кредита]-$AA$2)/$AA$3</f>
        <v>-0.53977156152441963</v>
      </c>
      <c r="S1710" s="3">
        <f>(Таблица1[Кредитный рейтинг]-$AA$7)/($AA$8-$AA$7)</f>
        <v>0.96271637816245004</v>
      </c>
      <c r="T1710" s="3">
        <f>(Таблица1[Срок с последнего нарушения кредитного договора (мес,)]-$AA$12)/($AA$13-$AA$12)</f>
        <v>0.89772727272727271</v>
      </c>
      <c r="U1710" s="3">
        <f>(Таблица1[Количество кредитных карт]-$AA$18)/($AA$19-$AA$18)</f>
        <v>9.5238095238095233E-2</v>
      </c>
      <c r="V1710" s="3">
        <f>(Таблица1[Число нарушений кредитных договоров]-$AA$23)/($AA$24-$AA$23)</f>
        <v>0</v>
      </c>
      <c r="W1710" s="3">
        <f>Таблица1[[#This Row],[Годовой доход]]/12</f>
        <v>73610.75</v>
      </c>
      <c r="X1710" s="3">
        <f>Таблица1[[#This Row],[Ежемесячный платеж]]/Таблица1[[#This Row],[Ежем доход]]</f>
        <v>0.16200038717171064</v>
      </c>
      <c r="Y1710" s="3"/>
      <c r="Z1710" s="3"/>
      <c r="AA1710" s="3"/>
      <c r="AB1710" s="3"/>
    </row>
    <row r="1711" spans="1:28" x14ac:dyDescent="0.2">
      <c r="A1711">
        <v>1702</v>
      </c>
      <c r="B1711" t="s">
        <v>1740</v>
      </c>
      <c r="C1711" t="s">
        <v>35</v>
      </c>
      <c r="D1711" t="s">
        <v>19</v>
      </c>
      <c r="E1711" t="s">
        <v>24</v>
      </c>
      <c r="F1711" t="s">
        <v>33</v>
      </c>
      <c r="G1711" t="s">
        <v>25</v>
      </c>
      <c r="H1711" s="1">
        <v>112442</v>
      </c>
      <c r="I1711" s="3">
        <v>724</v>
      </c>
      <c r="J1711" s="3">
        <v>1420782</v>
      </c>
      <c r="K1711" s="3">
        <v>23206.03</v>
      </c>
      <c r="L1711" s="2">
        <v>28.4</v>
      </c>
      <c r="M1711" s="11">
        <v>35.265240640000002</v>
      </c>
      <c r="N1711" s="3">
        <v>11</v>
      </c>
      <c r="O1711" s="3">
        <v>140410</v>
      </c>
      <c r="P1711" s="3">
        <v>193314</v>
      </c>
      <c r="Q1711" s="10">
        <v>0</v>
      </c>
      <c r="R1711" s="3">
        <f>(Таблица1[Размер кредита]-$AA$2)/$AA$3</f>
        <v>-1.122444702252609</v>
      </c>
      <c r="S1711" s="3">
        <f>(Таблица1[Кредитный рейтинг]-$AA$7)/($AA$8-$AA$7)</f>
        <v>0.96404793608521966</v>
      </c>
      <c r="T1711" s="3">
        <f>(Таблица1[Срок с последнего нарушения кредитного договора (мес,)]-$AA$12)/($AA$13-$AA$12)</f>
        <v>0.40074137090909095</v>
      </c>
      <c r="U1711" s="3">
        <f>(Таблица1[Количество кредитных карт]-$AA$18)/($AA$19-$AA$18)</f>
        <v>0.23809523809523808</v>
      </c>
      <c r="V1711" s="3">
        <f>(Таблица1[Число нарушений кредитных договоров]-$AA$23)/($AA$24-$AA$23)</f>
        <v>0</v>
      </c>
      <c r="W1711" s="3">
        <f>Таблица1[[#This Row],[Годовой доход]]/12</f>
        <v>118398.5</v>
      </c>
      <c r="X1711" s="3">
        <f>Таблица1[[#This Row],[Ежемесячный платеж]]/Таблица1[[#This Row],[Ежем доход]]</f>
        <v>0.19599935809997593</v>
      </c>
      <c r="Y1711" s="3"/>
      <c r="Z1711" s="3"/>
      <c r="AA1711" s="3"/>
      <c r="AB1711" s="3"/>
    </row>
    <row r="1712" spans="1:28" x14ac:dyDescent="0.2">
      <c r="A1712">
        <v>1739</v>
      </c>
      <c r="B1712" t="s">
        <v>1777</v>
      </c>
      <c r="C1712" t="s">
        <v>18</v>
      </c>
      <c r="D1712" t="s">
        <v>19</v>
      </c>
      <c r="E1712" t="s">
        <v>41</v>
      </c>
      <c r="F1712" t="s">
        <v>21</v>
      </c>
      <c r="G1712" t="s">
        <v>25</v>
      </c>
      <c r="H1712" s="1">
        <v>210650</v>
      </c>
      <c r="I1712" s="3">
        <v>707</v>
      </c>
      <c r="J1712" s="3">
        <v>1705554</v>
      </c>
      <c r="K1712" s="3">
        <v>19329.650000000001</v>
      </c>
      <c r="L1712" s="2">
        <v>16</v>
      </c>
      <c r="M1712" s="11">
        <v>34</v>
      </c>
      <c r="N1712" s="3">
        <v>14</v>
      </c>
      <c r="O1712" s="3">
        <v>58045</v>
      </c>
      <c r="P1712" s="3">
        <v>193138</v>
      </c>
      <c r="Q1712" s="10">
        <v>0</v>
      </c>
      <c r="R1712" s="3">
        <f>(Таблица1[Размер кредита]-$AA$2)/$AA$3</f>
        <v>-0.56331897133888642</v>
      </c>
      <c r="S1712" s="3">
        <f>(Таблица1[Кредитный рейтинг]-$AA$7)/($AA$8-$AA$7)</f>
        <v>0.94141145139813587</v>
      </c>
      <c r="T1712" s="3">
        <f>(Таблица1[Срок с последнего нарушения кредитного договора (мес,)]-$AA$12)/($AA$13-$AA$12)</f>
        <v>0.38636363636363635</v>
      </c>
      <c r="U1712" s="3">
        <f>(Таблица1[Количество кредитных карт]-$AA$18)/($AA$19-$AA$18)</f>
        <v>0.30952380952380953</v>
      </c>
      <c r="V1712" s="3">
        <f>(Таблица1[Число нарушений кредитных договоров]-$AA$23)/($AA$24-$AA$23)</f>
        <v>0</v>
      </c>
      <c r="W1712" s="3">
        <f>Таблица1[[#This Row],[Годовой доход]]/12</f>
        <v>142129.5</v>
      </c>
      <c r="X1712" s="3">
        <f>Таблица1[[#This Row],[Ежемесячный платеж]]/Таблица1[[#This Row],[Ежем доход]]</f>
        <v>0.13600026736180737</v>
      </c>
      <c r="Y1712" s="3"/>
      <c r="Z1712" s="3"/>
      <c r="AA1712" s="3"/>
      <c r="AB1712" s="3"/>
    </row>
    <row r="1713" spans="1:28" x14ac:dyDescent="0.2">
      <c r="A1713">
        <v>450</v>
      </c>
      <c r="B1713" t="s">
        <v>491</v>
      </c>
      <c r="C1713" t="s">
        <v>35</v>
      </c>
      <c r="D1713" t="s">
        <v>19</v>
      </c>
      <c r="E1713" t="s">
        <v>63</v>
      </c>
      <c r="F1713" t="s">
        <v>33</v>
      </c>
      <c r="G1713" t="s">
        <v>25</v>
      </c>
      <c r="H1713" s="1">
        <v>215446</v>
      </c>
      <c r="I1713" s="3">
        <v>720</v>
      </c>
      <c r="J1713" s="3">
        <v>1308283</v>
      </c>
      <c r="K1713" s="3">
        <v>11992.61</v>
      </c>
      <c r="L1713" s="2">
        <v>22</v>
      </c>
      <c r="M1713" s="11">
        <v>27</v>
      </c>
      <c r="N1713" s="3">
        <v>13</v>
      </c>
      <c r="O1713" s="3">
        <v>139479</v>
      </c>
      <c r="P1713" s="3">
        <v>192940</v>
      </c>
      <c r="Q1713" s="10">
        <v>0</v>
      </c>
      <c r="R1713" s="3">
        <f>(Таблица1[Размер кредита]-$AA$2)/$AA$3</f>
        <v>-0.5360139961284941</v>
      </c>
      <c r="S1713" s="3">
        <f>(Таблица1[Кредитный рейтинг]-$AA$7)/($AA$8-$AA$7)</f>
        <v>0.95872170439414117</v>
      </c>
      <c r="T1713" s="3">
        <f>(Таблица1[Срок с последнего нарушения кредитного договора (мес,)]-$AA$12)/($AA$13-$AA$12)</f>
        <v>0.30681818181818182</v>
      </c>
      <c r="U1713" s="3">
        <f>(Таблица1[Количество кредитных карт]-$AA$18)/($AA$19-$AA$18)</f>
        <v>0.2857142857142857</v>
      </c>
      <c r="V1713" s="3">
        <f>(Таблица1[Число нарушений кредитных договоров]-$AA$23)/($AA$24-$AA$23)</f>
        <v>0</v>
      </c>
      <c r="W1713" s="3">
        <f>Таблица1[[#This Row],[Годовой доход]]/12</f>
        <v>109023.58333333333</v>
      </c>
      <c r="X1713" s="3">
        <f>Таблица1[[#This Row],[Ежемесячный платеж]]/Таблица1[[#This Row],[Ежем доход]]</f>
        <v>0.11000014522851709</v>
      </c>
      <c r="Y1713" s="3"/>
      <c r="Z1713" s="3"/>
      <c r="AA1713" s="3"/>
      <c r="AB1713" s="3"/>
    </row>
    <row r="1714" spans="1:28" x14ac:dyDescent="0.2">
      <c r="A1714">
        <v>428</v>
      </c>
      <c r="B1714" t="s">
        <v>469</v>
      </c>
      <c r="C1714" t="s">
        <v>18</v>
      </c>
      <c r="D1714" t="s">
        <v>19</v>
      </c>
      <c r="E1714" t="s">
        <v>52</v>
      </c>
      <c r="F1714" t="s">
        <v>21</v>
      </c>
      <c r="G1714" t="s">
        <v>25</v>
      </c>
      <c r="H1714" s="1">
        <v>223146</v>
      </c>
      <c r="I1714" s="3">
        <v>719</v>
      </c>
      <c r="J1714" s="3">
        <v>573819</v>
      </c>
      <c r="K1714" s="3">
        <v>10902.58</v>
      </c>
      <c r="L1714" s="2">
        <v>22.6</v>
      </c>
      <c r="M1714" s="11">
        <v>35.265240640000002</v>
      </c>
      <c r="N1714" s="3">
        <v>9</v>
      </c>
      <c r="O1714" s="3">
        <v>77159</v>
      </c>
      <c r="P1714" s="3">
        <v>192544</v>
      </c>
      <c r="Q1714" s="10">
        <v>1</v>
      </c>
      <c r="R1714" s="3">
        <f>(Таблица1[Размер кредита]-$AA$2)/$AA$3</f>
        <v>-0.49217573317602931</v>
      </c>
      <c r="S1714" s="3">
        <f>(Таблица1[Кредитный рейтинг]-$AA$7)/($AA$8-$AA$7)</f>
        <v>0.95739014647137155</v>
      </c>
      <c r="T1714" s="3">
        <f>(Таблица1[Срок с последнего нарушения кредитного договора (мес,)]-$AA$12)/($AA$13-$AA$12)</f>
        <v>0.40074137090909095</v>
      </c>
      <c r="U1714" s="3">
        <f>(Таблица1[Количество кредитных карт]-$AA$18)/($AA$19-$AA$18)</f>
        <v>0.19047619047619047</v>
      </c>
      <c r="V1714" s="3">
        <f>(Таблица1[Число нарушений кредитных договоров]-$AA$23)/($AA$24-$AA$23)</f>
        <v>0.14285714285714285</v>
      </c>
      <c r="W1714" s="3">
        <f>Таблица1[[#This Row],[Годовой доход]]/12</f>
        <v>47818.25</v>
      </c>
      <c r="X1714" s="3">
        <f>Таблица1[[#This Row],[Ежемесячный платеж]]/Таблица1[[#This Row],[Ежем доход]]</f>
        <v>0.2280003973378365</v>
      </c>
      <c r="Y1714" s="3"/>
      <c r="Z1714" s="3"/>
      <c r="AA1714" s="3"/>
      <c r="AB1714" s="3"/>
    </row>
    <row r="1715" spans="1:28" x14ac:dyDescent="0.2">
      <c r="A1715">
        <v>736</v>
      </c>
      <c r="B1715" t="s">
        <v>777</v>
      </c>
      <c r="C1715" t="s">
        <v>18</v>
      </c>
      <c r="D1715" t="s">
        <v>19</v>
      </c>
      <c r="E1715" t="s">
        <v>69</v>
      </c>
      <c r="F1715" t="s">
        <v>33</v>
      </c>
      <c r="G1715" t="s">
        <v>25</v>
      </c>
      <c r="H1715" s="1">
        <v>287408</v>
      </c>
      <c r="I1715" s="3">
        <v>699</v>
      </c>
      <c r="J1715" s="3">
        <v>992845</v>
      </c>
      <c r="K1715" s="3">
        <v>6014.83</v>
      </c>
      <c r="L1715" s="2">
        <v>8</v>
      </c>
      <c r="M1715" s="11">
        <v>35.265240640000002</v>
      </c>
      <c r="N1715" s="3">
        <v>7</v>
      </c>
      <c r="O1715" s="3">
        <v>93005</v>
      </c>
      <c r="P1715" s="3">
        <v>192302</v>
      </c>
      <c r="Q1715" s="10">
        <v>0</v>
      </c>
      <c r="R1715" s="3">
        <f>(Таблица1[Размер кредита]-$AA$2)/$AA$3</f>
        <v>-0.12631411579274443</v>
      </c>
      <c r="S1715" s="3">
        <f>(Таблица1[Кредитный рейтинг]-$AA$7)/($AA$8-$AA$7)</f>
        <v>0.93075898801597867</v>
      </c>
      <c r="T1715" s="3">
        <f>(Таблица1[Срок с последнего нарушения кредитного договора (мес,)]-$AA$12)/($AA$13-$AA$12)</f>
        <v>0.40074137090909095</v>
      </c>
      <c r="U1715" s="3">
        <f>(Таблица1[Количество кредитных карт]-$AA$18)/($AA$19-$AA$18)</f>
        <v>0.14285714285714285</v>
      </c>
      <c r="V1715" s="3">
        <f>(Таблица1[Число нарушений кредитных договоров]-$AA$23)/($AA$24-$AA$23)</f>
        <v>0</v>
      </c>
      <c r="W1715" s="3">
        <f>Таблица1[[#This Row],[Годовой доход]]/12</f>
        <v>82737.083333333328</v>
      </c>
      <c r="X1715" s="3">
        <f>Таблица1[[#This Row],[Ежемесячный платеж]]/Таблица1[[#This Row],[Ежем доход]]</f>
        <v>7.2698115012917425E-2</v>
      </c>
      <c r="Y1715" s="3"/>
      <c r="Z1715" s="3"/>
      <c r="AA1715" s="3"/>
      <c r="AB1715" s="3"/>
    </row>
    <row r="1716" spans="1:28" x14ac:dyDescent="0.2">
      <c r="A1716">
        <v>464</v>
      </c>
      <c r="B1716" t="s">
        <v>505</v>
      </c>
      <c r="C1716" t="s">
        <v>18</v>
      </c>
      <c r="D1716" t="s">
        <v>19</v>
      </c>
      <c r="E1716" t="s">
        <v>24</v>
      </c>
      <c r="F1716" t="s">
        <v>33</v>
      </c>
      <c r="G1716" t="s">
        <v>25</v>
      </c>
      <c r="H1716" s="1">
        <v>130746</v>
      </c>
      <c r="I1716" s="3">
        <v>734</v>
      </c>
      <c r="J1716" s="3">
        <v>1018590</v>
      </c>
      <c r="K1716" s="3">
        <v>16891.57</v>
      </c>
      <c r="L1716" s="2">
        <v>22.8</v>
      </c>
      <c r="M1716" s="11">
        <v>29</v>
      </c>
      <c r="N1716" s="3">
        <v>7</v>
      </c>
      <c r="O1716" s="3">
        <v>41230</v>
      </c>
      <c r="P1716" s="3">
        <v>191686</v>
      </c>
      <c r="Q1716" s="10">
        <v>1</v>
      </c>
      <c r="R1716" s="3">
        <f>(Таблица1[Размер кредита]-$AA$2)/$AA$3</f>
        <v>-1.018234888605607</v>
      </c>
      <c r="S1716" s="3">
        <f>(Таблица1[Кредитный рейтинг]-$AA$7)/($AA$8-$AA$7)</f>
        <v>0.9773635153129161</v>
      </c>
      <c r="T1716" s="3">
        <f>(Таблица1[Срок с последнего нарушения кредитного договора (мес,)]-$AA$12)/($AA$13-$AA$12)</f>
        <v>0.32954545454545453</v>
      </c>
      <c r="U1716" s="3">
        <f>(Таблица1[Количество кредитных карт]-$AA$18)/($AA$19-$AA$18)</f>
        <v>0.14285714285714285</v>
      </c>
      <c r="V1716" s="3">
        <f>(Таблица1[Число нарушений кредитных договоров]-$AA$23)/($AA$24-$AA$23)</f>
        <v>0.14285714285714285</v>
      </c>
      <c r="W1716" s="3">
        <f>Таблица1[[#This Row],[Годовой доход]]/12</f>
        <v>84882.5</v>
      </c>
      <c r="X1716" s="3">
        <f>Таблица1[[#This Row],[Ежемесячный платеж]]/Таблица1[[#This Row],[Ежем доход]]</f>
        <v>0.1989994404029099</v>
      </c>
      <c r="Y1716" s="3"/>
      <c r="Z1716" s="3"/>
      <c r="AA1716" s="3"/>
      <c r="AB1716" s="3"/>
    </row>
    <row r="1717" spans="1:28" x14ac:dyDescent="0.2">
      <c r="A1717">
        <v>904</v>
      </c>
      <c r="B1717" t="s">
        <v>945</v>
      </c>
      <c r="C1717" t="s">
        <v>18</v>
      </c>
      <c r="D1717" t="s">
        <v>29</v>
      </c>
      <c r="E1717" t="s">
        <v>32</v>
      </c>
      <c r="F1717" t="s">
        <v>21</v>
      </c>
      <c r="G1717" t="s">
        <v>25</v>
      </c>
      <c r="H1717" s="1">
        <v>391732</v>
      </c>
      <c r="I1717" s="3">
        <v>716</v>
      </c>
      <c r="J1717" s="3">
        <v>845766</v>
      </c>
      <c r="K1717" s="3">
        <v>14096.1</v>
      </c>
      <c r="L1717" s="2">
        <v>15.6</v>
      </c>
      <c r="M1717" s="11">
        <v>35.265240640000002</v>
      </c>
      <c r="N1717" s="3">
        <v>11</v>
      </c>
      <c r="O1717" s="3">
        <v>150366</v>
      </c>
      <c r="P1717" s="3">
        <v>191532</v>
      </c>
      <c r="Q1717" s="10">
        <v>1</v>
      </c>
      <c r="R1717" s="3">
        <f>(Таблица1[Размер кредита]-$AA$2)/$AA$3</f>
        <v>0.4676317211232216</v>
      </c>
      <c r="S1717" s="3">
        <f>(Таблица1[Кредитный рейтинг]-$AA$7)/($AA$8-$AA$7)</f>
        <v>0.95339547270306257</v>
      </c>
      <c r="T1717" s="3">
        <f>(Таблица1[Срок с последнего нарушения кредитного договора (мес,)]-$AA$12)/($AA$13-$AA$12)</f>
        <v>0.40074137090909095</v>
      </c>
      <c r="U1717" s="3">
        <f>(Таблица1[Количество кредитных карт]-$AA$18)/($AA$19-$AA$18)</f>
        <v>0.23809523809523808</v>
      </c>
      <c r="V1717" s="3">
        <f>(Таблица1[Число нарушений кредитных договоров]-$AA$23)/($AA$24-$AA$23)</f>
        <v>0.14285714285714285</v>
      </c>
      <c r="W1717" s="3">
        <f>Таблица1[[#This Row],[Годовой доход]]/12</f>
        <v>70480.5</v>
      </c>
      <c r="X1717" s="3">
        <f>Таблица1[[#This Row],[Ежемесячный платеж]]/Таблица1[[#This Row],[Ежем доход]]</f>
        <v>0.2</v>
      </c>
      <c r="Y1717" s="3"/>
      <c r="Z1717" s="3"/>
      <c r="AA1717" s="3"/>
      <c r="AB1717" s="3"/>
    </row>
    <row r="1718" spans="1:28" x14ac:dyDescent="0.2">
      <c r="A1718">
        <v>1605</v>
      </c>
      <c r="B1718" t="s">
        <v>1644</v>
      </c>
      <c r="C1718" t="s">
        <v>18</v>
      </c>
      <c r="D1718" t="s">
        <v>19</v>
      </c>
      <c r="E1718" t="s">
        <v>41</v>
      </c>
      <c r="F1718" t="s">
        <v>33</v>
      </c>
      <c r="G1718" t="s">
        <v>25</v>
      </c>
      <c r="H1718" s="1">
        <v>213664</v>
      </c>
      <c r="I1718" s="3">
        <v>736</v>
      </c>
      <c r="J1718" s="3">
        <v>776948</v>
      </c>
      <c r="K1718" s="3">
        <v>8028.45</v>
      </c>
      <c r="L1718" s="2">
        <v>8</v>
      </c>
      <c r="M1718" s="11">
        <v>20</v>
      </c>
      <c r="N1718" s="3">
        <v>5</v>
      </c>
      <c r="O1718" s="3">
        <v>124203</v>
      </c>
      <c r="P1718" s="3">
        <v>191246</v>
      </c>
      <c r="Q1718" s="10">
        <v>0</v>
      </c>
      <c r="R1718" s="3">
        <f>(Таблица1[Размер кредита]-$AA$2)/$AA$3</f>
        <v>-0.54615942269749307</v>
      </c>
      <c r="S1718" s="3">
        <f>(Таблица1[Кредитный рейтинг]-$AA$7)/($AA$8-$AA$7)</f>
        <v>0.98002663115845534</v>
      </c>
      <c r="T1718" s="3">
        <f>(Таблица1[Срок с последнего нарушения кредитного договора (мес,)]-$AA$12)/($AA$13-$AA$12)</f>
        <v>0.22727272727272727</v>
      </c>
      <c r="U1718" s="3">
        <f>(Таблица1[Количество кредитных карт]-$AA$18)/($AA$19-$AA$18)</f>
        <v>9.5238095238095233E-2</v>
      </c>
      <c r="V1718" s="3">
        <f>(Таблица1[Число нарушений кредитных договоров]-$AA$23)/($AA$24-$AA$23)</f>
        <v>0</v>
      </c>
      <c r="W1718" s="3">
        <f>Таблица1[[#This Row],[Годовой доход]]/12</f>
        <v>64745.666666666664</v>
      </c>
      <c r="X1718" s="3">
        <f>Таблица1[[#This Row],[Ежемесячный платеж]]/Таблица1[[#This Row],[Ежем доход]]</f>
        <v>0.12399980436271153</v>
      </c>
      <c r="Y1718" s="3"/>
      <c r="Z1718" s="3"/>
      <c r="AA1718" s="3"/>
      <c r="AB1718" s="3"/>
    </row>
    <row r="1719" spans="1:28" x14ac:dyDescent="0.2">
      <c r="A1719">
        <v>1118</v>
      </c>
      <c r="B1719" t="s">
        <v>1157</v>
      </c>
      <c r="C1719" t="s">
        <v>35</v>
      </c>
      <c r="D1719" t="s">
        <v>19</v>
      </c>
      <c r="E1719" t="s">
        <v>37</v>
      </c>
      <c r="F1719" t="s">
        <v>21</v>
      </c>
      <c r="G1719" t="s">
        <v>67</v>
      </c>
      <c r="H1719" s="1">
        <v>55286</v>
      </c>
      <c r="I1719" s="3">
        <v>704</v>
      </c>
      <c r="J1719" s="3">
        <v>1909880</v>
      </c>
      <c r="K1719" s="3">
        <v>14737.92</v>
      </c>
      <c r="L1719" s="2">
        <v>16.899999999999999</v>
      </c>
      <c r="M1719" s="11">
        <v>33</v>
      </c>
      <c r="N1719" s="3">
        <v>7</v>
      </c>
      <c r="O1719" s="3">
        <v>131290</v>
      </c>
      <c r="P1719" s="3">
        <v>191224</v>
      </c>
      <c r="Q1719" s="10">
        <v>0</v>
      </c>
      <c r="R1719" s="3">
        <f>(Таблица1[Размер кредита]-$AA$2)/$AA$3</f>
        <v>-1.447849865539762</v>
      </c>
      <c r="S1719" s="3">
        <f>(Таблица1[Кредитный рейтинг]-$AA$7)/($AA$8-$AA$7)</f>
        <v>0.93741677762982689</v>
      </c>
      <c r="T1719" s="3">
        <f>(Таблица1[Срок с последнего нарушения кредитного договора (мес,)]-$AA$12)/($AA$13-$AA$12)</f>
        <v>0.375</v>
      </c>
      <c r="U1719" s="3">
        <f>(Таблица1[Количество кредитных карт]-$AA$18)/($AA$19-$AA$18)</f>
        <v>0.14285714285714285</v>
      </c>
      <c r="V1719" s="3">
        <f>(Таблица1[Число нарушений кредитных договоров]-$AA$23)/($AA$24-$AA$23)</f>
        <v>0</v>
      </c>
      <c r="W1719" s="3">
        <f>Таблица1[[#This Row],[Годовой доход]]/12</f>
        <v>159156.66666666666</v>
      </c>
      <c r="X1719" s="3">
        <f>Таблица1[[#This Row],[Ежемесячный платеж]]/Таблица1[[#This Row],[Ежем доход]]</f>
        <v>9.2600079586152018E-2</v>
      </c>
      <c r="Y1719" s="3"/>
      <c r="Z1719" s="3"/>
      <c r="AA1719" s="3"/>
      <c r="AB1719" s="3"/>
    </row>
    <row r="1720" spans="1:28" x14ac:dyDescent="0.2">
      <c r="A1720">
        <v>677</v>
      </c>
      <c r="B1720" t="s">
        <v>718</v>
      </c>
      <c r="C1720" t="s">
        <v>18</v>
      </c>
      <c r="D1720" t="s">
        <v>19</v>
      </c>
      <c r="E1720" t="s">
        <v>47</v>
      </c>
      <c r="F1720" t="s">
        <v>21</v>
      </c>
      <c r="G1720" t="s">
        <v>25</v>
      </c>
      <c r="H1720" s="1">
        <v>54230</v>
      </c>
      <c r="I1720" s="3">
        <v>742</v>
      </c>
      <c r="J1720" s="3">
        <v>842859</v>
      </c>
      <c r="K1720" s="3">
        <v>9692.85</v>
      </c>
      <c r="L1720" s="2">
        <v>17.899999999999999</v>
      </c>
      <c r="M1720" s="11">
        <v>22</v>
      </c>
      <c r="N1720" s="3">
        <v>20</v>
      </c>
      <c r="O1720" s="3">
        <v>65436</v>
      </c>
      <c r="P1720" s="3">
        <v>190872</v>
      </c>
      <c r="Q1720" s="10">
        <v>0</v>
      </c>
      <c r="R1720" s="3">
        <f>(Таблица1[Размер кредита]-$AA$2)/$AA$3</f>
        <v>-1.4538619701732429</v>
      </c>
      <c r="S1720" s="3">
        <f>(Таблица1[Кредитный рейтинг]-$AA$7)/($AA$8-$AA$7)</f>
        <v>0.98801597869507318</v>
      </c>
      <c r="T1720" s="3">
        <f>(Таблица1[Срок с последнего нарушения кредитного договора (мес,)]-$AA$12)/($AA$13-$AA$12)</f>
        <v>0.25</v>
      </c>
      <c r="U1720" s="3">
        <f>(Таблица1[Количество кредитных карт]-$AA$18)/($AA$19-$AA$18)</f>
        <v>0.45238095238095238</v>
      </c>
      <c r="V1720" s="3">
        <f>(Таблица1[Число нарушений кредитных договоров]-$AA$23)/($AA$24-$AA$23)</f>
        <v>0</v>
      </c>
      <c r="W1720" s="3">
        <f>Таблица1[[#This Row],[Годовой доход]]/12</f>
        <v>70238.25</v>
      </c>
      <c r="X1720" s="3">
        <f>Таблица1[[#This Row],[Ежемесячный платеж]]/Таблица1[[#This Row],[Ежем доход]]</f>
        <v>0.1379995942381822</v>
      </c>
      <c r="Y1720" s="3"/>
      <c r="Z1720" s="3"/>
      <c r="AA1720" s="3"/>
      <c r="AB1720" s="3"/>
    </row>
    <row r="1721" spans="1:28" x14ac:dyDescent="0.2">
      <c r="A1721">
        <v>652</v>
      </c>
      <c r="B1721" t="s">
        <v>693</v>
      </c>
      <c r="C1721" t="s">
        <v>18</v>
      </c>
      <c r="D1721" t="s">
        <v>19</v>
      </c>
      <c r="E1721" t="s">
        <v>37</v>
      </c>
      <c r="F1721" t="s">
        <v>33</v>
      </c>
      <c r="G1721" t="s">
        <v>25</v>
      </c>
      <c r="H1721" s="1">
        <v>111034</v>
      </c>
      <c r="I1721" s="3">
        <v>699</v>
      </c>
      <c r="J1721" s="3">
        <v>348707</v>
      </c>
      <c r="K1721" s="3">
        <v>5957.07</v>
      </c>
      <c r="L1721" s="2">
        <v>12.7</v>
      </c>
      <c r="M1721" s="11">
        <v>35.265240640000002</v>
      </c>
      <c r="N1721" s="3">
        <v>5</v>
      </c>
      <c r="O1721" s="3">
        <v>116204</v>
      </c>
      <c r="P1721" s="3">
        <v>190586</v>
      </c>
      <c r="Q1721" s="10">
        <v>0</v>
      </c>
      <c r="R1721" s="3">
        <f>(Таблица1[Размер кредита]-$AA$2)/$AA$3</f>
        <v>-1.1304608417639168</v>
      </c>
      <c r="S1721" s="3">
        <f>(Таблица1[Кредитный рейтинг]-$AA$7)/($AA$8-$AA$7)</f>
        <v>0.93075898801597867</v>
      </c>
      <c r="T1721" s="3">
        <f>(Таблица1[Срок с последнего нарушения кредитного договора (мес,)]-$AA$12)/($AA$13-$AA$12)</f>
        <v>0.40074137090909095</v>
      </c>
      <c r="U1721" s="3">
        <f>(Таблица1[Количество кредитных карт]-$AA$18)/($AA$19-$AA$18)</f>
        <v>9.5238095238095233E-2</v>
      </c>
      <c r="V1721" s="3">
        <f>(Таблица1[Число нарушений кредитных договоров]-$AA$23)/($AA$24-$AA$23)</f>
        <v>0</v>
      </c>
      <c r="W1721" s="3">
        <f>Таблица1[[#This Row],[Годовой доход]]/12</f>
        <v>29058.916666666668</v>
      </c>
      <c r="X1721" s="3">
        <f>Таблица1[[#This Row],[Ежемесячный платеж]]/Таблица1[[#This Row],[Ежем доход]]</f>
        <v>0.20499972756497573</v>
      </c>
      <c r="Y1721" s="3"/>
      <c r="Z1721" s="3"/>
      <c r="AA1721" s="3"/>
      <c r="AB1721" s="3"/>
    </row>
    <row r="1722" spans="1:28" x14ac:dyDescent="0.2">
      <c r="A1722">
        <v>924</v>
      </c>
      <c r="B1722" t="s">
        <v>965</v>
      </c>
      <c r="C1722" t="s">
        <v>35</v>
      </c>
      <c r="D1722" t="s">
        <v>19</v>
      </c>
      <c r="E1722" t="s">
        <v>24</v>
      </c>
      <c r="F1722" t="s">
        <v>33</v>
      </c>
      <c r="G1722" t="s">
        <v>25</v>
      </c>
      <c r="H1722" s="1">
        <v>99704</v>
      </c>
      <c r="I1722" s="3">
        <v>0</v>
      </c>
      <c r="J1722" s="3">
        <v>1168044</v>
      </c>
      <c r="K1722" s="3">
        <v>3333.93</v>
      </c>
      <c r="L1722" s="2">
        <v>18.5</v>
      </c>
      <c r="M1722" s="11">
        <v>35.265240640000002</v>
      </c>
      <c r="N1722" s="3">
        <v>6</v>
      </c>
      <c r="O1722" s="3">
        <v>98211</v>
      </c>
      <c r="P1722" s="3">
        <v>190476</v>
      </c>
      <c r="Q1722" s="10">
        <v>1</v>
      </c>
      <c r="R1722" s="3">
        <f>(Таблица1[Размер кредита]-$AA$2)/$AA$3</f>
        <v>-1.1949657143939723</v>
      </c>
      <c r="S1722" s="3">
        <f>(Таблица1[Кредитный рейтинг]-$AA$7)/($AA$8-$AA$7)</f>
        <v>0</v>
      </c>
      <c r="T1722" s="3">
        <f>(Таблица1[Срок с последнего нарушения кредитного договора (мес,)]-$AA$12)/($AA$13-$AA$12)</f>
        <v>0.40074137090909095</v>
      </c>
      <c r="U1722" s="3">
        <f>(Таблица1[Количество кредитных карт]-$AA$18)/($AA$19-$AA$18)</f>
        <v>0.11904761904761904</v>
      </c>
      <c r="V1722" s="3">
        <f>(Таблица1[Число нарушений кредитных договоров]-$AA$23)/($AA$24-$AA$23)</f>
        <v>0.14285714285714285</v>
      </c>
      <c r="W1722" s="3">
        <f>Таблица1[[#This Row],[Годовой доход]]/12</f>
        <v>97337</v>
      </c>
      <c r="X1722" s="3">
        <f>Таблица1[[#This Row],[Ежемесячный платеж]]/Таблица1[[#This Row],[Ежем доход]]</f>
        <v>3.4251415186414211E-2</v>
      </c>
      <c r="Y1722" s="3"/>
      <c r="Z1722" s="3"/>
      <c r="AA1722" s="3"/>
      <c r="AB1722" s="3"/>
    </row>
    <row r="1723" spans="1:28" x14ac:dyDescent="0.2">
      <c r="A1723">
        <v>1366</v>
      </c>
      <c r="B1723" t="s">
        <v>1405</v>
      </c>
      <c r="C1723" t="s">
        <v>18</v>
      </c>
      <c r="D1723" t="s">
        <v>19</v>
      </c>
      <c r="E1723" t="s">
        <v>37</v>
      </c>
      <c r="F1723" t="s">
        <v>33</v>
      </c>
      <c r="G1723" t="s">
        <v>67</v>
      </c>
      <c r="H1723" s="1">
        <v>44726</v>
      </c>
      <c r="I1723" s="3">
        <v>0</v>
      </c>
      <c r="J1723" s="3">
        <v>1168044</v>
      </c>
      <c r="K1723" s="3">
        <v>9094.92</v>
      </c>
      <c r="L1723" s="2">
        <v>10</v>
      </c>
      <c r="M1723" s="11">
        <v>35.265240640000002</v>
      </c>
      <c r="N1723" s="3">
        <v>10</v>
      </c>
      <c r="O1723" s="3">
        <v>83125</v>
      </c>
      <c r="P1723" s="3">
        <v>190234</v>
      </c>
      <c r="Q1723" s="10">
        <v>0</v>
      </c>
      <c r="R1723" s="3">
        <f>(Таблица1[Размер кредита]-$AA$2)/$AA$3</f>
        <v>-1.507970911874571</v>
      </c>
      <c r="S1723" s="3">
        <f>(Таблица1[Кредитный рейтинг]-$AA$7)/($AA$8-$AA$7)</f>
        <v>0</v>
      </c>
      <c r="T1723" s="3">
        <f>(Таблица1[Срок с последнего нарушения кредитного договора (мес,)]-$AA$12)/($AA$13-$AA$12)</f>
        <v>0.40074137090909095</v>
      </c>
      <c r="U1723" s="3">
        <f>(Таблица1[Количество кредитных карт]-$AA$18)/($AA$19-$AA$18)</f>
        <v>0.21428571428571427</v>
      </c>
      <c r="V1723" s="3">
        <f>(Таблица1[Число нарушений кредитных договоров]-$AA$23)/($AA$24-$AA$23)</f>
        <v>0</v>
      </c>
      <c r="W1723" s="3">
        <f>Таблица1[[#This Row],[Годовой доход]]/12</f>
        <v>97337</v>
      </c>
      <c r="X1723" s="3">
        <f>Таблица1[[#This Row],[Ежемесячный платеж]]/Таблица1[[#This Row],[Ежем доход]]</f>
        <v>9.3437439000585598E-2</v>
      </c>
      <c r="Y1723" s="3"/>
      <c r="Z1723" s="3"/>
      <c r="AA1723" s="3"/>
      <c r="AB1723" s="3"/>
    </row>
    <row r="1724" spans="1:28" x14ac:dyDescent="0.2">
      <c r="A1724">
        <v>1131</v>
      </c>
      <c r="B1724" t="s">
        <v>1170</v>
      </c>
      <c r="C1724" t="s">
        <v>18</v>
      </c>
      <c r="D1724" t="s">
        <v>29</v>
      </c>
      <c r="E1724" t="s">
        <v>63</v>
      </c>
      <c r="F1724" t="s">
        <v>33</v>
      </c>
      <c r="G1724" t="s">
        <v>25</v>
      </c>
      <c r="H1724" s="1">
        <v>309594.52439999999</v>
      </c>
      <c r="I1724" s="3">
        <v>678</v>
      </c>
      <c r="J1724" s="3">
        <v>888763</v>
      </c>
      <c r="K1724" s="3">
        <v>12146.51</v>
      </c>
      <c r="L1724" s="2">
        <v>12</v>
      </c>
      <c r="M1724" s="11">
        <v>35.265240640000002</v>
      </c>
      <c r="N1724" s="3">
        <v>7</v>
      </c>
      <c r="O1724" s="3">
        <v>159562</v>
      </c>
      <c r="P1724" s="3">
        <v>190080</v>
      </c>
      <c r="Q1724" s="10">
        <v>1</v>
      </c>
      <c r="R1724" s="3">
        <f>(Таблица1[Размер кредита]-$AA$2)/$AA$3</f>
        <v>-1.2411115481956205E-10</v>
      </c>
      <c r="S1724" s="3">
        <f>(Таблица1[Кредитный рейтинг]-$AA$7)/($AA$8-$AA$7)</f>
        <v>0.90279627163781628</v>
      </c>
      <c r="T1724" s="3">
        <f>(Таблица1[Срок с последнего нарушения кредитного договора (мес,)]-$AA$12)/($AA$13-$AA$12)</f>
        <v>0.40074137090909095</v>
      </c>
      <c r="U1724" s="3">
        <f>(Таблица1[Количество кредитных карт]-$AA$18)/($AA$19-$AA$18)</f>
        <v>0.14285714285714285</v>
      </c>
      <c r="V1724" s="3">
        <f>(Таблица1[Число нарушений кредитных договоров]-$AA$23)/($AA$24-$AA$23)</f>
        <v>0.14285714285714285</v>
      </c>
      <c r="W1724" s="3">
        <f>Таблица1[[#This Row],[Годовой доход]]/12</f>
        <v>74063.583333333328</v>
      </c>
      <c r="X1724" s="3">
        <f>Таблица1[[#This Row],[Ежемесячный платеж]]/Таблица1[[#This Row],[Ежем доход]]</f>
        <v>0.1640011116574385</v>
      </c>
      <c r="Y1724" s="3"/>
      <c r="Z1724" s="3"/>
      <c r="AA1724" s="3"/>
      <c r="AB1724" s="3"/>
    </row>
    <row r="1725" spans="1:28" x14ac:dyDescent="0.2">
      <c r="A1725">
        <v>714</v>
      </c>
      <c r="B1725" t="s">
        <v>755</v>
      </c>
      <c r="C1725" t="s">
        <v>35</v>
      </c>
      <c r="D1725" t="s">
        <v>19</v>
      </c>
      <c r="E1725" t="s">
        <v>41</v>
      </c>
      <c r="F1725" t="s">
        <v>33</v>
      </c>
      <c r="G1725" t="s">
        <v>25</v>
      </c>
      <c r="H1725" s="1">
        <v>357588</v>
      </c>
      <c r="I1725" s="3">
        <v>739</v>
      </c>
      <c r="J1725" s="3">
        <v>1374650</v>
      </c>
      <c r="K1725" s="3">
        <v>19015.96</v>
      </c>
      <c r="L1725" s="2">
        <v>17.5</v>
      </c>
      <c r="M1725" s="11">
        <v>29</v>
      </c>
      <c r="N1725" s="3">
        <v>12</v>
      </c>
      <c r="O1725" s="3">
        <v>88616</v>
      </c>
      <c r="P1725" s="3">
        <v>190014</v>
      </c>
      <c r="Q1725" s="10">
        <v>0</v>
      </c>
      <c r="R1725" s="3">
        <f>(Таблица1[Размер кредита]-$AA$2)/$AA$3</f>
        <v>0.27324033797400626</v>
      </c>
      <c r="S1725" s="3">
        <f>(Таблица1[Кредитный рейтинг]-$AA$7)/($AA$8-$AA$7)</f>
        <v>0.98402130492676432</v>
      </c>
      <c r="T1725" s="3">
        <f>(Таблица1[Срок с последнего нарушения кредитного договора (мес,)]-$AA$12)/($AA$13-$AA$12)</f>
        <v>0.32954545454545453</v>
      </c>
      <c r="U1725" s="3">
        <f>(Таблица1[Количество кредитных карт]-$AA$18)/($AA$19-$AA$18)</f>
        <v>0.26190476190476192</v>
      </c>
      <c r="V1725" s="3">
        <f>(Таблица1[Число нарушений кредитных договоров]-$AA$23)/($AA$24-$AA$23)</f>
        <v>0</v>
      </c>
      <c r="W1725" s="3">
        <f>Таблица1[[#This Row],[Годовой доход]]/12</f>
        <v>114554.16666666667</v>
      </c>
      <c r="X1725" s="3">
        <f>Таблица1[[#This Row],[Ежемесячный платеж]]/Таблица1[[#This Row],[Ежем доход]]</f>
        <v>0.1659997235659986</v>
      </c>
      <c r="Y1725" s="3"/>
      <c r="Z1725" s="3"/>
      <c r="AA1725" s="3"/>
      <c r="AB1725" s="3"/>
    </row>
    <row r="1726" spans="1:28" x14ac:dyDescent="0.2">
      <c r="A1726">
        <v>1613</v>
      </c>
      <c r="B1726" t="s">
        <v>1652</v>
      </c>
      <c r="C1726" t="s">
        <v>18</v>
      </c>
      <c r="D1726" t="s">
        <v>19</v>
      </c>
      <c r="E1726" t="s">
        <v>52</v>
      </c>
      <c r="F1726" t="s">
        <v>33</v>
      </c>
      <c r="G1726" t="s">
        <v>70</v>
      </c>
      <c r="H1726" s="1">
        <v>309594.52439999999</v>
      </c>
      <c r="I1726" s="3">
        <v>743</v>
      </c>
      <c r="J1726" s="3">
        <v>518111</v>
      </c>
      <c r="K1726" s="3">
        <v>9442.43</v>
      </c>
      <c r="L1726" s="2">
        <v>11.2</v>
      </c>
      <c r="M1726" s="11">
        <v>35.265240640000002</v>
      </c>
      <c r="N1726" s="3">
        <v>6</v>
      </c>
      <c r="O1726" s="3">
        <v>98629</v>
      </c>
      <c r="P1726" s="3">
        <v>189090</v>
      </c>
      <c r="Q1726" s="10">
        <v>0</v>
      </c>
      <c r="R1726" s="3">
        <f>(Таблица1[Размер кредита]-$AA$2)/$AA$3</f>
        <v>-1.2411115481956205E-10</v>
      </c>
      <c r="S1726" s="3">
        <f>(Таблица1[Кредитный рейтинг]-$AA$7)/($AA$8-$AA$7)</f>
        <v>0.98934753661784292</v>
      </c>
      <c r="T1726" s="3">
        <f>(Таблица1[Срок с последнего нарушения кредитного договора (мес,)]-$AA$12)/($AA$13-$AA$12)</f>
        <v>0.40074137090909095</v>
      </c>
      <c r="U1726" s="3">
        <f>(Таблица1[Количество кредитных карт]-$AA$18)/($AA$19-$AA$18)</f>
        <v>0.11904761904761904</v>
      </c>
      <c r="V1726" s="3">
        <f>(Таблица1[Число нарушений кредитных договоров]-$AA$23)/($AA$24-$AA$23)</f>
        <v>0</v>
      </c>
      <c r="W1726" s="3">
        <f>Таблица1[[#This Row],[Годовой доход]]/12</f>
        <v>43175.916666666664</v>
      </c>
      <c r="X1726" s="3">
        <f>Таблица1[[#This Row],[Ежемесячный платеж]]/Таблица1[[#This Row],[Ежем доход]]</f>
        <v>0.21869668854743485</v>
      </c>
      <c r="Y1726" s="3"/>
      <c r="Z1726" s="3"/>
      <c r="AA1726" s="3"/>
      <c r="AB1726" s="3"/>
    </row>
    <row r="1727" spans="1:28" x14ac:dyDescent="0.2">
      <c r="A1727">
        <v>1513</v>
      </c>
      <c r="B1727" t="s">
        <v>1552</v>
      </c>
      <c r="C1727" t="s">
        <v>18</v>
      </c>
      <c r="D1727" t="s">
        <v>19</v>
      </c>
      <c r="E1727" t="s">
        <v>69</v>
      </c>
      <c r="F1727" t="s">
        <v>33</v>
      </c>
      <c r="G1727" t="s">
        <v>25</v>
      </c>
      <c r="H1727" s="1">
        <v>322652</v>
      </c>
      <c r="I1727" s="3">
        <v>733</v>
      </c>
      <c r="J1727" s="3">
        <v>724470</v>
      </c>
      <c r="K1727" s="3">
        <v>11048.31</v>
      </c>
      <c r="L1727" s="2">
        <v>14.8</v>
      </c>
      <c r="M1727" s="11">
        <v>42</v>
      </c>
      <c r="N1727" s="3">
        <v>10</v>
      </c>
      <c r="O1727" s="3">
        <v>120422</v>
      </c>
      <c r="P1727" s="3">
        <v>188958</v>
      </c>
      <c r="Q1727" s="10">
        <v>1</v>
      </c>
      <c r="R1727" s="3">
        <f>(Таблица1[Размер кредита]-$AA$2)/$AA$3</f>
        <v>7.4339876349680201E-2</v>
      </c>
      <c r="S1727" s="3">
        <f>(Таблица1[Кредитный рейтинг]-$AA$7)/($AA$8-$AA$7)</f>
        <v>0.97603195739014648</v>
      </c>
      <c r="T1727" s="3">
        <f>(Таблица1[Срок с последнего нарушения кредитного договора (мес,)]-$AA$12)/($AA$13-$AA$12)</f>
        <v>0.47727272727272729</v>
      </c>
      <c r="U1727" s="3">
        <f>(Таблица1[Количество кредитных карт]-$AA$18)/($AA$19-$AA$18)</f>
        <v>0.21428571428571427</v>
      </c>
      <c r="V1727" s="3">
        <f>(Таблица1[Число нарушений кредитных договоров]-$AA$23)/($AA$24-$AA$23)</f>
        <v>0.14285714285714285</v>
      </c>
      <c r="W1727" s="3">
        <f>Таблица1[[#This Row],[Годовой доход]]/12</f>
        <v>60372.5</v>
      </c>
      <c r="X1727" s="3">
        <f>Таблица1[[#This Row],[Ежемесячный платеж]]/Таблица1[[#This Row],[Ежем доход]]</f>
        <v>0.18300236034618411</v>
      </c>
      <c r="Y1727" s="3"/>
      <c r="Z1727" s="3"/>
      <c r="AA1727" s="3"/>
      <c r="AB1727" s="3"/>
    </row>
    <row r="1728" spans="1:28" x14ac:dyDescent="0.2">
      <c r="A1728">
        <v>618</v>
      </c>
      <c r="B1728" t="s">
        <v>659</v>
      </c>
      <c r="C1728" t="s">
        <v>18</v>
      </c>
      <c r="D1728" t="s">
        <v>19</v>
      </c>
      <c r="E1728" t="s">
        <v>32</v>
      </c>
      <c r="F1728" t="s">
        <v>21</v>
      </c>
      <c r="G1728" t="s">
        <v>22</v>
      </c>
      <c r="H1728" s="1">
        <v>148214</v>
      </c>
      <c r="I1728" s="3">
        <v>747</v>
      </c>
      <c r="J1728" s="3">
        <v>911487</v>
      </c>
      <c r="K1728" s="3">
        <v>20424.810000000001</v>
      </c>
      <c r="L1728" s="2">
        <v>20.5</v>
      </c>
      <c r="M1728" s="11">
        <v>35.265240640000002</v>
      </c>
      <c r="N1728" s="3">
        <v>6</v>
      </c>
      <c r="O1728" s="3">
        <v>142766</v>
      </c>
      <c r="P1728" s="3">
        <v>188716</v>
      </c>
      <c r="Q1728" s="10">
        <v>0</v>
      </c>
      <c r="R1728" s="3">
        <f>(Таблица1[Размер кредита]-$AA$2)/$AA$3</f>
        <v>-0.91878465779344398</v>
      </c>
      <c r="S1728" s="3">
        <f>(Таблица1[Кредитный рейтинг]-$AA$7)/($AA$8-$AA$7)</f>
        <v>0.9946737683089214</v>
      </c>
      <c r="T1728" s="3">
        <f>(Таблица1[Срок с последнего нарушения кредитного договора (мес,)]-$AA$12)/($AA$13-$AA$12)</f>
        <v>0.40074137090909095</v>
      </c>
      <c r="U1728" s="3">
        <f>(Таблица1[Количество кредитных карт]-$AA$18)/($AA$19-$AA$18)</f>
        <v>0.11904761904761904</v>
      </c>
      <c r="V1728" s="3">
        <f>(Таблица1[Число нарушений кредитных договоров]-$AA$23)/($AA$24-$AA$23)</f>
        <v>0</v>
      </c>
      <c r="W1728" s="3">
        <f>Таблица1[[#This Row],[Годовой доход]]/12</f>
        <v>75957.25</v>
      </c>
      <c r="X1728" s="3">
        <f>Таблица1[[#This Row],[Ежемесячный платеж]]/Таблица1[[#This Row],[Ежем доход]]</f>
        <v>0.26889875554999687</v>
      </c>
      <c r="Y1728" s="3"/>
      <c r="Z1728" s="3"/>
      <c r="AA1728" s="3"/>
      <c r="AB1728" s="3"/>
    </row>
    <row r="1729" spans="1:28" x14ac:dyDescent="0.2">
      <c r="A1729">
        <v>462</v>
      </c>
      <c r="B1729" t="s">
        <v>503</v>
      </c>
      <c r="C1729" t="s">
        <v>18</v>
      </c>
      <c r="D1729" t="s">
        <v>19</v>
      </c>
      <c r="E1729" t="s">
        <v>24</v>
      </c>
      <c r="F1729" t="s">
        <v>21</v>
      </c>
      <c r="G1729" t="s">
        <v>22</v>
      </c>
      <c r="H1729" s="1">
        <v>158026</v>
      </c>
      <c r="I1729" s="3">
        <v>716</v>
      </c>
      <c r="J1729" s="3">
        <v>1091854</v>
      </c>
      <c r="K1729" s="3">
        <v>11009.55</v>
      </c>
      <c r="L1729" s="2">
        <v>14.3</v>
      </c>
      <c r="M1729" s="11">
        <v>7</v>
      </c>
      <c r="N1729" s="3">
        <v>7</v>
      </c>
      <c r="O1729" s="3">
        <v>87438</v>
      </c>
      <c r="P1729" s="3">
        <v>188540</v>
      </c>
      <c r="Q1729" s="10">
        <v>0</v>
      </c>
      <c r="R1729" s="3">
        <f>(Таблица1[Размер кредита]-$AA$2)/$AA$3</f>
        <v>-0.86292218557401734</v>
      </c>
      <c r="S1729" s="3">
        <f>(Таблица1[Кредитный рейтинг]-$AA$7)/($AA$8-$AA$7)</f>
        <v>0.95339547270306257</v>
      </c>
      <c r="T1729" s="3">
        <f>(Таблица1[Срок с последнего нарушения кредитного договора (мес,)]-$AA$12)/($AA$13-$AA$12)</f>
        <v>7.9545454545454544E-2</v>
      </c>
      <c r="U1729" s="3">
        <f>(Таблица1[Количество кредитных карт]-$AA$18)/($AA$19-$AA$18)</f>
        <v>0.14285714285714285</v>
      </c>
      <c r="V1729" s="3">
        <f>(Таблица1[Число нарушений кредитных договоров]-$AA$23)/($AA$24-$AA$23)</f>
        <v>0</v>
      </c>
      <c r="W1729" s="3">
        <f>Таблица1[[#This Row],[Годовой доход]]/12</f>
        <v>90987.833333333328</v>
      </c>
      <c r="X1729" s="3">
        <f>Таблица1[[#This Row],[Ежемесячный платеж]]/Таблица1[[#This Row],[Ежем доход]]</f>
        <v>0.1210002436223158</v>
      </c>
      <c r="Y1729" s="3"/>
      <c r="Z1729" s="3"/>
      <c r="AA1729" s="3"/>
      <c r="AB1729" s="3"/>
    </row>
    <row r="1730" spans="1:28" x14ac:dyDescent="0.2">
      <c r="A1730">
        <v>705</v>
      </c>
      <c r="B1730" t="s">
        <v>746</v>
      </c>
      <c r="C1730" t="s">
        <v>18</v>
      </c>
      <c r="D1730" t="s">
        <v>19</v>
      </c>
      <c r="E1730" t="s">
        <v>63</v>
      </c>
      <c r="F1730" t="s">
        <v>21</v>
      </c>
      <c r="G1730" t="s">
        <v>25</v>
      </c>
      <c r="H1730" s="1">
        <v>196196</v>
      </c>
      <c r="I1730" s="3">
        <v>739</v>
      </c>
      <c r="J1730" s="3">
        <v>378632</v>
      </c>
      <c r="K1730" s="3">
        <v>2120.4</v>
      </c>
      <c r="L1730" s="2">
        <v>6.8</v>
      </c>
      <c r="M1730" s="11">
        <v>35.265240640000002</v>
      </c>
      <c r="N1730" s="3">
        <v>3</v>
      </c>
      <c r="O1730" s="3">
        <v>80028</v>
      </c>
      <c r="P1730" s="3">
        <v>188320</v>
      </c>
      <c r="Q1730" s="10">
        <v>0</v>
      </c>
      <c r="R1730" s="3">
        <f>(Таблица1[Размер кредита]-$AA$2)/$AA$3</f>
        <v>-0.64560965350965616</v>
      </c>
      <c r="S1730" s="3">
        <f>(Таблица1[Кредитный рейтинг]-$AA$7)/($AA$8-$AA$7)</f>
        <v>0.98402130492676432</v>
      </c>
      <c r="T1730" s="3">
        <f>(Таблица1[Срок с последнего нарушения кредитного договора (мес,)]-$AA$12)/($AA$13-$AA$12)</f>
        <v>0.40074137090909095</v>
      </c>
      <c r="U1730" s="3">
        <f>(Таблица1[Количество кредитных карт]-$AA$18)/($AA$19-$AA$18)</f>
        <v>4.7619047619047616E-2</v>
      </c>
      <c r="V1730" s="3">
        <f>(Таблица1[Число нарушений кредитных договоров]-$AA$23)/($AA$24-$AA$23)</f>
        <v>0</v>
      </c>
      <c r="W1730" s="3">
        <f>Таблица1[[#This Row],[Годовой доход]]/12</f>
        <v>31552.666666666668</v>
      </c>
      <c r="X1730" s="3">
        <f>Таблица1[[#This Row],[Ежемесячный платеж]]/Таблица1[[#This Row],[Ежем доход]]</f>
        <v>6.7201926936973105E-2</v>
      </c>
      <c r="Y1730" s="3"/>
      <c r="Z1730" s="3"/>
      <c r="AA1730" s="3"/>
      <c r="AB1730" s="3"/>
    </row>
    <row r="1731" spans="1:28" x14ac:dyDescent="0.2">
      <c r="A1731">
        <v>1474</v>
      </c>
      <c r="B1731" t="s">
        <v>1513</v>
      </c>
      <c r="C1731" t="s">
        <v>18</v>
      </c>
      <c r="D1731" t="s">
        <v>19</v>
      </c>
      <c r="E1731" t="s">
        <v>24</v>
      </c>
      <c r="F1731" t="s">
        <v>27</v>
      </c>
      <c r="G1731" t="s">
        <v>67</v>
      </c>
      <c r="H1731" s="1">
        <v>29172</v>
      </c>
      <c r="I1731" s="3">
        <v>696</v>
      </c>
      <c r="J1731" s="3">
        <v>406942</v>
      </c>
      <c r="K1731" s="3">
        <v>8850.9599999999991</v>
      </c>
      <c r="L1731" s="2">
        <v>16.5</v>
      </c>
      <c r="M1731" s="11">
        <v>35.265240640000002</v>
      </c>
      <c r="N1731" s="3">
        <v>7</v>
      </c>
      <c r="O1731" s="3">
        <v>31673</v>
      </c>
      <c r="P1731" s="3">
        <v>188012</v>
      </c>
      <c r="Q1731" s="10">
        <v>1</v>
      </c>
      <c r="R1731" s="3">
        <f>(Таблица1[Размер кредита]-$AA$2)/$AA$3</f>
        <v>-1.5965242030385498</v>
      </c>
      <c r="S1731" s="3">
        <f>(Таблица1[Кредитный рейтинг]-$AA$7)/($AA$8-$AA$7)</f>
        <v>0.92676431424766981</v>
      </c>
      <c r="T1731" s="3">
        <f>(Таблица1[Срок с последнего нарушения кредитного договора (мес,)]-$AA$12)/($AA$13-$AA$12)</f>
        <v>0.40074137090909095</v>
      </c>
      <c r="U1731" s="3">
        <f>(Таблица1[Количество кредитных карт]-$AA$18)/($AA$19-$AA$18)</f>
        <v>0.14285714285714285</v>
      </c>
      <c r="V1731" s="3">
        <f>(Таблица1[Число нарушений кредитных договоров]-$AA$23)/($AA$24-$AA$23)</f>
        <v>0.14285714285714285</v>
      </c>
      <c r="W1731" s="3">
        <f>Таблица1[[#This Row],[Годовой доход]]/12</f>
        <v>33911.833333333336</v>
      </c>
      <c r="X1731" s="3">
        <f>Таблица1[[#This Row],[Ежемесячный платеж]]/Таблица1[[#This Row],[Ежем доход]]</f>
        <v>0.26099915958539543</v>
      </c>
      <c r="Y1731" s="3"/>
      <c r="Z1731" s="3"/>
      <c r="AA1731" s="3"/>
      <c r="AB1731" s="3"/>
    </row>
    <row r="1732" spans="1:28" x14ac:dyDescent="0.2">
      <c r="A1732">
        <v>1842</v>
      </c>
      <c r="B1732" t="s">
        <v>1879</v>
      </c>
      <c r="C1732" t="s">
        <v>35</v>
      </c>
      <c r="D1732" t="s">
        <v>19</v>
      </c>
      <c r="E1732" t="s">
        <v>30</v>
      </c>
      <c r="F1732" t="s">
        <v>33</v>
      </c>
      <c r="G1732" t="s">
        <v>67</v>
      </c>
      <c r="H1732" s="1">
        <v>220528</v>
      </c>
      <c r="I1732" s="3">
        <v>664</v>
      </c>
      <c r="J1732" s="3">
        <v>914185</v>
      </c>
      <c r="K1732" s="3">
        <v>13103.35</v>
      </c>
      <c r="L1732" s="2">
        <v>32.5</v>
      </c>
      <c r="M1732" s="11">
        <v>6</v>
      </c>
      <c r="N1732" s="3">
        <v>8</v>
      </c>
      <c r="O1732" s="3">
        <v>78261</v>
      </c>
      <c r="P1732" s="3">
        <v>187594</v>
      </c>
      <c r="Q1732" s="10">
        <v>0</v>
      </c>
      <c r="R1732" s="3">
        <f>(Таблица1[Размер кредита]-$AA$2)/$AA$3</f>
        <v>-0.50708074257986735</v>
      </c>
      <c r="S1732" s="3">
        <f>(Таблица1[Кредитный рейтинг]-$AA$7)/($AA$8-$AA$7)</f>
        <v>0.88415446071904125</v>
      </c>
      <c r="T1732" s="3">
        <f>(Таблица1[Срок с последнего нарушения кредитного договора (мес,)]-$AA$12)/($AA$13-$AA$12)</f>
        <v>6.8181818181818177E-2</v>
      </c>
      <c r="U1732" s="3">
        <f>(Таблица1[Количество кредитных карт]-$AA$18)/($AA$19-$AA$18)</f>
        <v>0.16666666666666666</v>
      </c>
      <c r="V1732" s="3">
        <f>(Таблица1[Число нарушений кредитных договоров]-$AA$23)/($AA$24-$AA$23)</f>
        <v>0</v>
      </c>
      <c r="W1732" s="3">
        <f>Таблица1[[#This Row],[Годовой доход]]/12</f>
        <v>76182.083333333328</v>
      </c>
      <c r="X1732" s="3">
        <f>Таблица1[[#This Row],[Ежемесячный платеж]]/Таблица1[[#This Row],[Ежем доход]]</f>
        <v>0.17200041567078875</v>
      </c>
      <c r="Y1732" s="3"/>
      <c r="Z1732" s="3"/>
      <c r="AA1732" s="3"/>
      <c r="AB1732" s="3"/>
    </row>
    <row r="1733" spans="1:28" x14ac:dyDescent="0.2">
      <c r="A1733">
        <v>1007</v>
      </c>
      <c r="B1733" t="s">
        <v>1046</v>
      </c>
      <c r="C1733" t="s">
        <v>18</v>
      </c>
      <c r="D1733" t="s">
        <v>19</v>
      </c>
      <c r="E1733" t="s">
        <v>24</v>
      </c>
      <c r="F1733" t="s">
        <v>21</v>
      </c>
      <c r="G1733" t="s">
        <v>22</v>
      </c>
      <c r="H1733" s="1">
        <v>258060</v>
      </c>
      <c r="I1733" s="3">
        <v>695</v>
      </c>
      <c r="J1733" s="3">
        <v>1634380</v>
      </c>
      <c r="K1733" s="3">
        <v>3895.19</v>
      </c>
      <c r="L1733" s="2">
        <v>19.399999999999999</v>
      </c>
      <c r="M1733" s="11">
        <v>20</v>
      </c>
      <c r="N1733" s="3">
        <v>8</v>
      </c>
      <c r="O1733" s="3">
        <v>50787</v>
      </c>
      <c r="P1733" s="3">
        <v>187308</v>
      </c>
      <c r="Q1733" s="10">
        <v>2</v>
      </c>
      <c r="R1733" s="3">
        <f>(Таблица1[Размер кредита]-$AA$2)/$AA$3</f>
        <v>-0.29340052373156744</v>
      </c>
      <c r="S1733" s="3">
        <f>(Таблица1[Кредитный рейтинг]-$AA$7)/($AA$8-$AA$7)</f>
        <v>0.92543275632490019</v>
      </c>
      <c r="T1733" s="3">
        <f>(Таблица1[Срок с последнего нарушения кредитного договора (мес,)]-$AA$12)/($AA$13-$AA$12)</f>
        <v>0.22727272727272727</v>
      </c>
      <c r="U1733" s="3">
        <f>(Таблица1[Количество кредитных карт]-$AA$18)/($AA$19-$AA$18)</f>
        <v>0.16666666666666666</v>
      </c>
      <c r="V1733" s="3">
        <f>(Таблица1[Число нарушений кредитных договоров]-$AA$23)/($AA$24-$AA$23)</f>
        <v>0.2857142857142857</v>
      </c>
      <c r="W1733" s="3">
        <f>Таблица1[[#This Row],[Годовой доход]]/12</f>
        <v>136198.33333333334</v>
      </c>
      <c r="X1733" s="3">
        <f>Таблица1[[#This Row],[Ежемесячный платеж]]/Таблица1[[#This Row],[Ежем доход]]</f>
        <v>2.8599395489421062E-2</v>
      </c>
      <c r="Y1733" s="3"/>
      <c r="Z1733" s="3"/>
      <c r="AA1733" s="3"/>
      <c r="AB1733" s="3"/>
    </row>
    <row r="1734" spans="1:28" x14ac:dyDescent="0.2">
      <c r="A1734">
        <v>112</v>
      </c>
      <c r="B1734" t="s">
        <v>154</v>
      </c>
      <c r="C1734" t="s">
        <v>35</v>
      </c>
      <c r="D1734" t="s">
        <v>19</v>
      </c>
      <c r="E1734" t="s">
        <v>37</v>
      </c>
      <c r="F1734" t="s">
        <v>33</v>
      </c>
      <c r="G1734" t="s">
        <v>25</v>
      </c>
      <c r="H1734" s="1">
        <v>109802</v>
      </c>
      <c r="I1734" s="3">
        <v>745</v>
      </c>
      <c r="J1734" s="3">
        <v>474069</v>
      </c>
      <c r="K1734" s="3">
        <v>1497.39</v>
      </c>
      <c r="L1734" s="2">
        <v>11</v>
      </c>
      <c r="M1734" s="11">
        <v>35.265240640000002</v>
      </c>
      <c r="N1734" s="3">
        <v>2</v>
      </c>
      <c r="O1734" s="3">
        <v>91048</v>
      </c>
      <c r="P1734" s="3">
        <v>186604</v>
      </c>
      <c r="Q1734" s="10">
        <v>0</v>
      </c>
      <c r="R1734" s="3">
        <f>(Таблица1[Размер кредита]-$AA$2)/$AA$3</f>
        <v>-1.1374749638363113</v>
      </c>
      <c r="S1734" s="3">
        <f>(Таблица1[Кредитный рейтинг]-$AA$7)/($AA$8-$AA$7)</f>
        <v>0.99201065246338216</v>
      </c>
      <c r="T1734" s="3">
        <f>(Таблица1[Срок с последнего нарушения кредитного договора (мес,)]-$AA$12)/($AA$13-$AA$12)</f>
        <v>0.40074137090909095</v>
      </c>
      <c r="U1734" s="3">
        <f>(Таблица1[Количество кредитных карт]-$AA$18)/($AA$19-$AA$18)</f>
        <v>2.3809523809523808E-2</v>
      </c>
      <c r="V1734" s="3">
        <f>(Таблица1[Число нарушений кредитных договоров]-$AA$23)/($AA$24-$AA$23)</f>
        <v>0</v>
      </c>
      <c r="W1734" s="3">
        <f>Таблица1[[#This Row],[Годовой доход]]/12</f>
        <v>39505.75</v>
      </c>
      <c r="X1734" s="3">
        <f>Таблица1[[#This Row],[Ежемесячный платеж]]/Таблица1[[#This Row],[Ежем доход]]</f>
        <v>3.7903090056510762E-2</v>
      </c>
      <c r="Y1734" s="3"/>
      <c r="Z1734" s="3"/>
      <c r="AA1734" s="3"/>
      <c r="AB1734" s="3"/>
    </row>
    <row r="1735" spans="1:28" x14ac:dyDescent="0.2">
      <c r="A1735">
        <v>789</v>
      </c>
      <c r="B1735" s="4" t="s">
        <v>830</v>
      </c>
      <c r="C1735" t="s">
        <v>35</v>
      </c>
      <c r="D1735" t="s">
        <v>19</v>
      </c>
      <c r="E1735" t="s">
        <v>52</v>
      </c>
      <c r="F1735" t="s">
        <v>21</v>
      </c>
      <c r="G1735" t="s">
        <v>25</v>
      </c>
      <c r="H1735" s="1">
        <v>163878</v>
      </c>
      <c r="I1735" s="3">
        <v>741</v>
      </c>
      <c r="J1735" s="3">
        <v>1439402</v>
      </c>
      <c r="K1735" s="3">
        <v>14034.16</v>
      </c>
      <c r="L1735" s="2">
        <v>11</v>
      </c>
      <c r="M1735" s="11">
        <v>18</v>
      </c>
      <c r="N1735" s="3">
        <v>7</v>
      </c>
      <c r="O1735" s="3">
        <v>110865</v>
      </c>
      <c r="P1735" s="3">
        <v>186604</v>
      </c>
      <c r="Q1735" s="10">
        <v>0</v>
      </c>
      <c r="R1735" s="3">
        <f>(Таблица1[Размер кредита]-$AA$2)/$AA$3</f>
        <v>-0.82960510573014412</v>
      </c>
      <c r="S1735" s="3">
        <f>(Таблица1[Кредитный рейтинг]-$AA$7)/($AA$8-$AA$7)</f>
        <v>0.98668442077230356</v>
      </c>
      <c r="T1735" s="3">
        <f>(Таблица1[Срок с последнего нарушения кредитного договора (мес,)]-$AA$12)/($AA$13-$AA$12)</f>
        <v>0.20454545454545456</v>
      </c>
      <c r="U1735" s="3">
        <f>(Таблица1[Количество кредитных карт]-$AA$18)/($AA$19-$AA$18)</f>
        <v>0.14285714285714285</v>
      </c>
      <c r="V1735" s="3">
        <f>(Таблица1[Число нарушений кредитных договоров]-$AA$23)/($AA$24-$AA$23)</f>
        <v>0</v>
      </c>
      <c r="W1735" s="3">
        <f>Таблица1[[#This Row],[Годовой доход]]/12</f>
        <v>119950.16666666667</v>
      </c>
      <c r="X1735" s="3">
        <f>Таблица1[[#This Row],[Ежемесячный платеж]]/Таблица1[[#This Row],[Ежем доход]]</f>
        <v>0.11699992080044351</v>
      </c>
      <c r="Y1735" s="3"/>
      <c r="Z1735" s="3"/>
      <c r="AA1735" s="3"/>
      <c r="AB1735" s="3"/>
    </row>
    <row r="1736" spans="1:28" x14ac:dyDescent="0.2">
      <c r="A1736">
        <v>121</v>
      </c>
      <c r="B1736" t="s">
        <v>163</v>
      </c>
      <c r="C1736" t="s">
        <v>18</v>
      </c>
      <c r="D1736" t="s">
        <v>19</v>
      </c>
      <c r="E1736" t="s">
        <v>47</v>
      </c>
      <c r="F1736" t="s">
        <v>21</v>
      </c>
      <c r="G1736" t="s">
        <v>25</v>
      </c>
      <c r="H1736" s="1">
        <v>218988</v>
      </c>
      <c r="I1736" s="3">
        <v>740</v>
      </c>
      <c r="J1736" s="3">
        <v>775409</v>
      </c>
      <c r="K1736" s="3">
        <v>8141.88</v>
      </c>
      <c r="L1736" s="2">
        <v>14.9</v>
      </c>
      <c r="M1736" s="11">
        <v>9</v>
      </c>
      <c r="N1736" s="3">
        <v>5</v>
      </c>
      <c r="O1736" s="3">
        <v>100206</v>
      </c>
      <c r="P1736" s="3">
        <v>186230</v>
      </c>
      <c r="Q1736" s="10">
        <v>0</v>
      </c>
      <c r="R1736" s="3">
        <f>(Таблица1[Размер кредита]-$AA$2)/$AA$3</f>
        <v>-0.5158483951703603</v>
      </c>
      <c r="S1736" s="3">
        <f>(Таблица1[Кредитный рейтинг]-$AA$7)/($AA$8-$AA$7)</f>
        <v>0.98535286284953394</v>
      </c>
      <c r="T1736" s="3">
        <f>(Таблица1[Срок с последнего нарушения кредитного договора (мес,)]-$AA$12)/($AA$13-$AA$12)</f>
        <v>0.10227272727272728</v>
      </c>
      <c r="U1736" s="3">
        <f>(Таблица1[Количество кредитных карт]-$AA$18)/($AA$19-$AA$18)</f>
        <v>9.5238095238095233E-2</v>
      </c>
      <c r="V1736" s="3">
        <f>(Таблица1[Число нарушений кредитных договоров]-$AA$23)/($AA$24-$AA$23)</f>
        <v>0</v>
      </c>
      <c r="W1736" s="3">
        <f>Таблица1[[#This Row],[Годовой доход]]/12</f>
        <v>64617.416666666664</v>
      </c>
      <c r="X1736" s="3">
        <f>Таблица1[[#This Row],[Ежемесячный платеж]]/Таблица1[[#This Row],[Ежем доход]]</f>
        <v>0.12600132317267404</v>
      </c>
      <c r="Y1736" s="3"/>
      <c r="Z1736" s="3"/>
      <c r="AA1736" s="3"/>
      <c r="AB1736" s="3"/>
    </row>
    <row r="1737" spans="1:28" x14ac:dyDescent="0.2">
      <c r="A1737">
        <v>1906</v>
      </c>
      <c r="B1737" t="s">
        <v>1942</v>
      </c>
      <c r="C1737" t="s">
        <v>35</v>
      </c>
      <c r="D1737" t="s">
        <v>29</v>
      </c>
      <c r="E1737" t="s">
        <v>41</v>
      </c>
      <c r="F1737" t="s">
        <v>33</v>
      </c>
      <c r="G1737" t="s">
        <v>70</v>
      </c>
      <c r="H1737" s="1">
        <v>220858</v>
      </c>
      <c r="I1737" s="3">
        <v>704</v>
      </c>
      <c r="J1737" s="3">
        <v>1907410</v>
      </c>
      <c r="K1737" s="3">
        <v>20504.61</v>
      </c>
      <c r="L1737" s="2">
        <v>12.3</v>
      </c>
      <c r="M1737" s="11">
        <v>20</v>
      </c>
      <c r="N1737" s="3">
        <v>9</v>
      </c>
      <c r="O1737" s="3">
        <v>92872</v>
      </c>
      <c r="P1737" s="3">
        <v>185416</v>
      </c>
      <c r="Q1737" s="10">
        <v>0</v>
      </c>
      <c r="R1737" s="3">
        <f>(Таблица1[Размер кредита]-$AA$2)/$AA$3</f>
        <v>-0.50520195988190453</v>
      </c>
      <c r="S1737" s="3">
        <f>(Таблица1[Кредитный рейтинг]-$AA$7)/($AA$8-$AA$7)</f>
        <v>0.93741677762982689</v>
      </c>
      <c r="T1737" s="3">
        <f>(Таблица1[Срок с последнего нарушения кредитного договора (мес,)]-$AA$12)/($AA$13-$AA$12)</f>
        <v>0.22727272727272727</v>
      </c>
      <c r="U1737" s="3">
        <f>(Таблица1[Количество кредитных карт]-$AA$18)/($AA$19-$AA$18)</f>
        <v>0.19047619047619047</v>
      </c>
      <c r="V1737" s="3">
        <f>(Таблица1[Число нарушений кредитных договоров]-$AA$23)/($AA$24-$AA$23)</f>
        <v>0</v>
      </c>
      <c r="W1737" s="3">
        <f>Таблица1[[#This Row],[Годовой доход]]/12</f>
        <v>158950.83333333334</v>
      </c>
      <c r="X1737" s="3">
        <f>Таблица1[[#This Row],[Ежемесячный платеж]]/Таблица1[[#This Row],[Ежем доход]]</f>
        <v>0.12899970116545473</v>
      </c>
      <c r="Y1737" s="3"/>
      <c r="Z1737" s="3"/>
      <c r="AA1737" s="3"/>
      <c r="AB1737" s="3"/>
    </row>
    <row r="1738" spans="1:28" x14ac:dyDescent="0.2">
      <c r="A1738">
        <v>1297</v>
      </c>
      <c r="B1738" t="s">
        <v>1336</v>
      </c>
      <c r="C1738" t="s">
        <v>18</v>
      </c>
      <c r="D1738" t="s">
        <v>19</v>
      </c>
      <c r="E1738" t="s">
        <v>47</v>
      </c>
      <c r="F1738" t="s">
        <v>33</v>
      </c>
      <c r="G1738" t="s">
        <v>25</v>
      </c>
      <c r="H1738" s="1">
        <v>173118</v>
      </c>
      <c r="I1738" s="3">
        <v>714</v>
      </c>
      <c r="J1738" s="3">
        <v>672790</v>
      </c>
      <c r="K1738" s="3">
        <v>17604.45</v>
      </c>
      <c r="L1738" s="2">
        <v>10</v>
      </c>
      <c r="M1738" s="11">
        <v>35.265240640000002</v>
      </c>
      <c r="N1738" s="3">
        <v>6</v>
      </c>
      <c r="O1738" s="3">
        <v>129010</v>
      </c>
      <c r="P1738" s="3">
        <v>183964</v>
      </c>
      <c r="Q1738" s="10">
        <v>0</v>
      </c>
      <c r="R1738" s="3">
        <f>(Таблица1[Размер кредита]-$AA$2)/$AA$3</f>
        <v>-0.77699919018718633</v>
      </c>
      <c r="S1738" s="3">
        <f>(Таблица1[Кредитный рейтинг]-$AA$7)/($AA$8-$AA$7)</f>
        <v>0.95073235685752333</v>
      </c>
      <c r="T1738" s="3">
        <f>(Таблица1[Срок с последнего нарушения кредитного договора (мес,)]-$AA$12)/($AA$13-$AA$12)</f>
        <v>0.40074137090909095</v>
      </c>
      <c r="U1738" s="3">
        <f>(Таблица1[Количество кредитных карт]-$AA$18)/($AA$19-$AA$18)</f>
        <v>0.11904761904761904</v>
      </c>
      <c r="V1738" s="3">
        <f>(Таблица1[Число нарушений кредитных договоров]-$AA$23)/($AA$24-$AA$23)</f>
        <v>0</v>
      </c>
      <c r="W1738" s="3">
        <f>Таблица1[[#This Row],[Годовой доход]]/12</f>
        <v>56065.833333333336</v>
      </c>
      <c r="X1738" s="3">
        <f>Таблица1[[#This Row],[Ежемесячный платеж]]/Таблица1[[#This Row],[Ежем доход]]</f>
        <v>0.31399604631460037</v>
      </c>
      <c r="Y1738" s="3"/>
      <c r="Z1738" s="3"/>
      <c r="AA1738" s="3"/>
      <c r="AB1738" s="3"/>
    </row>
    <row r="1739" spans="1:28" x14ac:dyDescent="0.2">
      <c r="A1739">
        <v>1417</v>
      </c>
      <c r="B1739" s="4" t="s">
        <v>1456</v>
      </c>
      <c r="C1739" t="s">
        <v>18</v>
      </c>
      <c r="D1739" t="s">
        <v>19</v>
      </c>
      <c r="E1739" t="s">
        <v>24</v>
      </c>
      <c r="F1739" t="s">
        <v>33</v>
      </c>
      <c r="G1739" t="s">
        <v>67</v>
      </c>
      <c r="H1739" s="1">
        <v>43758</v>
      </c>
      <c r="I1739" s="3">
        <v>701</v>
      </c>
      <c r="J1739" s="3">
        <v>1228464</v>
      </c>
      <c r="K1739" s="3">
        <v>7503.86</v>
      </c>
      <c r="L1739" s="2">
        <v>23.8</v>
      </c>
      <c r="M1739" s="11">
        <v>35.265240640000002</v>
      </c>
      <c r="N1739" s="3">
        <v>8</v>
      </c>
      <c r="O1739" s="3">
        <v>57874</v>
      </c>
      <c r="P1739" s="3">
        <v>183590</v>
      </c>
      <c r="Q1739" s="10">
        <v>1</v>
      </c>
      <c r="R1739" s="3">
        <f>(Таблица1[Размер кредита]-$AA$2)/$AA$3</f>
        <v>-1.5134820077885951</v>
      </c>
      <c r="S1739" s="3">
        <f>(Таблица1[Кредитный рейтинг]-$AA$7)/($AA$8-$AA$7)</f>
        <v>0.93342210386151803</v>
      </c>
      <c r="T1739" s="3">
        <f>(Таблица1[Срок с последнего нарушения кредитного договора (мес,)]-$AA$12)/($AA$13-$AA$12)</f>
        <v>0.40074137090909095</v>
      </c>
      <c r="U1739" s="3">
        <f>(Таблица1[Количество кредитных карт]-$AA$18)/($AA$19-$AA$18)</f>
        <v>0.16666666666666666</v>
      </c>
      <c r="V1739" s="3">
        <f>(Таблица1[Число нарушений кредитных договоров]-$AA$23)/($AA$24-$AA$23)</f>
        <v>0.14285714285714285</v>
      </c>
      <c r="W1739" s="3">
        <f>Таблица1[[#This Row],[Годовой доход]]/12</f>
        <v>102372</v>
      </c>
      <c r="X1739" s="3">
        <f>Таблица1[[#This Row],[Ежемесячный платеж]]/Таблица1[[#This Row],[Ежем доход]]</f>
        <v>7.3299925760950263E-2</v>
      </c>
      <c r="Y1739" s="3"/>
      <c r="Z1739" s="3"/>
      <c r="AA1739" s="3"/>
      <c r="AB1739" s="3"/>
    </row>
    <row r="1740" spans="1:28" x14ac:dyDescent="0.2">
      <c r="A1740">
        <v>731</v>
      </c>
      <c r="B1740" t="s">
        <v>772</v>
      </c>
      <c r="C1740" t="s">
        <v>35</v>
      </c>
      <c r="D1740" t="s">
        <v>19</v>
      </c>
      <c r="E1740" t="s">
        <v>30</v>
      </c>
      <c r="F1740" t="s">
        <v>33</v>
      </c>
      <c r="G1740" t="s">
        <v>67</v>
      </c>
      <c r="H1740" s="1">
        <v>178948</v>
      </c>
      <c r="I1740" s="3">
        <v>740</v>
      </c>
      <c r="J1740" s="3">
        <v>1352344</v>
      </c>
      <c r="K1740" s="3">
        <v>25581.98</v>
      </c>
      <c r="L1740" s="2">
        <v>17.899999999999999</v>
      </c>
      <c r="M1740" s="11">
        <v>14</v>
      </c>
      <c r="N1740" s="3">
        <v>10</v>
      </c>
      <c r="O1740" s="3">
        <v>79952</v>
      </c>
      <c r="P1740" s="3">
        <v>183304</v>
      </c>
      <c r="Q1740" s="10">
        <v>0</v>
      </c>
      <c r="R1740" s="3">
        <f>(Таблица1[Размер кредита]-$AA$2)/$AA$3</f>
        <v>-0.74380736252317725</v>
      </c>
      <c r="S1740" s="3">
        <f>(Таблица1[Кредитный рейтинг]-$AA$7)/($AA$8-$AA$7)</f>
        <v>0.98535286284953394</v>
      </c>
      <c r="T1740" s="3">
        <f>(Таблица1[Срок с последнего нарушения кредитного договора (мес,)]-$AA$12)/($AA$13-$AA$12)</f>
        <v>0.15909090909090909</v>
      </c>
      <c r="U1740" s="3">
        <f>(Таблица1[Количество кредитных карт]-$AA$18)/($AA$19-$AA$18)</f>
        <v>0.21428571428571427</v>
      </c>
      <c r="V1740" s="3">
        <f>(Таблица1[Число нарушений кредитных договоров]-$AA$23)/($AA$24-$AA$23)</f>
        <v>0</v>
      </c>
      <c r="W1740" s="3">
        <f>Таблица1[[#This Row],[Годовой доход]]/12</f>
        <v>112695.33333333333</v>
      </c>
      <c r="X1740" s="3">
        <f>Таблица1[[#This Row],[Ежемесячный платеж]]/Таблица1[[#This Row],[Ежем доход]]</f>
        <v>0.22700123637181072</v>
      </c>
      <c r="Y1740" s="3"/>
      <c r="Z1740" s="3"/>
      <c r="AA1740" s="3"/>
      <c r="AB1740" s="3"/>
    </row>
    <row r="1741" spans="1:28" x14ac:dyDescent="0.2">
      <c r="A1741">
        <v>1336</v>
      </c>
      <c r="B1741" t="s">
        <v>1375</v>
      </c>
      <c r="C1741" t="s">
        <v>18</v>
      </c>
      <c r="D1741" t="s">
        <v>19</v>
      </c>
      <c r="E1741" t="s">
        <v>63</v>
      </c>
      <c r="F1741" t="s">
        <v>33</v>
      </c>
      <c r="G1741" t="s">
        <v>25</v>
      </c>
      <c r="H1741" s="1">
        <v>150216</v>
      </c>
      <c r="I1741" s="3">
        <v>740</v>
      </c>
      <c r="J1741" s="3">
        <v>1760597</v>
      </c>
      <c r="K1741" s="3">
        <v>9551.2999999999993</v>
      </c>
      <c r="L1741" s="2">
        <v>20.9</v>
      </c>
      <c r="M1741" s="11">
        <v>16</v>
      </c>
      <c r="N1741" s="3">
        <v>9</v>
      </c>
      <c r="O1741" s="3">
        <v>13129</v>
      </c>
      <c r="P1741" s="3">
        <v>183040</v>
      </c>
      <c r="Q1741" s="10">
        <v>0</v>
      </c>
      <c r="R1741" s="3">
        <f>(Таблица1[Размер кредита]-$AA$2)/$AA$3</f>
        <v>-0.90738670942580313</v>
      </c>
      <c r="S1741" s="3">
        <f>(Таблица1[Кредитный рейтинг]-$AA$7)/($AA$8-$AA$7)</f>
        <v>0.98535286284953394</v>
      </c>
      <c r="T1741" s="3">
        <f>(Таблица1[Срок с последнего нарушения кредитного договора (мес,)]-$AA$12)/($AA$13-$AA$12)</f>
        <v>0.18181818181818182</v>
      </c>
      <c r="U1741" s="3">
        <f>(Таблица1[Количество кредитных карт]-$AA$18)/($AA$19-$AA$18)</f>
        <v>0.19047619047619047</v>
      </c>
      <c r="V1741" s="3">
        <f>(Таблица1[Число нарушений кредитных договоров]-$AA$23)/($AA$24-$AA$23)</f>
        <v>0</v>
      </c>
      <c r="W1741" s="3">
        <f>Таблица1[[#This Row],[Годовой доход]]/12</f>
        <v>146716.41666666666</v>
      </c>
      <c r="X1741" s="3">
        <f>Таблица1[[#This Row],[Ежемесячный платеж]]/Таблица1[[#This Row],[Ежем доход]]</f>
        <v>6.5100417642424704E-2</v>
      </c>
      <c r="Y1741" s="3"/>
      <c r="Z1741" s="3"/>
      <c r="AA1741" s="3"/>
      <c r="AB1741" s="3"/>
    </row>
    <row r="1742" spans="1:28" x14ac:dyDescent="0.2">
      <c r="A1742">
        <v>1510</v>
      </c>
      <c r="B1742" t="s">
        <v>1549</v>
      </c>
      <c r="C1742" t="s">
        <v>18</v>
      </c>
      <c r="D1742" t="s">
        <v>19</v>
      </c>
      <c r="E1742" t="s">
        <v>63</v>
      </c>
      <c r="F1742" t="s">
        <v>33</v>
      </c>
      <c r="G1742" t="s">
        <v>25</v>
      </c>
      <c r="H1742" s="1">
        <v>206074</v>
      </c>
      <c r="I1742" s="3">
        <v>682</v>
      </c>
      <c r="J1742" s="3">
        <v>578930</v>
      </c>
      <c r="K1742" s="3">
        <v>11385.56</v>
      </c>
      <c r="L1742" s="2">
        <v>9.8000000000000007</v>
      </c>
      <c r="M1742" s="11">
        <v>65</v>
      </c>
      <c r="N1742" s="3">
        <v>6</v>
      </c>
      <c r="O1742" s="3">
        <v>85424</v>
      </c>
      <c r="P1742" s="3">
        <v>182842</v>
      </c>
      <c r="Q1742" s="10">
        <v>0</v>
      </c>
      <c r="R1742" s="3">
        <f>(Таблица1[Размер кредита]-$AA$2)/$AA$3</f>
        <v>-0.58937142475063697</v>
      </c>
      <c r="S1742" s="3">
        <f>(Таблица1[Кредитный рейтинг]-$AA$7)/($AA$8-$AA$7)</f>
        <v>0.90812250332889477</v>
      </c>
      <c r="T1742" s="3">
        <f>(Таблица1[Срок с последнего нарушения кредитного договора (мес,)]-$AA$12)/($AA$13-$AA$12)</f>
        <v>0.73863636363636365</v>
      </c>
      <c r="U1742" s="3">
        <f>(Таблица1[Количество кредитных карт]-$AA$18)/($AA$19-$AA$18)</f>
        <v>0.11904761904761904</v>
      </c>
      <c r="V1742" s="3">
        <f>(Таблица1[Число нарушений кредитных договоров]-$AA$23)/($AA$24-$AA$23)</f>
        <v>0</v>
      </c>
      <c r="W1742" s="3">
        <f>Таблица1[[#This Row],[Годовой доход]]/12</f>
        <v>48244.166666666664</v>
      </c>
      <c r="X1742" s="3">
        <f>Таблица1[[#This Row],[Ежемесячный платеж]]/Таблица1[[#This Row],[Ежем доход]]</f>
        <v>0.23599868723334427</v>
      </c>
      <c r="Y1742" s="3"/>
      <c r="Z1742" s="3"/>
      <c r="AA1742" s="3"/>
      <c r="AB1742" s="3"/>
    </row>
    <row r="1743" spans="1:28" x14ac:dyDescent="0.2">
      <c r="A1743">
        <v>1864</v>
      </c>
      <c r="B1743" t="s">
        <v>1901</v>
      </c>
      <c r="C1743" t="s">
        <v>18</v>
      </c>
      <c r="D1743" t="s">
        <v>19</v>
      </c>
      <c r="E1743" t="s">
        <v>24</v>
      </c>
      <c r="F1743" t="s">
        <v>33</v>
      </c>
      <c r="G1743" t="s">
        <v>25</v>
      </c>
      <c r="H1743" s="1">
        <v>66770</v>
      </c>
      <c r="I1743" s="3">
        <v>733</v>
      </c>
      <c r="J1743" s="3">
        <v>358701</v>
      </c>
      <c r="K1743" s="3">
        <v>4573.49</v>
      </c>
      <c r="L1743" s="2">
        <v>19.399999999999999</v>
      </c>
      <c r="M1743" s="11">
        <v>35.265240640000002</v>
      </c>
      <c r="N1743" s="3">
        <v>8</v>
      </c>
      <c r="O1743" s="3">
        <v>121410</v>
      </c>
      <c r="P1743" s="3">
        <v>182336</v>
      </c>
      <c r="Q1743" s="10">
        <v>0</v>
      </c>
      <c r="R1743" s="3">
        <f>(Таблица1[Размер кредита]-$AA$2)/$AA$3</f>
        <v>-1.3824682276506575</v>
      </c>
      <c r="S1743" s="3">
        <f>(Таблица1[Кредитный рейтинг]-$AA$7)/($AA$8-$AA$7)</f>
        <v>0.97603195739014648</v>
      </c>
      <c r="T1743" s="3">
        <f>(Таблица1[Срок с последнего нарушения кредитного договора (мес,)]-$AA$12)/($AA$13-$AA$12)</f>
        <v>0.40074137090909095</v>
      </c>
      <c r="U1743" s="3">
        <f>(Таблица1[Количество кредитных карт]-$AA$18)/($AA$19-$AA$18)</f>
        <v>0.16666666666666666</v>
      </c>
      <c r="V1743" s="3">
        <f>(Таблица1[Число нарушений кредитных договоров]-$AA$23)/($AA$24-$AA$23)</f>
        <v>0</v>
      </c>
      <c r="W1743" s="3">
        <f>Таблица1[[#This Row],[Годовой доход]]/12</f>
        <v>29891.75</v>
      </c>
      <c r="X1743" s="3">
        <f>Таблица1[[#This Row],[Ежемесячный платеж]]/Таблица1[[#This Row],[Ежем доход]]</f>
        <v>0.15300174797393928</v>
      </c>
      <c r="Y1743" s="3"/>
      <c r="Z1743" s="3"/>
      <c r="AA1743" s="3"/>
      <c r="AB1743" s="3"/>
    </row>
    <row r="1744" spans="1:28" x14ac:dyDescent="0.2">
      <c r="A1744">
        <v>225</v>
      </c>
      <c r="B1744" t="s">
        <v>267</v>
      </c>
      <c r="C1744" t="s">
        <v>18</v>
      </c>
      <c r="D1744" t="s">
        <v>19</v>
      </c>
      <c r="E1744" t="s">
        <v>47</v>
      </c>
      <c r="F1744" t="s">
        <v>21</v>
      </c>
      <c r="G1744" t="s">
        <v>25</v>
      </c>
      <c r="H1744" s="1">
        <v>86724</v>
      </c>
      <c r="I1744" s="3">
        <v>716</v>
      </c>
      <c r="J1744" s="3">
        <v>580469</v>
      </c>
      <c r="K1744" s="3">
        <v>7352.62</v>
      </c>
      <c r="L1744" s="2">
        <v>4.9000000000000004</v>
      </c>
      <c r="M1744" s="11">
        <v>35.265240640000002</v>
      </c>
      <c r="N1744" s="3">
        <v>6</v>
      </c>
      <c r="O1744" s="3">
        <v>109687</v>
      </c>
      <c r="P1744" s="3">
        <v>182226</v>
      </c>
      <c r="Q1744" s="10">
        <v>0</v>
      </c>
      <c r="R1744" s="3">
        <f>(Таблица1[Размер кредита]-$AA$2)/$AA$3</f>
        <v>-1.2688645005138415</v>
      </c>
      <c r="S1744" s="3">
        <f>(Таблица1[Кредитный рейтинг]-$AA$7)/($AA$8-$AA$7)</f>
        <v>0.95339547270306257</v>
      </c>
      <c r="T1744" s="3">
        <f>(Таблица1[Срок с последнего нарушения кредитного договора (мес,)]-$AA$12)/($AA$13-$AA$12)</f>
        <v>0.40074137090909095</v>
      </c>
      <c r="U1744" s="3">
        <f>(Таблица1[Количество кредитных карт]-$AA$18)/($AA$19-$AA$18)</f>
        <v>0.11904761904761904</v>
      </c>
      <c r="V1744" s="3">
        <f>(Таблица1[Число нарушений кредитных договоров]-$AA$23)/($AA$24-$AA$23)</f>
        <v>0</v>
      </c>
      <c r="W1744" s="3">
        <f>Таблица1[[#This Row],[Годовой доход]]/12</f>
        <v>48372.416666666664</v>
      </c>
      <c r="X1744" s="3">
        <f>Таблица1[[#This Row],[Ежемесячный платеж]]/Таблица1[[#This Row],[Ежем доход]]</f>
        <v>0.15200026185722235</v>
      </c>
      <c r="Y1744" s="3"/>
      <c r="Z1744" s="3"/>
      <c r="AA1744" s="3"/>
      <c r="AB1744" s="3"/>
    </row>
    <row r="1745" spans="1:28" x14ac:dyDescent="0.2">
      <c r="A1745">
        <v>793</v>
      </c>
      <c r="B1745" t="s">
        <v>834</v>
      </c>
      <c r="C1745" t="s">
        <v>35</v>
      </c>
      <c r="D1745" t="s">
        <v>19</v>
      </c>
      <c r="E1745" t="s">
        <v>69</v>
      </c>
      <c r="F1745" t="s">
        <v>33</v>
      </c>
      <c r="G1745" t="s">
        <v>25</v>
      </c>
      <c r="H1745" s="1">
        <v>190784</v>
      </c>
      <c r="I1745" s="3">
        <v>704</v>
      </c>
      <c r="J1745" s="3">
        <v>711455</v>
      </c>
      <c r="K1745" s="3">
        <v>5015.8100000000004</v>
      </c>
      <c r="L1745" s="2">
        <v>16.100000000000001</v>
      </c>
      <c r="M1745" s="11">
        <v>35.265240640000002</v>
      </c>
      <c r="N1745" s="3">
        <v>6</v>
      </c>
      <c r="O1745" s="3">
        <v>145825</v>
      </c>
      <c r="P1745" s="3">
        <v>182138</v>
      </c>
      <c r="Q1745" s="10">
        <v>0</v>
      </c>
      <c r="R1745" s="3">
        <f>(Таблица1[Размер кредита]-$AA$2)/$AA$3</f>
        <v>-0.67642168975624573</v>
      </c>
      <c r="S1745" s="3">
        <f>(Таблица1[Кредитный рейтинг]-$AA$7)/($AA$8-$AA$7)</f>
        <v>0.93741677762982689</v>
      </c>
      <c r="T1745" s="3">
        <f>(Таблица1[Срок с последнего нарушения кредитного договора (мес,)]-$AA$12)/($AA$13-$AA$12)</f>
        <v>0.40074137090909095</v>
      </c>
      <c r="U1745" s="3">
        <f>(Таблица1[Количество кредитных карт]-$AA$18)/($AA$19-$AA$18)</f>
        <v>0.11904761904761904</v>
      </c>
      <c r="V1745" s="3">
        <f>(Таблица1[Число нарушений кредитных договоров]-$AA$23)/($AA$24-$AA$23)</f>
        <v>0</v>
      </c>
      <c r="W1745" s="3">
        <f>Таблица1[[#This Row],[Годовой доход]]/12</f>
        <v>59287.916666666664</v>
      </c>
      <c r="X1745" s="3">
        <f>Таблица1[[#This Row],[Ежемесячный платеж]]/Таблица1[[#This Row],[Ежем доход]]</f>
        <v>8.4600881292562435E-2</v>
      </c>
      <c r="Y1745" s="3"/>
      <c r="Z1745" s="3"/>
      <c r="AA1745" s="3"/>
      <c r="AB1745" s="3"/>
    </row>
    <row r="1746" spans="1:28" x14ac:dyDescent="0.2">
      <c r="A1746">
        <v>664</v>
      </c>
      <c r="B1746" t="s">
        <v>705</v>
      </c>
      <c r="C1746" t="s">
        <v>35</v>
      </c>
      <c r="D1746" t="s">
        <v>29</v>
      </c>
      <c r="E1746" t="s">
        <v>63</v>
      </c>
      <c r="F1746" t="s">
        <v>27</v>
      </c>
      <c r="G1746" t="s">
        <v>25</v>
      </c>
      <c r="H1746" s="1">
        <v>429572</v>
      </c>
      <c r="I1746" s="3">
        <v>700</v>
      </c>
      <c r="J1746" s="3">
        <v>1597577</v>
      </c>
      <c r="K1746" s="3">
        <v>23430.99</v>
      </c>
      <c r="L1746" s="2">
        <v>17.5</v>
      </c>
      <c r="M1746" s="11">
        <v>35.265240640000002</v>
      </c>
      <c r="N1746" s="3">
        <v>15</v>
      </c>
      <c r="O1746" s="3">
        <v>129713</v>
      </c>
      <c r="P1746" s="3">
        <v>181830</v>
      </c>
      <c r="Q1746" s="10">
        <v>0</v>
      </c>
      <c r="R1746" s="3">
        <f>(Таблица1[Размер кредита]-$AA$2)/$AA$3</f>
        <v>0.68306547048962007</v>
      </c>
      <c r="S1746" s="3">
        <f>(Таблица1[Кредитный рейтинг]-$AA$7)/($AA$8-$AA$7)</f>
        <v>0.93209054593874829</v>
      </c>
      <c r="T1746" s="3">
        <f>(Таблица1[Срок с последнего нарушения кредитного договора (мес,)]-$AA$12)/($AA$13-$AA$12)</f>
        <v>0.40074137090909095</v>
      </c>
      <c r="U1746" s="3">
        <f>(Таблица1[Количество кредитных карт]-$AA$18)/($AA$19-$AA$18)</f>
        <v>0.33333333333333331</v>
      </c>
      <c r="V1746" s="3">
        <f>(Таблица1[Число нарушений кредитных договоров]-$AA$23)/($AA$24-$AA$23)</f>
        <v>0</v>
      </c>
      <c r="W1746" s="3">
        <f>Таблица1[[#This Row],[Годовой доход]]/12</f>
        <v>133131.41666666666</v>
      </c>
      <c r="X1746" s="3">
        <f>Таблица1[[#This Row],[Ежемесячный платеж]]/Таблица1[[#This Row],[Ежем доход]]</f>
        <v>0.17599895341507799</v>
      </c>
      <c r="Y1746" s="3"/>
      <c r="Z1746" s="3"/>
      <c r="AA1746" s="3"/>
      <c r="AB1746" s="3"/>
    </row>
    <row r="1747" spans="1:28" x14ac:dyDescent="0.2">
      <c r="A1747">
        <v>1216</v>
      </c>
      <c r="B1747" t="s">
        <v>1255</v>
      </c>
      <c r="C1747" t="s">
        <v>18</v>
      </c>
      <c r="D1747" t="s">
        <v>19</v>
      </c>
      <c r="E1747" t="s">
        <v>32</v>
      </c>
      <c r="F1747" t="s">
        <v>21</v>
      </c>
      <c r="G1747" t="s">
        <v>25</v>
      </c>
      <c r="H1747" s="1">
        <v>71698</v>
      </c>
      <c r="I1747" s="3">
        <v>718</v>
      </c>
      <c r="J1747" s="3">
        <v>676324</v>
      </c>
      <c r="K1747" s="3">
        <v>3409.74</v>
      </c>
      <c r="L1747" s="2">
        <v>16.2</v>
      </c>
      <c r="M1747" s="11">
        <v>54</v>
      </c>
      <c r="N1747" s="3">
        <v>6</v>
      </c>
      <c r="O1747" s="3">
        <v>71744</v>
      </c>
      <c r="P1747" s="3">
        <v>180994</v>
      </c>
      <c r="Q1747" s="10">
        <v>1</v>
      </c>
      <c r="R1747" s="3">
        <f>(Таблица1[Размер кредита]-$AA$2)/$AA$3</f>
        <v>-1.3544117393610799</v>
      </c>
      <c r="S1747" s="3">
        <f>(Таблица1[Кредитный рейтинг]-$AA$7)/($AA$8-$AA$7)</f>
        <v>0.95605858854860182</v>
      </c>
      <c r="T1747" s="3">
        <f>(Таблица1[Срок с последнего нарушения кредитного договора (мес,)]-$AA$12)/($AA$13-$AA$12)</f>
        <v>0.61363636363636365</v>
      </c>
      <c r="U1747" s="3">
        <f>(Таблица1[Количество кредитных карт]-$AA$18)/($AA$19-$AA$18)</f>
        <v>0.11904761904761904</v>
      </c>
      <c r="V1747" s="3">
        <f>(Таблица1[Число нарушений кредитных договоров]-$AA$23)/($AA$24-$AA$23)</f>
        <v>0.14285714285714285</v>
      </c>
      <c r="W1747" s="3">
        <f>Таблица1[[#This Row],[Годовой доход]]/12</f>
        <v>56360.333333333336</v>
      </c>
      <c r="X1747" s="3">
        <f>Таблица1[[#This Row],[Ежемесячный платеж]]/Таблица1[[#This Row],[Ежем доход]]</f>
        <v>6.0498932464321829E-2</v>
      </c>
      <c r="Y1747" s="3"/>
      <c r="Z1747" s="3"/>
      <c r="AA1747" s="3"/>
      <c r="AB1747" s="3"/>
    </row>
    <row r="1748" spans="1:28" x14ac:dyDescent="0.2">
      <c r="A1748">
        <v>607</v>
      </c>
      <c r="B1748" t="s">
        <v>648</v>
      </c>
      <c r="C1748" t="s">
        <v>35</v>
      </c>
      <c r="D1748" t="s">
        <v>19</v>
      </c>
      <c r="E1748" t="s">
        <v>41</v>
      </c>
      <c r="F1748" t="s">
        <v>33</v>
      </c>
      <c r="G1748" t="s">
        <v>25</v>
      </c>
      <c r="H1748" s="1">
        <v>134992</v>
      </c>
      <c r="I1748" s="3">
        <v>728</v>
      </c>
      <c r="J1748" s="3">
        <v>437209</v>
      </c>
      <c r="K1748" s="3">
        <v>9691.33</v>
      </c>
      <c r="L1748" s="2">
        <v>7.7</v>
      </c>
      <c r="M1748" s="11">
        <v>35.265240640000002</v>
      </c>
      <c r="N1748" s="3">
        <v>5</v>
      </c>
      <c r="O1748" s="3">
        <v>102315</v>
      </c>
      <c r="P1748" s="3">
        <v>180048</v>
      </c>
      <c r="Q1748" s="10">
        <v>0</v>
      </c>
      <c r="R1748" s="3">
        <f>(Таблица1[Размер кредита]-$AA$2)/$AA$3</f>
        <v>-0.99406121789181923</v>
      </c>
      <c r="S1748" s="3">
        <f>(Таблица1[Кредитный рейтинг]-$AA$7)/($AA$8-$AA$7)</f>
        <v>0.96937416777629826</v>
      </c>
      <c r="T1748" s="3">
        <f>(Таблица1[Срок с последнего нарушения кредитного договора (мес,)]-$AA$12)/($AA$13-$AA$12)</f>
        <v>0.40074137090909095</v>
      </c>
      <c r="U1748" s="3">
        <f>(Таблица1[Количество кредитных карт]-$AA$18)/($AA$19-$AA$18)</f>
        <v>9.5238095238095233E-2</v>
      </c>
      <c r="V1748" s="3">
        <f>(Таблица1[Число нарушений кредитных договоров]-$AA$23)/($AA$24-$AA$23)</f>
        <v>0</v>
      </c>
      <c r="W1748" s="3">
        <f>Таблица1[[#This Row],[Годовой доход]]/12</f>
        <v>36434.083333333336</v>
      </c>
      <c r="X1748" s="3">
        <f>Таблица1[[#This Row],[Ежемесячный платеж]]/Таблица1[[#This Row],[Ежем доход]]</f>
        <v>0.26599626265699011</v>
      </c>
      <c r="Y1748" s="3"/>
      <c r="Z1748" s="3"/>
      <c r="AA1748" s="3"/>
      <c r="AB1748" s="3"/>
    </row>
    <row r="1749" spans="1:28" x14ac:dyDescent="0.2">
      <c r="A1749">
        <v>1583</v>
      </c>
      <c r="B1749" t="s">
        <v>1622</v>
      </c>
      <c r="C1749" t="s">
        <v>18</v>
      </c>
      <c r="D1749" t="s">
        <v>19</v>
      </c>
      <c r="E1749" t="s">
        <v>37</v>
      </c>
      <c r="F1749" t="s">
        <v>33</v>
      </c>
      <c r="G1749" t="s">
        <v>67</v>
      </c>
      <c r="H1749" s="1">
        <v>44924</v>
      </c>
      <c r="I1749" s="3">
        <v>647</v>
      </c>
      <c r="J1749" s="3">
        <v>582027</v>
      </c>
      <c r="K1749" s="3">
        <v>1668.39</v>
      </c>
      <c r="L1749" s="2">
        <v>6.4</v>
      </c>
      <c r="M1749" s="11">
        <v>35.265240640000002</v>
      </c>
      <c r="N1749" s="3">
        <v>5</v>
      </c>
      <c r="O1749" s="3">
        <v>52839</v>
      </c>
      <c r="P1749" s="3">
        <v>179982</v>
      </c>
      <c r="Q1749" s="10">
        <v>0</v>
      </c>
      <c r="R1749" s="3">
        <f>(Таблица1[Размер кредита]-$AA$2)/$AA$3</f>
        <v>-1.5068436422557934</v>
      </c>
      <c r="S1749" s="3">
        <f>(Таблица1[Кредитный рейтинг]-$AA$7)/($AA$8-$AA$7)</f>
        <v>0.86151797603195734</v>
      </c>
      <c r="T1749" s="3">
        <f>(Таблица1[Срок с последнего нарушения кредитного договора (мес,)]-$AA$12)/($AA$13-$AA$12)</f>
        <v>0.40074137090909095</v>
      </c>
      <c r="U1749" s="3">
        <f>(Таблица1[Количество кредитных карт]-$AA$18)/($AA$19-$AA$18)</f>
        <v>9.5238095238095233E-2</v>
      </c>
      <c r="V1749" s="3">
        <f>(Таблица1[Число нарушений кредитных договоров]-$AA$23)/($AA$24-$AA$23)</f>
        <v>0</v>
      </c>
      <c r="W1749" s="3">
        <f>Таблица1[[#This Row],[Годовой доход]]/12</f>
        <v>48502.25</v>
      </c>
      <c r="X1749" s="3">
        <f>Таблица1[[#This Row],[Ежемесячный платеж]]/Таблица1[[#This Row],[Ежем доход]]</f>
        <v>3.4398198021741259E-2</v>
      </c>
      <c r="Y1749" s="3"/>
      <c r="Z1749" s="3"/>
      <c r="AA1749" s="3"/>
      <c r="AB1749" s="3"/>
    </row>
    <row r="1750" spans="1:28" x14ac:dyDescent="0.2">
      <c r="A1750">
        <v>1876</v>
      </c>
      <c r="B1750" t="s">
        <v>1912</v>
      </c>
      <c r="C1750" t="s">
        <v>18</v>
      </c>
      <c r="D1750" t="s">
        <v>19</v>
      </c>
      <c r="E1750" t="s">
        <v>24</v>
      </c>
      <c r="F1750" t="s">
        <v>33</v>
      </c>
      <c r="G1750" t="s">
        <v>25</v>
      </c>
      <c r="H1750" s="1">
        <v>94358</v>
      </c>
      <c r="I1750" s="3">
        <v>681</v>
      </c>
      <c r="J1750" s="3">
        <v>379050</v>
      </c>
      <c r="K1750" s="3">
        <v>2577.54</v>
      </c>
      <c r="L1750" s="2">
        <v>7</v>
      </c>
      <c r="M1750" s="11">
        <v>51</v>
      </c>
      <c r="N1750" s="3">
        <v>7</v>
      </c>
      <c r="O1750" s="3">
        <v>47861</v>
      </c>
      <c r="P1750" s="3">
        <v>179916</v>
      </c>
      <c r="Q1750" s="10">
        <v>0</v>
      </c>
      <c r="R1750" s="3">
        <f>(Таблица1[Размер кредита]-$AA$2)/$AA$3</f>
        <v>-1.2254019941009693</v>
      </c>
      <c r="S1750" s="3">
        <f>(Таблица1[Кредитный рейтинг]-$AA$7)/($AA$8-$AA$7)</f>
        <v>0.90679094540612515</v>
      </c>
      <c r="T1750" s="3">
        <f>(Таблица1[Срок с последнего нарушения кредитного договора (мес,)]-$AA$12)/($AA$13-$AA$12)</f>
        <v>0.57954545454545459</v>
      </c>
      <c r="U1750" s="3">
        <f>(Таблица1[Количество кредитных карт]-$AA$18)/($AA$19-$AA$18)</f>
        <v>0.14285714285714285</v>
      </c>
      <c r="V1750" s="3">
        <f>(Таблица1[Число нарушений кредитных договоров]-$AA$23)/($AA$24-$AA$23)</f>
        <v>0</v>
      </c>
      <c r="W1750" s="3">
        <f>Таблица1[[#This Row],[Годовой доход]]/12</f>
        <v>31587.5</v>
      </c>
      <c r="X1750" s="3">
        <f>Таблица1[[#This Row],[Ежемесячный платеж]]/Таблица1[[#This Row],[Ежем доход]]</f>
        <v>8.1599999999999992E-2</v>
      </c>
      <c r="Y1750" s="3"/>
      <c r="Z1750" s="3"/>
      <c r="AA1750" s="3"/>
      <c r="AB1750" s="3"/>
    </row>
    <row r="1751" spans="1:28" x14ac:dyDescent="0.2">
      <c r="A1751">
        <v>1083</v>
      </c>
      <c r="B1751" t="s">
        <v>1122</v>
      </c>
      <c r="C1751" t="s">
        <v>18</v>
      </c>
      <c r="D1751" t="s">
        <v>19</v>
      </c>
      <c r="E1751" t="s">
        <v>41</v>
      </c>
      <c r="F1751" t="s">
        <v>27</v>
      </c>
      <c r="G1751" t="s">
        <v>25</v>
      </c>
      <c r="H1751" s="1">
        <v>140910</v>
      </c>
      <c r="I1751" s="3">
        <v>0</v>
      </c>
      <c r="J1751" s="3">
        <v>1168044</v>
      </c>
      <c r="K1751" s="3">
        <v>6180.13</v>
      </c>
      <c r="L1751" s="2">
        <v>14.8</v>
      </c>
      <c r="M1751" s="11">
        <v>35.265240640000002</v>
      </c>
      <c r="N1751" s="3">
        <v>3</v>
      </c>
      <c r="O1751" s="3">
        <v>148067</v>
      </c>
      <c r="P1751" s="3">
        <v>179740</v>
      </c>
      <c r="Q1751" s="10">
        <v>0</v>
      </c>
      <c r="R1751" s="3">
        <f>(Таблица1[Размер кредита]-$AA$2)/$AA$3</f>
        <v>-0.96036838150835346</v>
      </c>
      <c r="S1751" s="3">
        <f>(Таблица1[Кредитный рейтинг]-$AA$7)/($AA$8-$AA$7)</f>
        <v>0</v>
      </c>
      <c r="T1751" s="3">
        <f>(Таблица1[Срок с последнего нарушения кредитного договора (мес,)]-$AA$12)/($AA$13-$AA$12)</f>
        <v>0.40074137090909095</v>
      </c>
      <c r="U1751" s="3">
        <f>(Таблица1[Количество кредитных карт]-$AA$18)/($AA$19-$AA$18)</f>
        <v>4.7619047619047616E-2</v>
      </c>
      <c r="V1751" s="3">
        <f>(Таблица1[Число нарушений кредитных договоров]-$AA$23)/($AA$24-$AA$23)</f>
        <v>0</v>
      </c>
      <c r="W1751" s="3">
        <f>Таблица1[[#This Row],[Годовой доход]]/12</f>
        <v>97337</v>
      </c>
      <c r="X1751" s="3">
        <f>Таблица1[[#This Row],[Ежемесячный платеж]]/Таблица1[[#This Row],[Ежем доход]]</f>
        <v>6.3492094475893032E-2</v>
      </c>
      <c r="Y1751" s="3"/>
      <c r="Z1751" s="3"/>
      <c r="AA1751" s="3"/>
      <c r="AB1751" s="3"/>
    </row>
    <row r="1752" spans="1:28" x14ac:dyDescent="0.2">
      <c r="A1752">
        <v>888</v>
      </c>
      <c r="B1752" t="s">
        <v>929</v>
      </c>
      <c r="C1752" t="s">
        <v>35</v>
      </c>
      <c r="D1752" t="s">
        <v>19</v>
      </c>
      <c r="E1752" t="s">
        <v>24</v>
      </c>
      <c r="F1752" t="s">
        <v>21</v>
      </c>
      <c r="G1752" t="s">
        <v>25</v>
      </c>
      <c r="H1752" s="1">
        <v>138160</v>
      </c>
      <c r="I1752" s="3">
        <v>728</v>
      </c>
      <c r="J1752" s="3">
        <v>691828</v>
      </c>
      <c r="K1752" s="3">
        <v>13548.14</v>
      </c>
      <c r="L1752" s="2">
        <v>20.6</v>
      </c>
      <c r="M1752" s="11">
        <v>68</v>
      </c>
      <c r="N1752" s="3">
        <v>8</v>
      </c>
      <c r="O1752" s="3">
        <v>72200</v>
      </c>
      <c r="P1752" s="3">
        <v>179014</v>
      </c>
      <c r="Q1752" s="10">
        <v>0</v>
      </c>
      <c r="R1752" s="3">
        <f>(Таблица1[Размер кредита]-$AA$2)/$AA$3</f>
        <v>-0.97602490399137654</v>
      </c>
      <c r="S1752" s="3">
        <f>(Таблица1[Кредитный рейтинг]-$AA$7)/($AA$8-$AA$7)</f>
        <v>0.96937416777629826</v>
      </c>
      <c r="T1752" s="3">
        <f>(Таблица1[Срок с последнего нарушения кредитного договора (мес,)]-$AA$12)/($AA$13-$AA$12)</f>
        <v>0.77272727272727271</v>
      </c>
      <c r="U1752" s="3">
        <f>(Таблица1[Количество кредитных карт]-$AA$18)/($AA$19-$AA$18)</f>
        <v>0.16666666666666666</v>
      </c>
      <c r="V1752" s="3">
        <f>(Таблица1[Число нарушений кредитных договоров]-$AA$23)/($AA$24-$AA$23)</f>
        <v>0</v>
      </c>
      <c r="W1752" s="3">
        <f>Таблица1[[#This Row],[Годовой доход]]/12</f>
        <v>57652.333333333336</v>
      </c>
      <c r="X1752" s="3">
        <f>Таблица1[[#This Row],[Ежемесячный платеж]]/Таблица1[[#This Row],[Ежем доход]]</f>
        <v>0.23499725365264196</v>
      </c>
      <c r="Y1752" s="3"/>
      <c r="Z1752" s="3"/>
      <c r="AA1752" s="3"/>
      <c r="AB1752" s="3"/>
    </row>
    <row r="1753" spans="1:28" x14ac:dyDescent="0.2">
      <c r="A1753">
        <v>1165</v>
      </c>
      <c r="B1753" t="s">
        <v>1204</v>
      </c>
      <c r="C1753" t="s">
        <v>35</v>
      </c>
      <c r="D1753" t="s">
        <v>19</v>
      </c>
      <c r="E1753" t="s">
        <v>69</v>
      </c>
      <c r="F1753" t="s">
        <v>33</v>
      </c>
      <c r="G1753" t="s">
        <v>67</v>
      </c>
      <c r="H1753" s="1">
        <v>110396</v>
      </c>
      <c r="I1753" s="3">
        <v>0</v>
      </c>
      <c r="J1753" s="3">
        <v>1168044</v>
      </c>
      <c r="K1753" s="3">
        <v>19505.02</v>
      </c>
      <c r="L1753" s="2">
        <v>17.8</v>
      </c>
      <c r="M1753" s="11">
        <v>26</v>
      </c>
      <c r="N1753" s="3">
        <v>15</v>
      </c>
      <c r="O1753" s="3">
        <v>30305</v>
      </c>
      <c r="P1753" s="3">
        <v>178970</v>
      </c>
      <c r="Q1753" s="10">
        <v>0</v>
      </c>
      <c r="R1753" s="3">
        <f>(Таблица1[Размер кредита]-$AA$2)/$AA$3</f>
        <v>-1.1340931549799782</v>
      </c>
      <c r="S1753" s="3">
        <f>(Таблица1[Кредитный рейтинг]-$AA$7)/($AA$8-$AA$7)</f>
        <v>0</v>
      </c>
      <c r="T1753" s="3">
        <f>(Таблица1[Срок с последнего нарушения кредитного договора (мес,)]-$AA$12)/($AA$13-$AA$12)</f>
        <v>0.29545454545454547</v>
      </c>
      <c r="U1753" s="3">
        <f>(Таблица1[Количество кредитных карт]-$AA$18)/($AA$19-$AA$18)</f>
        <v>0.33333333333333331</v>
      </c>
      <c r="V1753" s="3">
        <f>(Таблица1[Число нарушений кредитных договоров]-$AA$23)/($AA$24-$AA$23)</f>
        <v>0</v>
      </c>
      <c r="W1753" s="3">
        <f>Таблица1[[#This Row],[Годовой доход]]/12</f>
        <v>97337</v>
      </c>
      <c r="X1753" s="3">
        <f>Таблица1[[#This Row],[Ежемесячный платеж]]/Таблица1[[#This Row],[Ежем доход]]</f>
        <v>0.20038649228967403</v>
      </c>
      <c r="Y1753" s="3"/>
      <c r="Z1753" s="3"/>
      <c r="AA1753" s="3"/>
      <c r="AB1753" s="3"/>
    </row>
    <row r="1754" spans="1:28" x14ac:dyDescent="0.2">
      <c r="A1754">
        <v>370</v>
      </c>
      <c r="B1754" t="s">
        <v>412</v>
      </c>
      <c r="C1754" t="s">
        <v>18</v>
      </c>
      <c r="D1754" t="s">
        <v>19</v>
      </c>
      <c r="E1754" t="s">
        <v>24</v>
      </c>
      <c r="F1754" t="s">
        <v>33</v>
      </c>
      <c r="G1754" t="s">
        <v>102</v>
      </c>
      <c r="H1754" s="1">
        <v>33154</v>
      </c>
      <c r="I1754" s="3">
        <v>713</v>
      </c>
      <c r="J1754" s="3">
        <v>572793</v>
      </c>
      <c r="K1754" s="3">
        <v>13412.86</v>
      </c>
      <c r="L1754" s="2">
        <v>11.8</v>
      </c>
      <c r="M1754" s="11">
        <v>35.265240640000002</v>
      </c>
      <c r="N1754" s="3">
        <v>10</v>
      </c>
      <c r="O1754" s="3">
        <v>49153</v>
      </c>
      <c r="P1754" s="3">
        <v>178948</v>
      </c>
      <c r="Q1754" s="10">
        <v>2</v>
      </c>
      <c r="R1754" s="3">
        <f>(Таблица1[Размер кредита]-$AA$2)/$AA$3</f>
        <v>-1.5738535584831324</v>
      </c>
      <c r="S1754" s="3">
        <f>(Таблица1[Кредитный рейтинг]-$AA$7)/($AA$8-$AA$7)</f>
        <v>0.94940079893475371</v>
      </c>
      <c r="T1754" s="3">
        <f>(Таблица1[Срок с последнего нарушения кредитного договора (мес,)]-$AA$12)/($AA$13-$AA$12)</f>
        <v>0.40074137090909095</v>
      </c>
      <c r="U1754" s="3">
        <f>(Таблица1[Количество кредитных карт]-$AA$18)/($AA$19-$AA$18)</f>
        <v>0.21428571428571427</v>
      </c>
      <c r="V1754" s="3">
        <f>(Таблица1[Число нарушений кредитных договоров]-$AA$23)/($AA$24-$AA$23)</f>
        <v>0.2857142857142857</v>
      </c>
      <c r="W1754" s="3">
        <f>Таблица1[[#This Row],[Годовой доход]]/12</f>
        <v>47732.75</v>
      </c>
      <c r="X1754" s="3">
        <f>Таблица1[[#This Row],[Ежемесячный платеж]]/Таблица1[[#This Row],[Ежем доход]]</f>
        <v>0.2809991043884964</v>
      </c>
      <c r="Y1754" s="3"/>
      <c r="Z1754" s="3"/>
      <c r="AA1754" s="3"/>
      <c r="AB1754" s="3"/>
    </row>
    <row r="1755" spans="1:28" x14ac:dyDescent="0.2">
      <c r="A1755">
        <v>1000</v>
      </c>
      <c r="B1755" t="s">
        <v>1040</v>
      </c>
      <c r="C1755" t="s">
        <v>18</v>
      </c>
      <c r="D1755" t="s">
        <v>19</v>
      </c>
      <c r="E1755" t="s">
        <v>24</v>
      </c>
      <c r="F1755" t="s">
        <v>21</v>
      </c>
      <c r="G1755" t="s">
        <v>22</v>
      </c>
      <c r="H1755" s="1">
        <v>334092</v>
      </c>
      <c r="I1755" s="3">
        <v>737</v>
      </c>
      <c r="J1755" s="3">
        <v>1442670</v>
      </c>
      <c r="K1755" s="3">
        <v>16350.26</v>
      </c>
      <c r="L1755" s="2">
        <v>26.5</v>
      </c>
      <c r="M1755" s="11">
        <v>21</v>
      </c>
      <c r="N1755" s="3">
        <v>10</v>
      </c>
      <c r="O1755" s="3">
        <v>95950</v>
      </c>
      <c r="P1755" s="3">
        <v>178310</v>
      </c>
      <c r="Q1755" s="10">
        <v>0</v>
      </c>
      <c r="R1755" s="3">
        <f>(Таблица1[Размер кредита]-$AA$2)/$AA$3</f>
        <v>0.13947100987905647</v>
      </c>
      <c r="S1755" s="3">
        <f>(Таблица1[Кредитный рейтинг]-$AA$7)/($AA$8-$AA$7)</f>
        <v>0.98135818908122507</v>
      </c>
      <c r="T1755" s="3">
        <f>(Таблица1[Срок с последнего нарушения кредитного договора (мес,)]-$AA$12)/($AA$13-$AA$12)</f>
        <v>0.23863636363636365</v>
      </c>
      <c r="U1755" s="3">
        <f>(Таблица1[Количество кредитных карт]-$AA$18)/($AA$19-$AA$18)</f>
        <v>0.21428571428571427</v>
      </c>
      <c r="V1755" s="3">
        <f>(Таблица1[Число нарушений кредитных договоров]-$AA$23)/($AA$24-$AA$23)</f>
        <v>0</v>
      </c>
      <c r="W1755" s="3">
        <f>Таблица1[[#This Row],[Годовой доход]]/12</f>
        <v>120222.5</v>
      </c>
      <c r="X1755" s="3">
        <f>Таблица1[[#This Row],[Ежемесячный платеж]]/Таблица1[[#This Row],[Ежем доход]]</f>
        <v>0.13600000000000001</v>
      </c>
      <c r="Y1755" s="3"/>
      <c r="Z1755" s="3"/>
      <c r="AA1755" s="3"/>
      <c r="AB1755" s="3"/>
    </row>
    <row r="1756" spans="1:28" x14ac:dyDescent="0.2">
      <c r="A1756">
        <v>1464</v>
      </c>
      <c r="B1756" t="s">
        <v>1503</v>
      </c>
      <c r="C1756" t="s">
        <v>18</v>
      </c>
      <c r="D1756" t="s">
        <v>19</v>
      </c>
      <c r="E1756" t="s">
        <v>24</v>
      </c>
      <c r="F1756" t="s">
        <v>21</v>
      </c>
      <c r="G1756" t="s">
        <v>25</v>
      </c>
      <c r="H1756" s="1">
        <v>167002</v>
      </c>
      <c r="I1756" s="3">
        <v>0</v>
      </c>
      <c r="J1756" s="3">
        <v>1168044</v>
      </c>
      <c r="K1756" s="3">
        <v>18040.5</v>
      </c>
      <c r="L1756" s="2">
        <v>13.2</v>
      </c>
      <c r="M1756" s="11">
        <v>11</v>
      </c>
      <c r="N1756" s="3">
        <v>6</v>
      </c>
      <c r="O1756" s="3">
        <v>79097</v>
      </c>
      <c r="P1756" s="3">
        <v>178178</v>
      </c>
      <c r="Q1756" s="10">
        <v>0</v>
      </c>
      <c r="R1756" s="3">
        <f>(Таблица1[Размер кредита]-$AA$2)/$AA$3</f>
        <v>-0.81181929618942983</v>
      </c>
      <c r="S1756" s="3">
        <f>(Таблица1[Кредитный рейтинг]-$AA$7)/($AA$8-$AA$7)</f>
        <v>0</v>
      </c>
      <c r="T1756" s="3">
        <f>(Таблица1[Срок с последнего нарушения кредитного договора (мес,)]-$AA$12)/($AA$13-$AA$12)</f>
        <v>0.125</v>
      </c>
      <c r="U1756" s="3">
        <f>(Таблица1[Количество кредитных карт]-$AA$18)/($AA$19-$AA$18)</f>
        <v>0.11904761904761904</v>
      </c>
      <c r="V1756" s="3">
        <f>(Таблица1[Число нарушений кредитных договоров]-$AA$23)/($AA$24-$AA$23)</f>
        <v>0</v>
      </c>
      <c r="W1756" s="3">
        <f>Таблица1[[#This Row],[Годовой доход]]/12</f>
        <v>97337</v>
      </c>
      <c r="X1756" s="3">
        <f>Таблица1[[#This Row],[Ежемесячный платеж]]/Таблица1[[#This Row],[Ежем доход]]</f>
        <v>0.18534062073004098</v>
      </c>
      <c r="Y1756" s="3"/>
      <c r="Z1756" s="3"/>
      <c r="AA1756" s="3"/>
      <c r="AB1756" s="3"/>
    </row>
    <row r="1757" spans="1:28" x14ac:dyDescent="0.2">
      <c r="A1757">
        <v>1016</v>
      </c>
      <c r="B1757" t="s">
        <v>1055</v>
      </c>
      <c r="C1757" t="s">
        <v>18</v>
      </c>
      <c r="D1757" t="s">
        <v>19</v>
      </c>
      <c r="E1757" t="s">
        <v>24</v>
      </c>
      <c r="F1757" t="s">
        <v>33</v>
      </c>
      <c r="G1757" t="s">
        <v>25</v>
      </c>
      <c r="H1757" s="1">
        <v>132968</v>
      </c>
      <c r="I1757" s="3">
        <v>728</v>
      </c>
      <c r="J1757" s="3">
        <v>880460</v>
      </c>
      <c r="K1757" s="3">
        <v>9465.0400000000009</v>
      </c>
      <c r="L1757" s="2">
        <v>21.9</v>
      </c>
      <c r="M1757" s="11">
        <v>35.265240640000002</v>
      </c>
      <c r="N1757" s="3">
        <v>9</v>
      </c>
      <c r="O1757" s="3">
        <v>107578</v>
      </c>
      <c r="P1757" s="3">
        <v>177936</v>
      </c>
      <c r="Q1757" s="10">
        <v>1</v>
      </c>
      <c r="R1757" s="3">
        <f>(Таблица1[Размер кредита]-$AA$2)/$AA$3</f>
        <v>-1.0055844184393243</v>
      </c>
      <c r="S1757" s="3">
        <f>(Таблица1[Кредитный рейтинг]-$AA$7)/($AA$8-$AA$7)</f>
        <v>0.96937416777629826</v>
      </c>
      <c r="T1757" s="3">
        <f>(Таблица1[Срок с последнего нарушения кредитного договора (мес,)]-$AA$12)/($AA$13-$AA$12)</f>
        <v>0.40074137090909095</v>
      </c>
      <c r="U1757" s="3">
        <f>(Таблица1[Количество кредитных карт]-$AA$18)/($AA$19-$AA$18)</f>
        <v>0.19047619047619047</v>
      </c>
      <c r="V1757" s="3">
        <f>(Таблица1[Число нарушений кредитных договоров]-$AA$23)/($AA$24-$AA$23)</f>
        <v>0.14285714285714285</v>
      </c>
      <c r="W1757" s="3">
        <f>Таблица1[[#This Row],[Годовой доход]]/12</f>
        <v>73371.666666666672</v>
      </c>
      <c r="X1757" s="3">
        <f>Таблица1[[#This Row],[Ежемесячный платеж]]/Таблица1[[#This Row],[Ежем доход]]</f>
        <v>0.12900129477772981</v>
      </c>
      <c r="Y1757" s="3"/>
      <c r="Z1757" s="3"/>
      <c r="AA1757" s="3"/>
      <c r="AB1757" s="3"/>
    </row>
    <row r="1758" spans="1:28" x14ac:dyDescent="0.2">
      <c r="A1758">
        <v>1862</v>
      </c>
      <c r="B1758" t="s">
        <v>1899</v>
      </c>
      <c r="C1758" t="s">
        <v>18</v>
      </c>
      <c r="D1758" t="s">
        <v>19</v>
      </c>
      <c r="E1758" t="s">
        <v>24</v>
      </c>
      <c r="F1758" t="s">
        <v>21</v>
      </c>
      <c r="G1758" t="s">
        <v>25</v>
      </c>
      <c r="H1758" s="1">
        <v>181192</v>
      </c>
      <c r="I1758" s="3">
        <v>0</v>
      </c>
      <c r="J1758" s="3">
        <v>1168044</v>
      </c>
      <c r="K1758" s="3">
        <v>14566.73</v>
      </c>
      <c r="L1758" s="2">
        <v>20.2</v>
      </c>
      <c r="M1758" s="11">
        <v>38</v>
      </c>
      <c r="N1758" s="3">
        <v>8</v>
      </c>
      <c r="O1758" s="3">
        <v>138700</v>
      </c>
      <c r="P1758" s="3">
        <v>176682</v>
      </c>
      <c r="Q1758" s="10">
        <v>0</v>
      </c>
      <c r="R1758" s="3">
        <f>(Таблица1[Размер кредита]-$AA$2)/$AA$3</f>
        <v>-0.73103164017703037</v>
      </c>
      <c r="S1758" s="3">
        <f>(Таблица1[Кредитный рейтинг]-$AA$7)/($AA$8-$AA$7)</f>
        <v>0</v>
      </c>
      <c r="T1758" s="3">
        <f>(Таблица1[Срок с последнего нарушения кредитного договора (мес,)]-$AA$12)/($AA$13-$AA$12)</f>
        <v>0.43181818181818182</v>
      </c>
      <c r="U1758" s="3">
        <f>(Таблица1[Количество кредитных карт]-$AA$18)/($AA$19-$AA$18)</f>
        <v>0.16666666666666666</v>
      </c>
      <c r="V1758" s="3">
        <f>(Таблица1[Число нарушений кредитных договоров]-$AA$23)/($AA$24-$AA$23)</f>
        <v>0</v>
      </c>
      <c r="W1758" s="3">
        <f>Таблица1[[#This Row],[Годовой доход]]/12</f>
        <v>97337</v>
      </c>
      <c r="X1758" s="3">
        <f>Таблица1[[#This Row],[Ежемесячный платеж]]/Таблица1[[#This Row],[Ежем доход]]</f>
        <v>0.14965254733554556</v>
      </c>
      <c r="Y1758" s="3"/>
      <c r="Z1758" s="3"/>
      <c r="AA1758" s="3"/>
      <c r="AB1758" s="3"/>
    </row>
    <row r="1759" spans="1:28" x14ac:dyDescent="0.2">
      <c r="A1759">
        <v>716</v>
      </c>
      <c r="B1759" t="s">
        <v>757</v>
      </c>
      <c r="C1759" t="s">
        <v>18</v>
      </c>
      <c r="D1759" t="s">
        <v>19</v>
      </c>
      <c r="E1759" t="s">
        <v>41</v>
      </c>
      <c r="F1759" t="s">
        <v>33</v>
      </c>
      <c r="G1759" t="s">
        <v>25</v>
      </c>
      <c r="H1759" s="1">
        <v>223168</v>
      </c>
      <c r="I1759" s="3">
        <v>707</v>
      </c>
      <c r="J1759" s="3">
        <v>819128</v>
      </c>
      <c r="K1759" s="3">
        <v>17338.07</v>
      </c>
      <c r="L1759" s="2">
        <v>20.5</v>
      </c>
      <c r="M1759" s="11">
        <v>35.265240640000002</v>
      </c>
      <c r="N1759" s="3">
        <v>21</v>
      </c>
      <c r="O1759" s="3">
        <v>147972</v>
      </c>
      <c r="P1759" s="3">
        <v>176264</v>
      </c>
      <c r="Q1759" s="10">
        <v>0</v>
      </c>
      <c r="R1759" s="3">
        <f>(Таблица1[Размер кредита]-$AA$2)/$AA$3</f>
        <v>-0.49205048099616511</v>
      </c>
      <c r="S1759" s="3">
        <f>(Таблица1[Кредитный рейтинг]-$AA$7)/($AA$8-$AA$7)</f>
        <v>0.94141145139813587</v>
      </c>
      <c r="T1759" s="3">
        <f>(Таблица1[Срок с последнего нарушения кредитного договора (мес,)]-$AA$12)/($AA$13-$AA$12)</f>
        <v>0.40074137090909095</v>
      </c>
      <c r="U1759" s="3">
        <f>(Таблица1[Количество кредитных карт]-$AA$18)/($AA$19-$AA$18)</f>
        <v>0.47619047619047616</v>
      </c>
      <c r="V1759" s="3">
        <f>(Таблица1[Число нарушений кредитных договоров]-$AA$23)/($AA$24-$AA$23)</f>
        <v>0</v>
      </c>
      <c r="W1759" s="3">
        <f>Таблица1[[#This Row],[Годовой доход]]/12</f>
        <v>68260.666666666672</v>
      </c>
      <c r="X1759" s="3">
        <f>Таблица1[[#This Row],[Ежемесячный платеж]]/Таблица1[[#This Row],[Ежем доход]]</f>
        <v>0.25399795880497306</v>
      </c>
      <c r="Y1759" s="3"/>
      <c r="Z1759" s="3"/>
      <c r="AA1759" s="3"/>
      <c r="AB1759" s="3"/>
    </row>
    <row r="1760" spans="1:28" x14ac:dyDescent="0.2">
      <c r="A1760">
        <v>1186</v>
      </c>
      <c r="B1760" t="s">
        <v>1225</v>
      </c>
      <c r="C1760" t="s">
        <v>18</v>
      </c>
      <c r="D1760" t="s">
        <v>19</v>
      </c>
      <c r="E1760" t="s">
        <v>30</v>
      </c>
      <c r="F1760" t="s">
        <v>33</v>
      </c>
      <c r="G1760" t="s">
        <v>67</v>
      </c>
      <c r="H1760" s="1">
        <v>257400</v>
      </c>
      <c r="I1760" s="3">
        <v>720</v>
      </c>
      <c r="J1760" s="3">
        <v>703950</v>
      </c>
      <c r="K1760" s="3">
        <v>3132.53</v>
      </c>
      <c r="L1760" s="2">
        <v>11.4</v>
      </c>
      <c r="M1760" s="11">
        <v>35.265240640000002</v>
      </c>
      <c r="N1760" s="3">
        <v>5</v>
      </c>
      <c r="O1760" s="3">
        <v>93233</v>
      </c>
      <c r="P1760" s="3">
        <v>175824</v>
      </c>
      <c r="Q1760" s="10">
        <v>0</v>
      </c>
      <c r="R1760" s="3">
        <f>(Таблица1[Размер кредита]-$AA$2)/$AA$3</f>
        <v>-0.29715808912749297</v>
      </c>
      <c r="S1760" s="3">
        <f>(Таблица1[Кредитный рейтинг]-$AA$7)/($AA$8-$AA$7)</f>
        <v>0.95872170439414117</v>
      </c>
      <c r="T1760" s="3">
        <f>(Таблица1[Срок с последнего нарушения кредитного договора (мес,)]-$AA$12)/($AA$13-$AA$12)</f>
        <v>0.40074137090909095</v>
      </c>
      <c r="U1760" s="3">
        <f>(Таблица1[Количество кредитных карт]-$AA$18)/($AA$19-$AA$18)</f>
        <v>9.5238095238095233E-2</v>
      </c>
      <c r="V1760" s="3">
        <f>(Таблица1[Число нарушений кредитных договоров]-$AA$23)/($AA$24-$AA$23)</f>
        <v>0</v>
      </c>
      <c r="W1760" s="3">
        <f>Таблица1[[#This Row],[Годовой доход]]/12</f>
        <v>58662.5</v>
      </c>
      <c r="X1760" s="3">
        <f>Таблица1[[#This Row],[Ежемесячный платеж]]/Таблица1[[#This Row],[Ежем доход]]</f>
        <v>5.3399190283400816E-2</v>
      </c>
      <c r="Y1760" s="3"/>
      <c r="Z1760" s="3"/>
      <c r="AA1760" s="3"/>
      <c r="AB1760" s="3"/>
    </row>
    <row r="1761" spans="1:28" x14ac:dyDescent="0.2">
      <c r="A1761">
        <v>1819</v>
      </c>
      <c r="B1761" t="s">
        <v>1857</v>
      </c>
      <c r="C1761" t="s">
        <v>18</v>
      </c>
      <c r="D1761" t="s">
        <v>19</v>
      </c>
      <c r="E1761" t="s">
        <v>41</v>
      </c>
      <c r="F1761" t="s">
        <v>21</v>
      </c>
      <c r="G1761" t="s">
        <v>22</v>
      </c>
      <c r="H1761" s="1">
        <v>111826</v>
      </c>
      <c r="I1761" s="3">
        <v>744</v>
      </c>
      <c r="J1761" s="3">
        <v>521512</v>
      </c>
      <c r="K1761" s="3">
        <v>12472.93</v>
      </c>
      <c r="L1761" s="2">
        <v>4.5</v>
      </c>
      <c r="M1761" s="11">
        <v>35.265240640000002</v>
      </c>
      <c r="N1761" s="3">
        <v>7</v>
      </c>
      <c r="O1761" s="3">
        <v>78394</v>
      </c>
      <c r="P1761" s="3">
        <v>174592</v>
      </c>
      <c r="Q1761" s="10">
        <v>0</v>
      </c>
      <c r="R1761" s="3">
        <f>(Таблица1[Размер кредита]-$AA$2)/$AA$3</f>
        <v>-1.1259517632888063</v>
      </c>
      <c r="S1761" s="3">
        <f>(Таблица1[Кредитный рейтинг]-$AA$7)/($AA$8-$AA$7)</f>
        <v>0.99067909454061254</v>
      </c>
      <c r="T1761" s="3">
        <f>(Таблица1[Срок с последнего нарушения кредитного договора (мес,)]-$AA$12)/($AA$13-$AA$12)</f>
        <v>0.40074137090909095</v>
      </c>
      <c r="U1761" s="3">
        <f>(Таблица1[Количество кредитных карт]-$AA$18)/($AA$19-$AA$18)</f>
        <v>0.14285714285714285</v>
      </c>
      <c r="V1761" s="3">
        <f>(Таблица1[Число нарушений кредитных договоров]-$AA$23)/($AA$24-$AA$23)</f>
        <v>0</v>
      </c>
      <c r="W1761" s="3">
        <f>Таблица1[[#This Row],[Годовой доход]]/12</f>
        <v>43459.333333333336</v>
      </c>
      <c r="X1761" s="3">
        <f>Таблица1[[#This Row],[Ежемесячный платеж]]/Таблица1[[#This Row],[Ежем доход]]</f>
        <v>0.28700233168172545</v>
      </c>
      <c r="Y1761" s="3"/>
      <c r="Z1761" s="3"/>
      <c r="AA1761" s="3"/>
      <c r="AB1761" s="3"/>
    </row>
    <row r="1762" spans="1:28" x14ac:dyDescent="0.2">
      <c r="A1762">
        <v>1592</v>
      </c>
      <c r="B1762" t="s">
        <v>1631</v>
      </c>
      <c r="C1762" t="s">
        <v>18</v>
      </c>
      <c r="D1762" t="s">
        <v>29</v>
      </c>
      <c r="E1762" t="s">
        <v>52</v>
      </c>
      <c r="F1762" t="s">
        <v>21</v>
      </c>
      <c r="G1762" t="s">
        <v>25</v>
      </c>
      <c r="H1762" s="1">
        <v>529496</v>
      </c>
      <c r="I1762" s="3">
        <v>721</v>
      </c>
      <c r="J1762" s="3">
        <v>1043024</v>
      </c>
      <c r="K1762" s="3">
        <v>13646.37</v>
      </c>
      <c r="L1762" s="2">
        <v>17.899999999999999</v>
      </c>
      <c r="M1762" s="11">
        <v>66</v>
      </c>
      <c r="N1762" s="3">
        <v>7</v>
      </c>
      <c r="O1762" s="3">
        <v>141037</v>
      </c>
      <c r="P1762" s="3">
        <v>174460</v>
      </c>
      <c r="Q1762" s="10">
        <v>1</v>
      </c>
      <c r="R1762" s="3">
        <f>(Таблица1[Размер кредита]-$AA$2)/$AA$3</f>
        <v>1.251960871432749</v>
      </c>
      <c r="S1762" s="3">
        <f>(Таблица1[Кредитный рейтинг]-$AA$7)/($AA$8-$AA$7)</f>
        <v>0.96005326231691079</v>
      </c>
      <c r="T1762" s="3">
        <f>(Таблица1[Срок с последнего нарушения кредитного договора (мес,)]-$AA$12)/($AA$13-$AA$12)</f>
        <v>0.75</v>
      </c>
      <c r="U1762" s="3">
        <f>(Таблица1[Количество кредитных карт]-$AA$18)/($AA$19-$AA$18)</f>
        <v>0.14285714285714285</v>
      </c>
      <c r="V1762" s="3">
        <f>(Таблица1[Число нарушений кредитных договоров]-$AA$23)/($AA$24-$AA$23)</f>
        <v>0.14285714285714285</v>
      </c>
      <c r="W1762" s="3">
        <f>Таблица1[[#This Row],[Годовой доход]]/12</f>
        <v>86918.666666666672</v>
      </c>
      <c r="X1762" s="3">
        <f>Таблица1[[#This Row],[Ежемесячный платеж]]/Таблица1[[#This Row],[Ежем доход]]</f>
        <v>0.15700160303118624</v>
      </c>
      <c r="Y1762" s="3"/>
      <c r="Z1762" s="3"/>
      <c r="AA1762" s="3"/>
      <c r="AB1762" s="3"/>
    </row>
    <row r="1763" spans="1:28" x14ac:dyDescent="0.2">
      <c r="A1763">
        <v>271</v>
      </c>
      <c r="B1763" t="s">
        <v>313</v>
      </c>
      <c r="C1763" t="s">
        <v>18</v>
      </c>
      <c r="D1763" t="s">
        <v>19</v>
      </c>
      <c r="E1763" t="s">
        <v>24</v>
      </c>
      <c r="F1763" t="s">
        <v>21</v>
      </c>
      <c r="G1763" t="s">
        <v>25</v>
      </c>
      <c r="H1763" s="1">
        <v>216194</v>
      </c>
      <c r="I1763" s="3">
        <v>720</v>
      </c>
      <c r="J1763" s="3">
        <v>1077528</v>
      </c>
      <c r="K1763" s="3">
        <v>8081.46</v>
      </c>
      <c r="L1763" s="2">
        <v>13.7</v>
      </c>
      <c r="M1763" s="11">
        <v>14</v>
      </c>
      <c r="N1763" s="3">
        <v>5</v>
      </c>
      <c r="O1763" s="3">
        <v>96463</v>
      </c>
      <c r="P1763" s="3">
        <v>174240</v>
      </c>
      <c r="Q1763" s="10">
        <v>1</v>
      </c>
      <c r="R1763" s="3">
        <f>(Таблица1[Размер кредита]-$AA$2)/$AA$3</f>
        <v>-0.53175542201311177</v>
      </c>
      <c r="S1763" s="3">
        <f>(Таблица1[Кредитный рейтинг]-$AA$7)/($AA$8-$AA$7)</f>
        <v>0.95872170439414117</v>
      </c>
      <c r="T1763" s="3">
        <f>(Таблица1[Срок с последнего нарушения кредитного договора (мес,)]-$AA$12)/($AA$13-$AA$12)</f>
        <v>0.15909090909090909</v>
      </c>
      <c r="U1763" s="3">
        <f>(Таблица1[Количество кредитных карт]-$AA$18)/($AA$19-$AA$18)</f>
        <v>9.5238095238095233E-2</v>
      </c>
      <c r="V1763" s="3">
        <f>(Таблица1[Число нарушений кредитных договоров]-$AA$23)/($AA$24-$AA$23)</f>
        <v>0.14285714285714285</v>
      </c>
      <c r="W1763" s="3">
        <f>Таблица1[[#This Row],[Годовой доход]]/12</f>
        <v>89794</v>
      </c>
      <c r="X1763" s="3">
        <f>Таблица1[[#This Row],[Ежемесячный платеж]]/Таблица1[[#This Row],[Ежем доход]]</f>
        <v>0.09</v>
      </c>
      <c r="Y1763" s="3"/>
      <c r="Z1763" s="3"/>
      <c r="AA1763" s="3"/>
      <c r="AB1763" s="3"/>
    </row>
    <row r="1764" spans="1:28" x14ac:dyDescent="0.2">
      <c r="A1764">
        <v>843</v>
      </c>
      <c r="B1764" s="4" t="s">
        <v>884</v>
      </c>
      <c r="C1764" t="s">
        <v>35</v>
      </c>
      <c r="D1764" t="s">
        <v>19</v>
      </c>
      <c r="E1764" t="s">
        <v>63</v>
      </c>
      <c r="F1764" t="s">
        <v>33</v>
      </c>
      <c r="G1764" t="s">
        <v>25</v>
      </c>
      <c r="H1764" s="1">
        <v>177144</v>
      </c>
      <c r="I1764" s="3">
        <v>675</v>
      </c>
      <c r="J1764" s="3">
        <v>705394</v>
      </c>
      <c r="K1764" s="3">
        <v>19221.919999999998</v>
      </c>
      <c r="L1764" s="2">
        <v>6.4</v>
      </c>
      <c r="M1764" s="11">
        <v>17</v>
      </c>
      <c r="N1764" s="3">
        <v>8</v>
      </c>
      <c r="O1764" s="3">
        <v>72523</v>
      </c>
      <c r="P1764" s="3">
        <v>174218</v>
      </c>
      <c r="Q1764" s="10">
        <v>0</v>
      </c>
      <c r="R1764" s="3">
        <f>(Таблица1[Размер кредита]-$AA$2)/$AA$3</f>
        <v>-0.75407804127204048</v>
      </c>
      <c r="S1764" s="3">
        <f>(Таблица1[Кредитный рейтинг]-$AA$7)/($AA$8-$AA$7)</f>
        <v>0.89880159786950731</v>
      </c>
      <c r="T1764" s="3">
        <f>(Таблица1[Срок с последнего нарушения кредитного договора (мес,)]-$AA$12)/($AA$13-$AA$12)</f>
        <v>0.19318181818181818</v>
      </c>
      <c r="U1764" s="3">
        <f>(Таблица1[Количество кредитных карт]-$AA$18)/($AA$19-$AA$18)</f>
        <v>0.16666666666666666</v>
      </c>
      <c r="V1764" s="3">
        <f>(Таблица1[Число нарушений кредитных договоров]-$AA$23)/($AA$24-$AA$23)</f>
        <v>0</v>
      </c>
      <c r="W1764" s="3">
        <f>Таблица1[[#This Row],[Годовой доход]]/12</f>
        <v>58782.833333333336</v>
      </c>
      <c r="X1764" s="3">
        <f>Таблица1[[#This Row],[Ежемесячный платеж]]/Таблица1[[#This Row],[Ежем доход]]</f>
        <v>0.32699886871734091</v>
      </c>
      <c r="Y1764" s="3"/>
      <c r="Z1764" s="3"/>
      <c r="AA1764" s="3"/>
      <c r="AB1764" s="3"/>
    </row>
    <row r="1765" spans="1:28" x14ac:dyDescent="0.2">
      <c r="A1765">
        <v>455</v>
      </c>
      <c r="B1765" t="s">
        <v>496</v>
      </c>
      <c r="C1765" t="s">
        <v>18</v>
      </c>
      <c r="D1765" t="s">
        <v>29</v>
      </c>
      <c r="E1765" t="s">
        <v>37</v>
      </c>
      <c r="F1765" t="s">
        <v>33</v>
      </c>
      <c r="G1765" t="s">
        <v>67</v>
      </c>
      <c r="H1765" s="1">
        <v>309594.52439999999</v>
      </c>
      <c r="I1765" s="3">
        <v>700</v>
      </c>
      <c r="J1765" s="3">
        <v>410020</v>
      </c>
      <c r="K1765" s="3">
        <v>1144.56</v>
      </c>
      <c r="L1765" s="2">
        <v>13.9</v>
      </c>
      <c r="M1765" s="11">
        <v>35.265240640000002</v>
      </c>
      <c r="N1765" s="3">
        <v>1</v>
      </c>
      <c r="O1765" s="3">
        <v>94202</v>
      </c>
      <c r="P1765" s="3">
        <v>173976</v>
      </c>
      <c r="Q1765" s="10">
        <v>0</v>
      </c>
      <c r="R1765" s="3">
        <f>(Таблица1[Размер кредита]-$AA$2)/$AA$3</f>
        <v>-1.2411115481956205E-10</v>
      </c>
      <c r="S1765" s="3">
        <f>(Таблица1[Кредитный рейтинг]-$AA$7)/($AA$8-$AA$7)</f>
        <v>0.93209054593874829</v>
      </c>
      <c r="T1765" s="3">
        <f>(Таблица1[Срок с последнего нарушения кредитного договора (мес,)]-$AA$12)/($AA$13-$AA$12)</f>
        <v>0.40074137090909095</v>
      </c>
      <c r="U1765" s="3">
        <f>(Таблица1[Количество кредитных карт]-$AA$18)/($AA$19-$AA$18)</f>
        <v>0</v>
      </c>
      <c r="V1765" s="3">
        <f>(Таблица1[Число нарушений кредитных договоров]-$AA$23)/($AA$24-$AA$23)</f>
        <v>0</v>
      </c>
      <c r="W1765" s="3">
        <f>Таблица1[[#This Row],[Годовой доход]]/12</f>
        <v>34168.333333333336</v>
      </c>
      <c r="X1765" s="3">
        <f>Таблица1[[#This Row],[Ежемесячный платеж]]/Таблица1[[#This Row],[Ежем доход]]</f>
        <v>3.3497683039851713E-2</v>
      </c>
      <c r="Y1765" s="3"/>
      <c r="Z1765" s="3"/>
      <c r="AA1765" s="3"/>
      <c r="AB1765" s="3"/>
    </row>
    <row r="1766" spans="1:28" x14ac:dyDescent="0.2">
      <c r="A1766">
        <v>1997</v>
      </c>
      <c r="B1766" t="s">
        <v>2033</v>
      </c>
      <c r="C1766" t="s">
        <v>18</v>
      </c>
      <c r="D1766" t="s">
        <v>19</v>
      </c>
      <c r="E1766" t="s">
        <v>69</v>
      </c>
      <c r="F1766" t="s">
        <v>33</v>
      </c>
      <c r="G1766" t="s">
        <v>25</v>
      </c>
      <c r="H1766" s="1">
        <v>321750</v>
      </c>
      <c r="I1766" s="3">
        <v>0</v>
      </c>
      <c r="J1766" s="3">
        <v>1168044</v>
      </c>
      <c r="K1766" s="3">
        <v>3002.19</v>
      </c>
      <c r="L1766" s="2">
        <v>19</v>
      </c>
      <c r="M1766" s="11">
        <v>35.265240640000002</v>
      </c>
      <c r="N1766" s="3">
        <v>4</v>
      </c>
      <c r="O1766" s="3">
        <v>66063</v>
      </c>
      <c r="P1766" s="3">
        <v>173844</v>
      </c>
      <c r="Q1766" s="10">
        <v>1</v>
      </c>
      <c r="R1766" s="3">
        <f>(Таблица1[Размер кредита]-$AA$2)/$AA$3</f>
        <v>6.9204536975248601E-2</v>
      </c>
      <c r="S1766" s="3">
        <f>(Таблица1[Кредитный рейтинг]-$AA$7)/($AA$8-$AA$7)</f>
        <v>0</v>
      </c>
      <c r="T1766" s="3">
        <f>(Таблица1[Срок с последнего нарушения кредитного договора (мес,)]-$AA$12)/($AA$13-$AA$12)</f>
        <v>0.40074137090909095</v>
      </c>
      <c r="U1766" s="3">
        <f>(Таблица1[Количество кредитных карт]-$AA$18)/($AA$19-$AA$18)</f>
        <v>7.1428571428571425E-2</v>
      </c>
      <c r="V1766" s="3">
        <f>(Таблица1[Число нарушений кредитных договоров]-$AA$23)/($AA$24-$AA$23)</f>
        <v>0.14285714285714285</v>
      </c>
      <c r="W1766" s="3">
        <f>Таблица1[[#This Row],[Годовой доход]]/12</f>
        <v>97337</v>
      </c>
      <c r="X1766" s="3">
        <f>Таблица1[[#This Row],[Ежемесячный платеж]]/Таблица1[[#This Row],[Ежем доход]]</f>
        <v>3.0843255904743315E-2</v>
      </c>
      <c r="Y1766" s="3"/>
      <c r="Z1766" s="3"/>
      <c r="AA1766" s="3"/>
      <c r="AB1766" s="3"/>
    </row>
    <row r="1767" spans="1:28" x14ac:dyDescent="0.2">
      <c r="A1767">
        <v>1061</v>
      </c>
      <c r="B1767" t="s">
        <v>1100</v>
      </c>
      <c r="C1767" t="s">
        <v>18</v>
      </c>
      <c r="D1767" t="s">
        <v>19</v>
      </c>
      <c r="E1767" t="s">
        <v>69</v>
      </c>
      <c r="F1767" t="s">
        <v>33</v>
      </c>
      <c r="G1767" t="s">
        <v>25</v>
      </c>
      <c r="H1767" s="1">
        <v>133496</v>
      </c>
      <c r="I1767" s="3">
        <v>709</v>
      </c>
      <c r="J1767" s="3">
        <v>480415</v>
      </c>
      <c r="K1767" s="3">
        <v>11209.62</v>
      </c>
      <c r="L1767" s="2">
        <v>17.5</v>
      </c>
      <c r="M1767" s="11">
        <v>40</v>
      </c>
      <c r="N1767" s="3">
        <v>12</v>
      </c>
      <c r="O1767" s="3">
        <v>65018</v>
      </c>
      <c r="P1767" s="3">
        <v>173448</v>
      </c>
      <c r="Q1767" s="10">
        <v>0</v>
      </c>
      <c r="R1767" s="3">
        <f>(Таблица1[Размер кредита]-$AA$2)/$AA$3</f>
        <v>-1.0025783661225838</v>
      </c>
      <c r="S1767" s="3">
        <f>(Таблица1[Кредитный рейтинг]-$AA$7)/($AA$8-$AA$7)</f>
        <v>0.94407456724367511</v>
      </c>
      <c r="T1767" s="3">
        <f>(Таблица1[Срок с последнего нарушения кредитного договора (мес,)]-$AA$12)/($AA$13-$AA$12)</f>
        <v>0.45454545454545453</v>
      </c>
      <c r="U1767" s="3">
        <f>(Таблица1[Количество кредитных карт]-$AA$18)/($AA$19-$AA$18)</f>
        <v>0.26190476190476192</v>
      </c>
      <c r="V1767" s="3">
        <f>(Таблица1[Число нарушений кредитных договоров]-$AA$23)/($AA$24-$AA$23)</f>
        <v>0</v>
      </c>
      <c r="W1767" s="3">
        <f>Таблица1[[#This Row],[Годовой доход]]/12</f>
        <v>40034.583333333336</v>
      </c>
      <c r="X1767" s="3">
        <f>Таблица1[[#This Row],[Ежемесячный платеж]]/Таблица1[[#This Row],[Ежем доход]]</f>
        <v>0.27999841803440778</v>
      </c>
      <c r="Y1767" s="3"/>
      <c r="Z1767" s="3"/>
      <c r="AA1767" s="3"/>
      <c r="AB1767" s="3"/>
    </row>
    <row r="1768" spans="1:28" x14ac:dyDescent="0.2">
      <c r="A1768">
        <v>725</v>
      </c>
      <c r="B1768" t="s">
        <v>766</v>
      </c>
      <c r="C1768" t="s">
        <v>18</v>
      </c>
      <c r="D1768" t="s">
        <v>19</v>
      </c>
      <c r="E1768" t="s">
        <v>63</v>
      </c>
      <c r="F1768" t="s">
        <v>33</v>
      </c>
      <c r="G1768" t="s">
        <v>25</v>
      </c>
      <c r="H1768" s="1">
        <v>66638</v>
      </c>
      <c r="I1768" s="3">
        <v>0</v>
      </c>
      <c r="J1768" s="3">
        <v>1168044</v>
      </c>
      <c r="K1768" s="3">
        <v>11203.54</v>
      </c>
      <c r="L1768" s="2">
        <v>8.9</v>
      </c>
      <c r="M1768" s="11">
        <v>35.265240640000002</v>
      </c>
      <c r="N1768" s="3">
        <v>10</v>
      </c>
      <c r="O1768" s="3">
        <v>126027</v>
      </c>
      <c r="P1768" s="3">
        <v>173316</v>
      </c>
      <c r="Q1768" s="10">
        <v>0</v>
      </c>
      <c r="R1768" s="3">
        <f>(Таблица1[Размер кредита]-$AA$2)/$AA$3</f>
        <v>-1.3832197407298426</v>
      </c>
      <c r="S1768" s="3">
        <f>(Таблица1[Кредитный рейтинг]-$AA$7)/($AA$8-$AA$7)</f>
        <v>0</v>
      </c>
      <c r="T1768" s="3">
        <f>(Таблица1[Срок с последнего нарушения кредитного договора (мес,)]-$AA$12)/($AA$13-$AA$12)</f>
        <v>0.40074137090909095</v>
      </c>
      <c r="U1768" s="3">
        <f>(Таблица1[Количество кредитных карт]-$AA$18)/($AA$19-$AA$18)</f>
        <v>0.21428571428571427</v>
      </c>
      <c r="V1768" s="3">
        <f>(Таблица1[Число нарушений кредитных договоров]-$AA$23)/($AA$24-$AA$23)</f>
        <v>0</v>
      </c>
      <c r="W1768" s="3">
        <f>Таблица1[[#This Row],[Годовой доход]]/12</f>
        <v>97337</v>
      </c>
      <c r="X1768" s="3">
        <f>Таблица1[[#This Row],[Ежемесячный платеж]]/Таблица1[[#This Row],[Ежем доход]]</f>
        <v>0.11510052703494048</v>
      </c>
      <c r="Y1768" s="3"/>
      <c r="Z1768" s="3"/>
      <c r="AA1768" s="3"/>
      <c r="AB1768" s="3"/>
    </row>
    <row r="1769" spans="1:28" x14ac:dyDescent="0.2">
      <c r="A1769">
        <v>1221</v>
      </c>
      <c r="B1769" t="s">
        <v>1260</v>
      </c>
      <c r="C1769" t="s">
        <v>18</v>
      </c>
      <c r="D1769" t="s">
        <v>29</v>
      </c>
      <c r="E1769" t="s">
        <v>24</v>
      </c>
      <c r="F1769" t="s">
        <v>21</v>
      </c>
      <c r="G1769" t="s">
        <v>25</v>
      </c>
      <c r="H1769" s="1">
        <v>731852</v>
      </c>
      <c r="I1769" s="3">
        <v>677</v>
      </c>
      <c r="J1769" s="3">
        <v>1438680</v>
      </c>
      <c r="K1769" s="3">
        <v>25057.01</v>
      </c>
      <c r="L1769" s="2">
        <v>22.4</v>
      </c>
      <c r="M1769" s="11">
        <v>36</v>
      </c>
      <c r="N1769" s="3">
        <v>11</v>
      </c>
      <c r="O1769" s="3">
        <v>106324</v>
      </c>
      <c r="P1769" s="3">
        <v>172172</v>
      </c>
      <c r="Q1769" s="10">
        <v>2</v>
      </c>
      <c r="R1769" s="3">
        <f>(Таблица1[Размер кредита]-$AA$2)/$AA$3</f>
        <v>2.4040304218235242</v>
      </c>
      <c r="S1769" s="3">
        <f>(Таблица1[Кредитный рейтинг]-$AA$7)/($AA$8-$AA$7)</f>
        <v>0.90146471371504655</v>
      </c>
      <c r="T1769" s="3">
        <f>(Таблица1[Срок с последнего нарушения кредитного договора (мес,)]-$AA$12)/($AA$13-$AA$12)</f>
        <v>0.40909090909090912</v>
      </c>
      <c r="U1769" s="3">
        <f>(Таблица1[Количество кредитных карт]-$AA$18)/($AA$19-$AA$18)</f>
        <v>0.23809523809523808</v>
      </c>
      <c r="V1769" s="3">
        <f>(Таблица1[Число нарушений кредитных договоров]-$AA$23)/($AA$24-$AA$23)</f>
        <v>0.2857142857142857</v>
      </c>
      <c r="W1769" s="3">
        <f>Таблица1[[#This Row],[Годовой доход]]/12</f>
        <v>119890</v>
      </c>
      <c r="X1769" s="3">
        <f>Таблица1[[#This Row],[Ежемесячный платеж]]/Таблица1[[#This Row],[Ежем доход]]</f>
        <v>0.20899999999999999</v>
      </c>
      <c r="Y1769" s="3"/>
      <c r="Z1769" s="3"/>
      <c r="AA1769" s="3"/>
      <c r="AB1769" s="3"/>
    </row>
    <row r="1770" spans="1:28" x14ac:dyDescent="0.2">
      <c r="A1770">
        <v>355</v>
      </c>
      <c r="B1770" t="s">
        <v>397</v>
      </c>
      <c r="C1770" t="s">
        <v>18</v>
      </c>
      <c r="D1770" t="s">
        <v>19</v>
      </c>
      <c r="E1770" t="s">
        <v>37</v>
      </c>
      <c r="F1770" t="s">
        <v>33</v>
      </c>
      <c r="G1770" t="s">
        <v>25</v>
      </c>
      <c r="H1770" s="1">
        <v>64526</v>
      </c>
      <c r="I1770" s="3">
        <v>747</v>
      </c>
      <c r="J1770" s="3">
        <v>185782</v>
      </c>
      <c r="K1770" s="3">
        <v>4799.3999999999996</v>
      </c>
      <c r="L1770" s="2">
        <v>10.1</v>
      </c>
      <c r="M1770" s="11">
        <v>35.265240640000002</v>
      </c>
      <c r="N1770" s="3">
        <v>8</v>
      </c>
      <c r="O1770" s="3">
        <v>72257</v>
      </c>
      <c r="P1770" s="3">
        <v>172128</v>
      </c>
      <c r="Q1770" s="10">
        <v>0</v>
      </c>
      <c r="R1770" s="3">
        <f>(Таблица1[Размер кредита]-$AA$2)/$AA$3</f>
        <v>-1.3952439499968043</v>
      </c>
      <c r="S1770" s="3">
        <f>(Таблица1[Кредитный рейтинг]-$AA$7)/($AA$8-$AA$7)</f>
        <v>0.9946737683089214</v>
      </c>
      <c r="T1770" s="3">
        <f>(Таблица1[Срок с последнего нарушения кредитного договора (мес,)]-$AA$12)/($AA$13-$AA$12)</f>
        <v>0.40074137090909095</v>
      </c>
      <c r="U1770" s="3">
        <f>(Таблица1[Количество кредитных карт]-$AA$18)/($AA$19-$AA$18)</f>
        <v>0.16666666666666666</v>
      </c>
      <c r="V1770" s="3">
        <f>(Таблица1[Число нарушений кредитных договоров]-$AA$23)/($AA$24-$AA$23)</f>
        <v>0</v>
      </c>
      <c r="W1770" s="3">
        <f>Таблица1[[#This Row],[Годовой доход]]/12</f>
        <v>15481.833333333334</v>
      </c>
      <c r="X1770" s="3">
        <f>Таблица1[[#This Row],[Ежемесячный платеж]]/Таблица1[[#This Row],[Ежем доход]]</f>
        <v>0.31000204540805887</v>
      </c>
      <c r="Y1770" s="3"/>
      <c r="Z1770" s="3"/>
      <c r="AA1770" s="3"/>
      <c r="AB1770" s="3"/>
    </row>
    <row r="1771" spans="1:28" x14ac:dyDescent="0.2">
      <c r="A1771">
        <v>1866</v>
      </c>
      <c r="B1771" t="s">
        <v>1903</v>
      </c>
      <c r="C1771" t="s">
        <v>18</v>
      </c>
      <c r="D1771" t="s">
        <v>19</v>
      </c>
      <c r="E1771" t="s">
        <v>52</v>
      </c>
      <c r="F1771" t="s">
        <v>21</v>
      </c>
      <c r="G1771" t="s">
        <v>25</v>
      </c>
      <c r="H1771" s="1">
        <v>288508</v>
      </c>
      <c r="I1771" s="3">
        <v>661</v>
      </c>
      <c r="J1771" s="3">
        <v>808583</v>
      </c>
      <c r="K1771" s="3">
        <v>3591.38</v>
      </c>
      <c r="L1771" s="2">
        <v>11.4</v>
      </c>
      <c r="M1771" s="11">
        <v>1</v>
      </c>
      <c r="N1771" s="3">
        <v>4</v>
      </c>
      <c r="O1771" s="3">
        <v>102714</v>
      </c>
      <c r="P1771" s="3">
        <v>172106</v>
      </c>
      <c r="Q1771" s="10">
        <v>0</v>
      </c>
      <c r="R1771" s="3">
        <f>(Таблица1[Размер кредита]-$AA$2)/$AA$3</f>
        <v>-0.12005150679953518</v>
      </c>
      <c r="S1771" s="3">
        <f>(Таблица1[Кредитный рейтинг]-$AA$7)/($AA$8-$AA$7)</f>
        <v>0.88015978695073238</v>
      </c>
      <c r="T1771" s="3">
        <f>(Таблица1[Срок с последнего нарушения кредитного договора (мес,)]-$AA$12)/($AA$13-$AA$12)</f>
        <v>1.1363636363636364E-2</v>
      </c>
      <c r="U1771" s="3">
        <f>(Таблица1[Количество кредитных карт]-$AA$18)/($AA$19-$AA$18)</f>
        <v>7.1428571428571425E-2</v>
      </c>
      <c r="V1771" s="3">
        <f>(Таблица1[Число нарушений кредитных договоров]-$AA$23)/($AA$24-$AA$23)</f>
        <v>0</v>
      </c>
      <c r="W1771" s="3">
        <f>Таблица1[[#This Row],[Годовой доход]]/12</f>
        <v>67381.916666666672</v>
      </c>
      <c r="X1771" s="3">
        <f>Таблица1[[#This Row],[Ежемесячный платеж]]/Таблица1[[#This Row],[Ежем доход]]</f>
        <v>5.3298869751157267E-2</v>
      </c>
      <c r="Y1771" s="3"/>
      <c r="Z1771" s="3"/>
      <c r="AA1771" s="3"/>
      <c r="AB1771" s="3"/>
    </row>
    <row r="1772" spans="1:28" x14ac:dyDescent="0.2">
      <c r="A1772">
        <v>235</v>
      </c>
      <c r="B1772" t="s">
        <v>277</v>
      </c>
      <c r="C1772" t="s">
        <v>35</v>
      </c>
      <c r="D1772" t="s">
        <v>29</v>
      </c>
      <c r="E1772" t="s">
        <v>32</v>
      </c>
      <c r="F1772" t="s">
        <v>33</v>
      </c>
      <c r="G1772" t="s">
        <v>25</v>
      </c>
      <c r="H1772" s="1">
        <v>177628</v>
      </c>
      <c r="I1772" s="3">
        <v>709</v>
      </c>
      <c r="J1772" s="3">
        <v>843771</v>
      </c>
      <c r="K1772" s="3">
        <v>5027.59</v>
      </c>
      <c r="L1772" s="2">
        <v>10.3</v>
      </c>
      <c r="M1772" s="11">
        <v>35.265240640000002</v>
      </c>
      <c r="N1772" s="3">
        <v>8</v>
      </c>
      <c r="O1772" s="3">
        <v>94221</v>
      </c>
      <c r="P1772" s="3">
        <v>172062</v>
      </c>
      <c r="Q1772" s="10">
        <v>0</v>
      </c>
      <c r="R1772" s="3">
        <f>(Таблица1[Размер кредита]-$AA$2)/$AA$3</f>
        <v>-0.75132249331502843</v>
      </c>
      <c r="S1772" s="3">
        <f>(Таблица1[Кредитный рейтинг]-$AA$7)/($AA$8-$AA$7)</f>
        <v>0.94407456724367511</v>
      </c>
      <c r="T1772" s="3">
        <f>(Таблица1[Срок с последнего нарушения кредитного договора (мес,)]-$AA$12)/($AA$13-$AA$12)</f>
        <v>0.40074137090909095</v>
      </c>
      <c r="U1772" s="3">
        <f>(Таблица1[Количество кредитных карт]-$AA$18)/($AA$19-$AA$18)</f>
        <v>0.16666666666666666</v>
      </c>
      <c r="V1772" s="3">
        <f>(Таблица1[Число нарушений кредитных договоров]-$AA$23)/($AA$24-$AA$23)</f>
        <v>0</v>
      </c>
      <c r="W1772" s="3">
        <f>Таблица1[[#This Row],[Годовой доход]]/12</f>
        <v>70314.25</v>
      </c>
      <c r="X1772" s="3">
        <f>Таблица1[[#This Row],[Ежемесячный платеж]]/Таблица1[[#This Row],[Ежем доход]]</f>
        <v>7.150172262379248E-2</v>
      </c>
      <c r="Y1772" s="3"/>
      <c r="Z1772" s="3"/>
      <c r="AA1772" s="3"/>
      <c r="AB1772" s="3"/>
    </row>
    <row r="1773" spans="1:28" x14ac:dyDescent="0.2">
      <c r="A1773">
        <v>1698</v>
      </c>
      <c r="B1773" t="s">
        <v>1736</v>
      </c>
      <c r="C1773" t="s">
        <v>35</v>
      </c>
      <c r="D1773" t="s">
        <v>19</v>
      </c>
      <c r="E1773" t="s">
        <v>37</v>
      </c>
      <c r="F1773" t="s">
        <v>33</v>
      </c>
      <c r="G1773" t="s">
        <v>25</v>
      </c>
      <c r="H1773" s="1">
        <v>190806</v>
      </c>
      <c r="I1773" s="3">
        <v>0</v>
      </c>
      <c r="J1773" s="3">
        <v>1168044</v>
      </c>
      <c r="K1773" s="3">
        <v>10936.21</v>
      </c>
      <c r="L1773" s="2">
        <v>9.9</v>
      </c>
      <c r="M1773" s="11">
        <v>35.265240640000002</v>
      </c>
      <c r="N1773" s="3">
        <v>19</v>
      </c>
      <c r="O1773" s="3">
        <v>100035</v>
      </c>
      <c r="P1773" s="3">
        <v>171336</v>
      </c>
      <c r="Q1773" s="10">
        <v>0</v>
      </c>
      <c r="R1773" s="3">
        <f>(Таблица1[Размер кредита]-$AA$2)/$AA$3</f>
        <v>-0.67629643757638147</v>
      </c>
      <c r="S1773" s="3">
        <f>(Таблица1[Кредитный рейтинг]-$AA$7)/($AA$8-$AA$7)</f>
        <v>0</v>
      </c>
      <c r="T1773" s="3">
        <f>(Таблица1[Срок с последнего нарушения кредитного договора (мес,)]-$AA$12)/($AA$13-$AA$12)</f>
        <v>0.40074137090909095</v>
      </c>
      <c r="U1773" s="3">
        <f>(Таблица1[Количество кредитных карт]-$AA$18)/($AA$19-$AA$18)</f>
        <v>0.42857142857142855</v>
      </c>
      <c r="V1773" s="3">
        <f>(Таблица1[Число нарушений кредитных договоров]-$AA$23)/($AA$24-$AA$23)</f>
        <v>0</v>
      </c>
      <c r="W1773" s="3">
        <f>Таблица1[[#This Row],[Годовой доход]]/12</f>
        <v>97337</v>
      </c>
      <c r="X1773" s="3">
        <f>Таблица1[[#This Row],[Ежемесячный платеж]]/Таблица1[[#This Row],[Ежем доход]]</f>
        <v>0.11235408940074175</v>
      </c>
      <c r="Y1773" s="3"/>
      <c r="Z1773" s="3"/>
      <c r="AA1773" s="3"/>
      <c r="AB1773" s="3"/>
    </row>
    <row r="1774" spans="1:28" x14ac:dyDescent="0.2">
      <c r="A1774">
        <v>1236</v>
      </c>
      <c r="B1774" t="s">
        <v>1275</v>
      </c>
      <c r="C1774" t="s">
        <v>18</v>
      </c>
      <c r="D1774" t="s">
        <v>29</v>
      </c>
      <c r="E1774" t="s">
        <v>47</v>
      </c>
      <c r="F1774" t="s">
        <v>21</v>
      </c>
      <c r="G1774" t="s">
        <v>67</v>
      </c>
      <c r="H1774" s="1">
        <v>443960</v>
      </c>
      <c r="I1774" s="3">
        <v>638</v>
      </c>
      <c r="J1774" s="3">
        <v>3163215</v>
      </c>
      <c r="K1774" s="3">
        <v>67218.39</v>
      </c>
      <c r="L1774" s="2">
        <v>15.5</v>
      </c>
      <c r="M1774" s="11">
        <v>8</v>
      </c>
      <c r="N1774" s="3">
        <v>17</v>
      </c>
      <c r="O1774" s="3">
        <v>120726</v>
      </c>
      <c r="P1774" s="3">
        <v>170874</v>
      </c>
      <c r="Q1774" s="10">
        <v>0</v>
      </c>
      <c r="R1774" s="3">
        <f>(Таблица1[Размер кредита]-$AA$2)/$AA$3</f>
        <v>0.76498039612079716</v>
      </c>
      <c r="S1774" s="3">
        <f>(Таблица1[Кредитный рейтинг]-$AA$7)/($AA$8-$AA$7)</f>
        <v>0.84953395472703064</v>
      </c>
      <c r="T1774" s="3">
        <f>(Таблица1[Срок с последнего нарушения кредитного договора (мес,)]-$AA$12)/($AA$13-$AA$12)</f>
        <v>9.0909090909090912E-2</v>
      </c>
      <c r="U1774" s="3">
        <f>(Таблица1[Количество кредитных карт]-$AA$18)/($AA$19-$AA$18)</f>
        <v>0.38095238095238093</v>
      </c>
      <c r="V1774" s="3">
        <f>(Таблица1[Число нарушений кредитных договоров]-$AA$23)/($AA$24-$AA$23)</f>
        <v>0</v>
      </c>
      <c r="W1774" s="3">
        <f>Таблица1[[#This Row],[Годовой доход]]/12</f>
        <v>263601.25</v>
      </c>
      <c r="X1774" s="3">
        <f>Таблица1[[#This Row],[Ежемесячный платеж]]/Таблица1[[#This Row],[Ежем доход]]</f>
        <v>0.25500027029462113</v>
      </c>
      <c r="Y1774" s="3"/>
      <c r="Z1774" s="3"/>
      <c r="AA1774" s="3"/>
      <c r="AB1774" s="3"/>
    </row>
    <row r="1775" spans="1:28" x14ac:dyDescent="0.2">
      <c r="A1775">
        <v>838</v>
      </c>
      <c r="B1775" t="s">
        <v>879</v>
      </c>
      <c r="C1775" t="s">
        <v>18</v>
      </c>
      <c r="D1775" t="s">
        <v>19</v>
      </c>
      <c r="E1775" t="s">
        <v>69</v>
      </c>
      <c r="F1775" t="s">
        <v>21</v>
      </c>
      <c r="G1775" t="s">
        <v>25</v>
      </c>
      <c r="H1775" s="1">
        <v>309594.52439999999</v>
      </c>
      <c r="I1775" s="3">
        <v>723</v>
      </c>
      <c r="J1775" s="3">
        <v>905521</v>
      </c>
      <c r="K1775" s="3">
        <v>6489.64</v>
      </c>
      <c r="L1775" s="2">
        <v>24.5</v>
      </c>
      <c r="M1775" s="11">
        <v>35.265240640000002</v>
      </c>
      <c r="N1775" s="3">
        <v>5</v>
      </c>
      <c r="O1775" s="3">
        <v>134026</v>
      </c>
      <c r="P1775" s="3">
        <v>170346</v>
      </c>
      <c r="Q1775" s="10">
        <v>1</v>
      </c>
      <c r="R1775" s="3">
        <f>(Таблица1[Размер кредита]-$AA$2)/$AA$3</f>
        <v>-1.2411115481956205E-10</v>
      </c>
      <c r="S1775" s="3">
        <f>(Таблица1[Кредитный рейтинг]-$AA$7)/($AA$8-$AA$7)</f>
        <v>0.96271637816245004</v>
      </c>
      <c r="T1775" s="3">
        <f>(Таблица1[Срок с последнего нарушения кредитного договора (мес,)]-$AA$12)/($AA$13-$AA$12)</f>
        <v>0.40074137090909095</v>
      </c>
      <c r="U1775" s="3">
        <f>(Таблица1[Количество кредитных карт]-$AA$18)/($AA$19-$AA$18)</f>
        <v>9.5238095238095233E-2</v>
      </c>
      <c r="V1775" s="3">
        <f>(Таблица1[Число нарушений кредитных договоров]-$AA$23)/($AA$24-$AA$23)</f>
        <v>0.14285714285714285</v>
      </c>
      <c r="W1775" s="3">
        <f>Таблица1[[#This Row],[Годовой доход]]/12</f>
        <v>75460.083333333328</v>
      </c>
      <c r="X1775" s="3">
        <f>Таблица1[[#This Row],[Ежемесячный платеж]]/Таблица1[[#This Row],[Ежем доход]]</f>
        <v>8.6000965190205433E-2</v>
      </c>
      <c r="Y1775" s="3"/>
      <c r="Z1775" s="3"/>
      <c r="AA1775" s="3"/>
      <c r="AB1775" s="3"/>
    </row>
    <row r="1776" spans="1:28" x14ac:dyDescent="0.2">
      <c r="A1776">
        <v>38</v>
      </c>
      <c r="B1776" t="s">
        <v>78</v>
      </c>
      <c r="C1776" t="s">
        <v>18</v>
      </c>
      <c r="D1776" t="s">
        <v>19</v>
      </c>
      <c r="E1776" t="s">
        <v>20</v>
      </c>
      <c r="F1776" t="s">
        <v>21</v>
      </c>
      <c r="G1776" t="s">
        <v>25</v>
      </c>
      <c r="H1776" s="1">
        <v>161172</v>
      </c>
      <c r="I1776" s="3">
        <v>720</v>
      </c>
      <c r="J1776" s="3">
        <v>796499</v>
      </c>
      <c r="K1776" s="3">
        <v>3404.99</v>
      </c>
      <c r="L1776" s="2">
        <v>22.6</v>
      </c>
      <c r="M1776" s="11">
        <v>35.265240640000002</v>
      </c>
      <c r="N1776" s="3">
        <v>6</v>
      </c>
      <c r="O1776" s="3">
        <v>114095</v>
      </c>
      <c r="P1776" s="3">
        <v>170038</v>
      </c>
      <c r="Q1776" s="10">
        <v>1</v>
      </c>
      <c r="R1776" s="3">
        <f>(Таблица1[Размер кредита]-$AA$2)/$AA$3</f>
        <v>-0.84501112385343891</v>
      </c>
      <c r="S1776" s="3">
        <f>(Таблица1[Кредитный рейтинг]-$AA$7)/($AA$8-$AA$7)</f>
        <v>0.95872170439414117</v>
      </c>
      <c r="T1776" s="3">
        <f>(Таблица1[Срок с последнего нарушения кредитного договора (мес,)]-$AA$12)/($AA$13-$AA$12)</f>
        <v>0.40074137090909095</v>
      </c>
      <c r="U1776" s="3">
        <f>(Таблица1[Количество кредитных карт]-$AA$18)/($AA$19-$AA$18)</f>
        <v>0.11904761904761904</v>
      </c>
      <c r="V1776" s="3">
        <f>(Таблица1[Число нарушений кредитных договоров]-$AA$23)/($AA$24-$AA$23)</f>
        <v>0.14285714285714285</v>
      </c>
      <c r="W1776" s="3">
        <f>Таблица1[[#This Row],[Годовой доход]]/12</f>
        <v>66374.916666666672</v>
      </c>
      <c r="X1776" s="3">
        <f>Таблица1[[#This Row],[Ежемесячный платеж]]/Таблица1[[#This Row],[Ежем доход]]</f>
        <v>5.1299348775076921E-2</v>
      </c>
      <c r="Y1776" s="3"/>
      <c r="Z1776" s="3"/>
      <c r="AA1776" s="3"/>
      <c r="AB1776" s="3"/>
    </row>
    <row r="1777" spans="1:28" x14ac:dyDescent="0.2">
      <c r="A1777">
        <v>1676</v>
      </c>
      <c r="B1777" t="s">
        <v>1714</v>
      </c>
      <c r="C1777" t="s">
        <v>18</v>
      </c>
      <c r="D1777" t="s">
        <v>29</v>
      </c>
      <c r="E1777" t="s">
        <v>47</v>
      </c>
      <c r="F1777" t="s">
        <v>33</v>
      </c>
      <c r="G1777" t="s">
        <v>25</v>
      </c>
      <c r="H1777" s="1">
        <v>174108</v>
      </c>
      <c r="I1777" s="3">
        <v>643</v>
      </c>
      <c r="J1777" s="3">
        <v>1221662</v>
      </c>
      <c r="K1777" s="3">
        <v>10567.42</v>
      </c>
      <c r="L1777" s="2">
        <v>8.9</v>
      </c>
      <c r="M1777" s="11">
        <v>35.265240640000002</v>
      </c>
      <c r="N1777" s="3">
        <v>5</v>
      </c>
      <c r="O1777" s="3">
        <v>122265</v>
      </c>
      <c r="P1777" s="3">
        <v>169752</v>
      </c>
      <c r="Q1777" s="10">
        <v>0</v>
      </c>
      <c r="R1777" s="3">
        <f>(Таблица1[Размер кредита]-$AA$2)/$AA$3</f>
        <v>-0.77136284209329808</v>
      </c>
      <c r="S1777" s="3">
        <f>(Таблица1[Кредитный рейтинг]-$AA$7)/($AA$8-$AA$7)</f>
        <v>0.85619174434087886</v>
      </c>
      <c r="T1777" s="3">
        <f>(Таблица1[Срок с последнего нарушения кредитного договора (мес,)]-$AA$12)/($AA$13-$AA$12)</f>
        <v>0.40074137090909095</v>
      </c>
      <c r="U1777" s="3">
        <f>(Таблица1[Количество кредитных карт]-$AA$18)/($AA$19-$AA$18)</f>
        <v>9.5238095238095233E-2</v>
      </c>
      <c r="V1777" s="3">
        <f>(Таблица1[Число нарушений кредитных договоров]-$AA$23)/($AA$24-$AA$23)</f>
        <v>0</v>
      </c>
      <c r="W1777" s="3">
        <f>Таблица1[[#This Row],[Годовой доход]]/12</f>
        <v>101805.16666666667</v>
      </c>
      <c r="X1777" s="3">
        <f>Таблица1[[#This Row],[Ежемесячный платеж]]/Таблица1[[#This Row],[Ежем доход]]</f>
        <v>0.10380042925129863</v>
      </c>
      <c r="Y1777" s="3"/>
      <c r="Z1777" s="3"/>
      <c r="AA1777" s="3"/>
      <c r="AB1777" s="3"/>
    </row>
    <row r="1778" spans="1:28" x14ac:dyDescent="0.2">
      <c r="A1778">
        <v>302</v>
      </c>
      <c r="B1778" t="s">
        <v>344</v>
      </c>
      <c r="C1778" t="s">
        <v>18</v>
      </c>
      <c r="D1778" t="s">
        <v>19</v>
      </c>
      <c r="E1778" t="s">
        <v>37</v>
      </c>
      <c r="F1778" t="s">
        <v>33</v>
      </c>
      <c r="G1778" t="s">
        <v>25</v>
      </c>
      <c r="H1778" s="1">
        <v>391468</v>
      </c>
      <c r="I1778" s="3">
        <v>742</v>
      </c>
      <c r="J1778" s="3">
        <v>629850</v>
      </c>
      <c r="K1778" s="3">
        <v>10025.16</v>
      </c>
      <c r="L1778" s="2">
        <v>17.8</v>
      </c>
      <c r="M1778" s="11">
        <v>14</v>
      </c>
      <c r="N1778" s="3">
        <v>8</v>
      </c>
      <c r="O1778" s="3">
        <v>57570</v>
      </c>
      <c r="P1778" s="3">
        <v>169620</v>
      </c>
      <c r="Q1778" s="10">
        <v>0</v>
      </c>
      <c r="R1778" s="3">
        <f>(Таблица1[Размер кредита]-$AA$2)/$AA$3</f>
        <v>0.46612869496485138</v>
      </c>
      <c r="S1778" s="3">
        <f>(Таблица1[Кредитный рейтинг]-$AA$7)/($AA$8-$AA$7)</f>
        <v>0.98801597869507318</v>
      </c>
      <c r="T1778" s="3">
        <f>(Таблица1[Срок с последнего нарушения кредитного договора (мес,)]-$AA$12)/($AA$13-$AA$12)</f>
        <v>0.15909090909090909</v>
      </c>
      <c r="U1778" s="3">
        <f>(Таблица1[Количество кредитных карт]-$AA$18)/($AA$19-$AA$18)</f>
        <v>0.16666666666666666</v>
      </c>
      <c r="V1778" s="3">
        <f>(Таблица1[Число нарушений кредитных договоров]-$AA$23)/($AA$24-$AA$23)</f>
        <v>0</v>
      </c>
      <c r="W1778" s="3">
        <f>Таблица1[[#This Row],[Годовой доход]]/12</f>
        <v>52487.5</v>
      </c>
      <c r="X1778" s="3">
        <f>Таблица1[[#This Row],[Ежемесячный платеж]]/Таблица1[[#This Row],[Ежем доход]]</f>
        <v>0.19100090497737557</v>
      </c>
      <c r="Y1778" s="3"/>
      <c r="Z1778" s="3"/>
      <c r="AA1778" s="3"/>
      <c r="AB1778" s="3"/>
    </row>
    <row r="1779" spans="1:28" x14ac:dyDescent="0.2">
      <c r="A1779">
        <v>1411</v>
      </c>
      <c r="B1779" t="s">
        <v>1450</v>
      </c>
      <c r="C1779" t="s">
        <v>35</v>
      </c>
      <c r="D1779" t="s">
        <v>19</v>
      </c>
      <c r="E1779" t="s">
        <v>52</v>
      </c>
      <c r="F1779" t="s">
        <v>21</v>
      </c>
      <c r="G1779" t="s">
        <v>22</v>
      </c>
      <c r="H1779" s="1">
        <v>234058</v>
      </c>
      <c r="I1779" s="3">
        <v>707</v>
      </c>
      <c r="J1779" s="3">
        <v>2467530</v>
      </c>
      <c r="K1779" s="3">
        <v>14126.69</v>
      </c>
      <c r="L1779" s="2">
        <v>17.5</v>
      </c>
      <c r="M1779" s="11">
        <v>36</v>
      </c>
      <c r="N1779" s="3">
        <v>9</v>
      </c>
      <c r="O1779" s="3">
        <v>86583</v>
      </c>
      <c r="P1779" s="3">
        <v>169356</v>
      </c>
      <c r="Q1779" s="10">
        <v>1</v>
      </c>
      <c r="R1779" s="3">
        <f>(Таблица1[Размер кредита]-$AA$2)/$AA$3</f>
        <v>-0.43005065196339348</v>
      </c>
      <c r="S1779" s="3">
        <f>(Таблица1[Кредитный рейтинг]-$AA$7)/($AA$8-$AA$7)</f>
        <v>0.94141145139813587</v>
      </c>
      <c r="T1779" s="3">
        <f>(Таблица1[Срок с последнего нарушения кредитного договора (мес,)]-$AA$12)/($AA$13-$AA$12)</f>
        <v>0.40909090909090912</v>
      </c>
      <c r="U1779" s="3">
        <f>(Таблица1[Количество кредитных карт]-$AA$18)/($AA$19-$AA$18)</f>
        <v>0.19047619047619047</v>
      </c>
      <c r="V1779" s="3">
        <f>(Таблица1[Число нарушений кредитных договоров]-$AA$23)/($AA$24-$AA$23)</f>
        <v>0.14285714285714285</v>
      </c>
      <c r="W1779" s="3">
        <f>Таблица1[[#This Row],[Годовой доход]]/12</f>
        <v>205627.5</v>
      </c>
      <c r="X1779" s="3">
        <f>Таблица1[[#This Row],[Ежемесячный платеж]]/Таблица1[[#This Row],[Ежем доход]]</f>
        <v>6.8700392700392701E-2</v>
      </c>
      <c r="Y1779" s="3"/>
      <c r="Z1779" s="3"/>
      <c r="AA1779" s="3"/>
      <c r="AB1779" s="3"/>
    </row>
    <row r="1780" spans="1:28" x14ac:dyDescent="0.2">
      <c r="A1780">
        <v>906</v>
      </c>
      <c r="B1780" t="s">
        <v>947</v>
      </c>
      <c r="C1780" t="s">
        <v>35</v>
      </c>
      <c r="D1780" t="s">
        <v>19</v>
      </c>
      <c r="E1780" t="s">
        <v>30</v>
      </c>
      <c r="F1780" t="s">
        <v>33</v>
      </c>
      <c r="G1780" t="s">
        <v>25</v>
      </c>
      <c r="H1780" s="1">
        <v>495066</v>
      </c>
      <c r="I1780" s="3">
        <v>712</v>
      </c>
      <c r="J1780" s="3">
        <v>1766012</v>
      </c>
      <c r="K1780" s="3">
        <v>23693.95</v>
      </c>
      <c r="L1780" s="2">
        <v>15.6</v>
      </c>
      <c r="M1780" s="11">
        <v>45</v>
      </c>
      <c r="N1780" s="3">
        <v>11</v>
      </c>
      <c r="O1780" s="3">
        <v>14991</v>
      </c>
      <c r="P1780" s="3">
        <v>168432</v>
      </c>
      <c r="Q1780" s="10">
        <v>0</v>
      </c>
      <c r="R1780" s="3">
        <f>(Таблица1[Размер кредита]-$AA$2)/$AA$3</f>
        <v>1.0559412099452994</v>
      </c>
      <c r="S1780" s="3">
        <f>(Таблица1[Кредитный рейтинг]-$AA$7)/($AA$8-$AA$7)</f>
        <v>0.94806924101198398</v>
      </c>
      <c r="T1780" s="3">
        <f>(Таблица1[Срок с последнего нарушения кредитного договора (мес,)]-$AA$12)/($AA$13-$AA$12)</f>
        <v>0.51136363636363635</v>
      </c>
      <c r="U1780" s="3">
        <f>(Таблица1[Количество кредитных карт]-$AA$18)/($AA$19-$AA$18)</f>
        <v>0.23809523809523808</v>
      </c>
      <c r="V1780" s="3">
        <f>(Таблица1[Число нарушений кредитных договоров]-$AA$23)/($AA$24-$AA$23)</f>
        <v>0</v>
      </c>
      <c r="W1780" s="3">
        <f>Таблица1[[#This Row],[Годовой доход]]/12</f>
        <v>147167.66666666666</v>
      </c>
      <c r="X1780" s="3">
        <f>Таблица1[[#This Row],[Ежемесячный платеж]]/Таблица1[[#This Row],[Ежем доход]]</f>
        <v>0.16099969875629386</v>
      </c>
      <c r="Y1780" s="3"/>
      <c r="Z1780" s="3"/>
      <c r="AA1780" s="3"/>
      <c r="AB1780" s="3"/>
    </row>
    <row r="1781" spans="1:28" x14ac:dyDescent="0.2">
      <c r="A1781">
        <v>1616</v>
      </c>
      <c r="B1781" t="s">
        <v>1655</v>
      </c>
      <c r="C1781" t="s">
        <v>35</v>
      </c>
      <c r="D1781" t="s">
        <v>19</v>
      </c>
      <c r="E1781" t="s">
        <v>63</v>
      </c>
      <c r="F1781" t="s">
        <v>27</v>
      </c>
      <c r="G1781" t="s">
        <v>67</v>
      </c>
      <c r="H1781" s="1">
        <v>134464</v>
      </c>
      <c r="I1781" s="3">
        <v>0</v>
      </c>
      <c r="J1781" s="3">
        <v>1168044</v>
      </c>
      <c r="K1781" s="3">
        <v>26965.75</v>
      </c>
      <c r="L1781" s="2">
        <v>8.3000000000000007</v>
      </c>
      <c r="M1781" s="11">
        <v>30</v>
      </c>
      <c r="N1781" s="3">
        <v>10</v>
      </c>
      <c r="O1781" s="3">
        <v>86298</v>
      </c>
      <c r="P1781" s="3">
        <v>167926</v>
      </c>
      <c r="Q1781" s="10">
        <v>0</v>
      </c>
      <c r="R1781" s="3">
        <f>(Таблица1[Размер кредита]-$AA$2)/$AA$3</f>
        <v>-0.99706727020855968</v>
      </c>
      <c r="S1781" s="3">
        <f>(Таблица1[Кредитный рейтинг]-$AA$7)/($AA$8-$AA$7)</f>
        <v>0</v>
      </c>
      <c r="T1781" s="3">
        <f>(Таблица1[Срок с последнего нарушения кредитного договора (мес,)]-$AA$12)/($AA$13-$AA$12)</f>
        <v>0.34090909090909088</v>
      </c>
      <c r="U1781" s="3">
        <f>(Таблица1[Количество кредитных карт]-$AA$18)/($AA$19-$AA$18)</f>
        <v>0.21428571428571427</v>
      </c>
      <c r="V1781" s="3">
        <f>(Таблица1[Число нарушений кредитных договоров]-$AA$23)/($AA$24-$AA$23)</f>
        <v>0</v>
      </c>
      <c r="W1781" s="3">
        <f>Таблица1[[#This Row],[Годовой доход]]/12</f>
        <v>97337</v>
      </c>
      <c r="X1781" s="3">
        <f>Таблица1[[#This Row],[Ежемесячный платеж]]/Таблица1[[#This Row],[Ежем доход]]</f>
        <v>0.27703494046457156</v>
      </c>
      <c r="Y1781" s="3"/>
      <c r="Z1781" s="3"/>
      <c r="AA1781" s="3"/>
      <c r="AB1781" s="3"/>
    </row>
    <row r="1782" spans="1:28" x14ac:dyDescent="0.2">
      <c r="A1782">
        <v>144</v>
      </c>
      <c r="B1782" s="4" t="s">
        <v>186</v>
      </c>
      <c r="C1782" t="s">
        <v>18</v>
      </c>
      <c r="D1782" t="s">
        <v>29</v>
      </c>
      <c r="E1782" t="s">
        <v>37</v>
      </c>
      <c r="F1782" t="s">
        <v>33</v>
      </c>
      <c r="G1782" t="s">
        <v>25</v>
      </c>
      <c r="H1782" s="1">
        <v>348832</v>
      </c>
      <c r="I1782" s="3">
        <v>704</v>
      </c>
      <c r="J1782" s="3">
        <v>497306</v>
      </c>
      <c r="K1782" s="3">
        <v>3257.36</v>
      </c>
      <c r="L1782" s="2">
        <v>13</v>
      </c>
      <c r="M1782" s="11">
        <v>35.265240640000002</v>
      </c>
      <c r="N1782" s="3">
        <v>4</v>
      </c>
      <c r="O1782" s="3">
        <v>90022</v>
      </c>
      <c r="P1782" s="3">
        <v>167860</v>
      </c>
      <c r="Q1782" s="10">
        <v>0</v>
      </c>
      <c r="R1782" s="3">
        <f>(Таблица1[Размер кредита]-$AA$2)/$AA$3</f>
        <v>0.22338997038806055</v>
      </c>
      <c r="S1782" s="3">
        <f>(Таблица1[Кредитный рейтинг]-$AA$7)/($AA$8-$AA$7)</f>
        <v>0.93741677762982689</v>
      </c>
      <c r="T1782" s="3">
        <f>(Таблица1[Срок с последнего нарушения кредитного договора (мес,)]-$AA$12)/($AA$13-$AA$12)</f>
        <v>0.40074137090909095</v>
      </c>
      <c r="U1782" s="3">
        <f>(Таблица1[Количество кредитных карт]-$AA$18)/($AA$19-$AA$18)</f>
        <v>7.1428571428571425E-2</v>
      </c>
      <c r="V1782" s="3">
        <f>(Таблица1[Число нарушений кредитных договоров]-$AA$23)/($AA$24-$AA$23)</f>
        <v>0</v>
      </c>
      <c r="W1782" s="3">
        <f>Таблица1[[#This Row],[Годовой доход]]/12</f>
        <v>41442.166666666664</v>
      </c>
      <c r="X1782" s="3">
        <f>Таблица1[[#This Row],[Ежемесячный платеж]]/Таблица1[[#This Row],[Ежем доход]]</f>
        <v>7.8600137541071299E-2</v>
      </c>
      <c r="Y1782" s="3"/>
      <c r="Z1782" s="3"/>
      <c r="AA1782" s="3"/>
      <c r="AB1782" s="3"/>
    </row>
    <row r="1783" spans="1:28" x14ac:dyDescent="0.2">
      <c r="A1783">
        <v>1122</v>
      </c>
      <c r="B1783" t="s">
        <v>1161</v>
      </c>
      <c r="C1783" t="s">
        <v>18</v>
      </c>
      <c r="D1783" t="s">
        <v>19</v>
      </c>
      <c r="E1783" t="s">
        <v>63</v>
      </c>
      <c r="F1783" t="s">
        <v>33</v>
      </c>
      <c r="G1783" t="s">
        <v>25</v>
      </c>
      <c r="H1783" s="1">
        <v>116138</v>
      </c>
      <c r="I1783" s="3">
        <v>721</v>
      </c>
      <c r="J1783" s="3">
        <v>928720</v>
      </c>
      <c r="K1783" s="3">
        <v>5758.14</v>
      </c>
      <c r="L1783" s="2">
        <v>16</v>
      </c>
      <c r="M1783" s="11">
        <v>15</v>
      </c>
      <c r="N1783" s="3">
        <v>9</v>
      </c>
      <c r="O1783" s="3">
        <v>88426</v>
      </c>
      <c r="P1783" s="3">
        <v>167860</v>
      </c>
      <c r="Q1783" s="10">
        <v>1</v>
      </c>
      <c r="R1783" s="3">
        <f>(Таблица1[Размер кредита]-$AA$2)/$AA$3</f>
        <v>-1.1014023360354259</v>
      </c>
      <c r="S1783" s="3">
        <f>(Таблица1[Кредитный рейтинг]-$AA$7)/($AA$8-$AA$7)</f>
        <v>0.96005326231691079</v>
      </c>
      <c r="T1783" s="3">
        <f>(Таблица1[Срок с последнего нарушения кредитного договора (мес,)]-$AA$12)/($AA$13-$AA$12)</f>
        <v>0.17045454545454544</v>
      </c>
      <c r="U1783" s="3">
        <f>(Таблица1[Количество кредитных карт]-$AA$18)/($AA$19-$AA$18)</f>
        <v>0.19047619047619047</v>
      </c>
      <c r="V1783" s="3">
        <f>(Таблица1[Число нарушений кредитных договоров]-$AA$23)/($AA$24-$AA$23)</f>
        <v>0.14285714285714285</v>
      </c>
      <c r="W1783" s="3">
        <f>Таблица1[[#This Row],[Годовой доход]]/12</f>
        <v>77393.333333333328</v>
      </c>
      <c r="X1783" s="3">
        <f>Таблица1[[#This Row],[Ежемесячный платеж]]/Таблица1[[#This Row],[Ежем доход]]</f>
        <v>7.4400981996726692E-2</v>
      </c>
      <c r="Y1783" s="3"/>
      <c r="Z1783" s="3"/>
      <c r="AA1783" s="3"/>
      <c r="AB1783" s="3"/>
    </row>
    <row r="1784" spans="1:28" x14ac:dyDescent="0.2">
      <c r="A1784">
        <v>181</v>
      </c>
      <c r="B1784" t="s">
        <v>223</v>
      </c>
      <c r="C1784" t="s">
        <v>18</v>
      </c>
      <c r="D1784" t="s">
        <v>29</v>
      </c>
      <c r="E1784" t="s">
        <v>50</v>
      </c>
      <c r="F1784" t="s">
        <v>21</v>
      </c>
      <c r="G1784" t="s">
        <v>25</v>
      </c>
      <c r="H1784" s="1">
        <v>234806</v>
      </c>
      <c r="I1784" s="3">
        <v>689</v>
      </c>
      <c r="J1784" s="3">
        <v>866799</v>
      </c>
      <c r="K1784" s="3">
        <v>3676.69</v>
      </c>
      <c r="L1784" s="2">
        <v>14.1</v>
      </c>
      <c r="M1784" s="11">
        <v>7</v>
      </c>
      <c r="N1784" s="3">
        <v>4</v>
      </c>
      <c r="O1784" s="3">
        <v>86051</v>
      </c>
      <c r="P1784" s="3">
        <v>167750</v>
      </c>
      <c r="Q1784" s="10">
        <v>2</v>
      </c>
      <c r="R1784" s="3">
        <f>(Таблица1[Размер кредита]-$AA$2)/$AA$3</f>
        <v>-0.42579207784801115</v>
      </c>
      <c r="S1784" s="3">
        <f>(Таблица1[Кредитный рейтинг]-$AA$7)/($AA$8-$AA$7)</f>
        <v>0.91744340878828234</v>
      </c>
      <c r="T1784" s="3">
        <f>(Таблица1[Срок с последнего нарушения кредитного договора (мес,)]-$AA$12)/($AA$13-$AA$12)</f>
        <v>7.9545454545454544E-2</v>
      </c>
      <c r="U1784" s="3">
        <f>(Таблица1[Количество кредитных карт]-$AA$18)/($AA$19-$AA$18)</f>
        <v>7.1428571428571425E-2</v>
      </c>
      <c r="V1784" s="3">
        <f>(Таблица1[Число нарушений кредитных договоров]-$AA$23)/($AA$24-$AA$23)</f>
        <v>0.2857142857142857</v>
      </c>
      <c r="W1784" s="3">
        <f>Таблица1[[#This Row],[Годовой доход]]/12</f>
        <v>72233.25</v>
      </c>
      <c r="X1784" s="3">
        <f>Таблица1[[#This Row],[Ежемесячный платеж]]/Таблица1[[#This Row],[Ежем доход]]</f>
        <v>5.0900243309002433E-2</v>
      </c>
      <c r="Y1784" s="3"/>
      <c r="Z1784" s="3"/>
      <c r="AA1784" s="3"/>
      <c r="AB1784" s="3"/>
    </row>
    <row r="1785" spans="1:28" x14ac:dyDescent="0.2">
      <c r="A1785">
        <v>968</v>
      </c>
      <c r="B1785" t="s">
        <v>223</v>
      </c>
      <c r="C1785" t="s">
        <v>18</v>
      </c>
      <c r="D1785" t="s">
        <v>29</v>
      </c>
      <c r="E1785" t="s">
        <v>50</v>
      </c>
      <c r="F1785" t="s">
        <v>21</v>
      </c>
      <c r="G1785" t="s">
        <v>25</v>
      </c>
      <c r="H1785" s="1">
        <v>309594.52439999999</v>
      </c>
      <c r="I1785" s="3">
        <v>689</v>
      </c>
      <c r="J1785" s="3">
        <v>866799</v>
      </c>
      <c r="K1785" s="3">
        <v>3676.69</v>
      </c>
      <c r="L1785" s="2">
        <v>14.1</v>
      </c>
      <c r="M1785" s="11">
        <v>7</v>
      </c>
      <c r="N1785" s="3">
        <v>4</v>
      </c>
      <c r="O1785" s="3">
        <v>86051</v>
      </c>
      <c r="P1785" s="3">
        <v>167750</v>
      </c>
      <c r="Q1785" s="10">
        <v>2</v>
      </c>
      <c r="R1785" s="3">
        <f>(Таблица1[Размер кредита]-$AA$2)/$AA$3</f>
        <v>-1.2411115481956205E-10</v>
      </c>
      <c r="S1785" s="3">
        <f>(Таблица1[Кредитный рейтинг]-$AA$7)/($AA$8-$AA$7)</f>
        <v>0.91744340878828234</v>
      </c>
      <c r="T1785" s="3">
        <f>(Таблица1[Срок с последнего нарушения кредитного договора (мес,)]-$AA$12)/($AA$13-$AA$12)</f>
        <v>7.9545454545454544E-2</v>
      </c>
      <c r="U1785" s="3">
        <f>(Таблица1[Количество кредитных карт]-$AA$18)/($AA$19-$AA$18)</f>
        <v>7.1428571428571425E-2</v>
      </c>
      <c r="V1785" s="3">
        <f>(Таблица1[Число нарушений кредитных договоров]-$AA$23)/($AA$24-$AA$23)</f>
        <v>0.2857142857142857</v>
      </c>
      <c r="W1785" s="3">
        <f>Таблица1[[#This Row],[Годовой доход]]/12</f>
        <v>72233.25</v>
      </c>
      <c r="X1785" s="3">
        <f>Таблица1[[#This Row],[Ежемесячный платеж]]/Таблица1[[#This Row],[Ежем доход]]</f>
        <v>5.0900243309002433E-2</v>
      </c>
      <c r="Y1785" s="3"/>
      <c r="Z1785" s="3"/>
      <c r="AA1785" s="3"/>
      <c r="AB1785" s="3"/>
    </row>
    <row r="1786" spans="1:28" x14ac:dyDescent="0.2">
      <c r="A1786">
        <v>1737</v>
      </c>
      <c r="B1786" t="s">
        <v>1775</v>
      </c>
      <c r="C1786" t="s">
        <v>18</v>
      </c>
      <c r="D1786" t="s">
        <v>19</v>
      </c>
      <c r="E1786" t="s">
        <v>24</v>
      </c>
      <c r="F1786" t="s">
        <v>21</v>
      </c>
      <c r="G1786" t="s">
        <v>67</v>
      </c>
      <c r="H1786" s="1">
        <v>132308</v>
      </c>
      <c r="I1786" s="3">
        <v>716</v>
      </c>
      <c r="J1786" s="3">
        <v>721601</v>
      </c>
      <c r="K1786" s="3">
        <v>5526.34</v>
      </c>
      <c r="L1786" s="2">
        <v>25.4</v>
      </c>
      <c r="M1786" s="11">
        <v>31</v>
      </c>
      <c r="N1786" s="3">
        <v>9</v>
      </c>
      <c r="O1786" s="3">
        <v>110466</v>
      </c>
      <c r="P1786" s="3">
        <v>167640</v>
      </c>
      <c r="Q1786" s="10">
        <v>0</v>
      </c>
      <c r="R1786" s="3">
        <f>(Таблица1[Размер кредита]-$AA$2)/$AA$3</f>
        <v>-1.0093419838352498</v>
      </c>
      <c r="S1786" s="3">
        <f>(Таблица1[Кредитный рейтинг]-$AA$7)/($AA$8-$AA$7)</f>
        <v>0.95339547270306257</v>
      </c>
      <c r="T1786" s="3">
        <f>(Таблица1[Срок с последнего нарушения кредитного договора (мес,)]-$AA$12)/($AA$13-$AA$12)</f>
        <v>0.35227272727272729</v>
      </c>
      <c r="U1786" s="3">
        <f>(Таблица1[Количество кредитных карт]-$AA$18)/($AA$19-$AA$18)</f>
        <v>0.19047619047619047</v>
      </c>
      <c r="V1786" s="3">
        <f>(Таблица1[Число нарушений кредитных договоров]-$AA$23)/($AA$24-$AA$23)</f>
        <v>0</v>
      </c>
      <c r="W1786" s="3">
        <f>Таблица1[[#This Row],[Годовой доход]]/12</f>
        <v>60133.416666666664</v>
      </c>
      <c r="X1786" s="3">
        <f>Таблица1[[#This Row],[Ежемесячный платеж]]/Таблица1[[#This Row],[Ежем доход]]</f>
        <v>9.190131388398852E-2</v>
      </c>
      <c r="Y1786" s="3"/>
      <c r="Z1786" s="3"/>
      <c r="AA1786" s="3"/>
      <c r="AB1786" s="3"/>
    </row>
    <row r="1787" spans="1:28" x14ac:dyDescent="0.2">
      <c r="A1787">
        <v>1281</v>
      </c>
      <c r="B1787" t="s">
        <v>1320</v>
      </c>
      <c r="C1787" t="s">
        <v>18</v>
      </c>
      <c r="D1787" t="s">
        <v>19</v>
      </c>
      <c r="E1787" t="s">
        <v>24</v>
      </c>
      <c r="F1787" t="s">
        <v>33</v>
      </c>
      <c r="G1787" t="s">
        <v>25</v>
      </c>
      <c r="H1787" s="1">
        <v>66484</v>
      </c>
      <c r="I1787" s="3">
        <v>0</v>
      </c>
      <c r="J1787" s="3">
        <v>1168044</v>
      </c>
      <c r="K1787" s="3">
        <v>2795.28</v>
      </c>
      <c r="L1787" s="2">
        <v>29.1</v>
      </c>
      <c r="M1787" s="11">
        <v>37</v>
      </c>
      <c r="N1787" s="3">
        <v>11</v>
      </c>
      <c r="O1787" s="3">
        <v>81529</v>
      </c>
      <c r="P1787" s="3">
        <v>166188</v>
      </c>
      <c r="Q1787" s="10">
        <v>1</v>
      </c>
      <c r="R1787" s="3">
        <f>(Таблица1[Размер кредита]-$AA$2)/$AA$3</f>
        <v>-1.3840965059888919</v>
      </c>
      <c r="S1787" s="3">
        <f>(Таблица1[Кредитный рейтинг]-$AA$7)/($AA$8-$AA$7)</f>
        <v>0</v>
      </c>
      <c r="T1787" s="3">
        <f>(Таблица1[Срок с последнего нарушения кредитного договора (мес,)]-$AA$12)/($AA$13-$AA$12)</f>
        <v>0.42045454545454547</v>
      </c>
      <c r="U1787" s="3">
        <f>(Таблица1[Количество кредитных карт]-$AA$18)/($AA$19-$AA$18)</f>
        <v>0.23809523809523808</v>
      </c>
      <c r="V1787" s="3">
        <f>(Таблица1[Число нарушений кредитных договоров]-$AA$23)/($AA$24-$AA$23)</f>
        <v>0.14285714285714285</v>
      </c>
      <c r="W1787" s="3">
        <f>Таблица1[[#This Row],[Годовой доход]]/12</f>
        <v>97337</v>
      </c>
      <c r="X1787" s="3">
        <f>Таблица1[[#This Row],[Ежемесячный платеж]]/Таблица1[[#This Row],[Ежем доход]]</f>
        <v>2.8717548311536212E-2</v>
      </c>
      <c r="Y1787" s="3"/>
      <c r="Z1787" s="3"/>
      <c r="AA1787" s="3"/>
      <c r="AB1787" s="3"/>
    </row>
    <row r="1788" spans="1:28" x14ac:dyDescent="0.2">
      <c r="A1788">
        <v>1225</v>
      </c>
      <c r="B1788" t="s">
        <v>1264</v>
      </c>
      <c r="C1788" t="s">
        <v>18</v>
      </c>
      <c r="D1788" t="s">
        <v>19</v>
      </c>
      <c r="E1788" t="s">
        <v>30</v>
      </c>
      <c r="F1788" t="s">
        <v>21</v>
      </c>
      <c r="G1788" t="s">
        <v>25</v>
      </c>
      <c r="H1788" s="1">
        <v>309594.52439999999</v>
      </c>
      <c r="I1788" s="3">
        <v>744</v>
      </c>
      <c r="J1788" s="3">
        <v>1107396</v>
      </c>
      <c r="K1788" s="3">
        <v>7714.95</v>
      </c>
      <c r="L1788" s="2">
        <v>10.4</v>
      </c>
      <c r="M1788" s="11">
        <v>26</v>
      </c>
      <c r="N1788" s="3">
        <v>6</v>
      </c>
      <c r="O1788" s="3">
        <v>101878</v>
      </c>
      <c r="P1788" s="3">
        <v>165924</v>
      </c>
      <c r="Q1788" s="10">
        <v>1</v>
      </c>
      <c r="R1788" s="3">
        <f>(Таблица1[Размер кредита]-$AA$2)/$AA$3</f>
        <v>-1.2411115481956205E-10</v>
      </c>
      <c r="S1788" s="3">
        <f>(Таблица1[Кредитный рейтинг]-$AA$7)/($AA$8-$AA$7)</f>
        <v>0.99067909454061254</v>
      </c>
      <c r="T1788" s="3">
        <f>(Таблица1[Срок с последнего нарушения кредитного договора (мес,)]-$AA$12)/($AA$13-$AA$12)</f>
        <v>0.29545454545454547</v>
      </c>
      <c r="U1788" s="3">
        <f>(Таблица1[Количество кредитных карт]-$AA$18)/($AA$19-$AA$18)</f>
        <v>0.11904761904761904</v>
      </c>
      <c r="V1788" s="3">
        <f>(Таблица1[Число нарушений кредитных договоров]-$AA$23)/($AA$24-$AA$23)</f>
        <v>0.14285714285714285</v>
      </c>
      <c r="W1788" s="3">
        <f>Таблица1[[#This Row],[Годовой доход]]/12</f>
        <v>92283</v>
      </c>
      <c r="X1788" s="3">
        <f>Таблица1[[#This Row],[Ежемесячный платеж]]/Таблица1[[#This Row],[Ежем доход]]</f>
        <v>8.3600988264360715E-2</v>
      </c>
      <c r="Y1788" s="3"/>
      <c r="Z1788" s="3"/>
      <c r="AA1788" s="3"/>
      <c r="AB1788" s="3"/>
    </row>
    <row r="1789" spans="1:28" x14ac:dyDescent="0.2">
      <c r="A1789">
        <v>1313</v>
      </c>
      <c r="B1789" t="s">
        <v>1352</v>
      </c>
      <c r="C1789" t="s">
        <v>35</v>
      </c>
      <c r="D1789" t="s">
        <v>19</v>
      </c>
      <c r="E1789" t="s">
        <v>24</v>
      </c>
      <c r="F1789" t="s">
        <v>33</v>
      </c>
      <c r="G1789" t="s">
        <v>25</v>
      </c>
      <c r="H1789" s="1">
        <v>171952</v>
      </c>
      <c r="I1789" s="3">
        <v>729</v>
      </c>
      <c r="J1789" s="3">
        <v>742520</v>
      </c>
      <c r="K1789" s="3">
        <v>13612.74</v>
      </c>
      <c r="L1789" s="2">
        <v>12</v>
      </c>
      <c r="M1789" s="11">
        <v>72</v>
      </c>
      <c r="N1789" s="3">
        <v>8</v>
      </c>
      <c r="O1789" s="3">
        <v>93974</v>
      </c>
      <c r="P1789" s="3">
        <v>165616</v>
      </c>
      <c r="Q1789" s="10">
        <v>1</v>
      </c>
      <c r="R1789" s="3">
        <f>(Таблица1[Размер кредита]-$AA$2)/$AA$3</f>
        <v>-0.78363755571998817</v>
      </c>
      <c r="S1789" s="3">
        <f>(Таблица1[Кредитный рейтинг]-$AA$7)/($AA$8-$AA$7)</f>
        <v>0.97070572569906788</v>
      </c>
      <c r="T1789" s="3">
        <f>(Таблица1[Срок с последнего нарушения кредитного договора (мес,)]-$AA$12)/($AA$13-$AA$12)</f>
        <v>0.81818181818181823</v>
      </c>
      <c r="U1789" s="3">
        <f>(Таблица1[Количество кредитных карт]-$AA$18)/($AA$19-$AA$18)</f>
        <v>0.16666666666666666</v>
      </c>
      <c r="V1789" s="3">
        <f>(Таблица1[Число нарушений кредитных договоров]-$AA$23)/($AA$24-$AA$23)</f>
        <v>0.14285714285714285</v>
      </c>
      <c r="W1789" s="3">
        <f>Таблица1[[#This Row],[Годовой доход]]/12</f>
        <v>61876.666666666664</v>
      </c>
      <c r="X1789" s="3">
        <f>Таблица1[[#This Row],[Ежемесячный платеж]]/Таблица1[[#This Row],[Ежем доход]]</f>
        <v>0.21999795291709315</v>
      </c>
      <c r="Y1789" s="3"/>
      <c r="Z1789" s="3"/>
      <c r="AA1789" s="3"/>
      <c r="AB1789" s="3"/>
    </row>
    <row r="1790" spans="1:28" x14ac:dyDescent="0.2">
      <c r="A1790">
        <v>632</v>
      </c>
      <c r="B1790" t="s">
        <v>673</v>
      </c>
      <c r="C1790" t="s">
        <v>35</v>
      </c>
      <c r="D1790" t="s">
        <v>19</v>
      </c>
      <c r="E1790" t="s">
        <v>63</v>
      </c>
      <c r="F1790" t="s">
        <v>21</v>
      </c>
      <c r="G1790" t="s">
        <v>22</v>
      </c>
      <c r="H1790" s="1">
        <v>220286</v>
      </c>
      <c r="I1790" s="3">
        <v>734</v>
      </c>
      <c r="J1790" s="3">
        <v>1731242</v>
      </c>
      <c r="K1790" s="3">
        <v>29575.4</v>
      </c>
      <c r="L1790" s="2">
        <v>18.5</v>
      </c>
      <c r="M1790" s="11">
        <v>35.265240640000002</v>
      </c>
      <c r="N1790" s="3">
        <v>5</v>
      </c>
      <c r="O1790" s="3">
        <v>105564</v>
      </c>
      <c r="P1790" s="3">
        <v>165198</v>
      </c>
      <c r="Q1790" s="10">
        <v>0</v>
      </c>
      <c r="R1790" s="3">
        <f>(Таблица1[Размер кредита]-$AA$2)/$AA$3</f>
        <v>-0.50845851655837337</v>
      </c>
      <c r="S1790" s="3">
        <f>(Таблица1[Кредитный рейтинг]-$AA$7)/($AA$8-$AA$7)</f>
        <v>0.9773635153129161</v>
      </c>
      <c r="T1790" s="3">
        <f>(Таблица1[Срок с последнего нарушения кредитного договора (мес,)]-$AA$12)/($AA$13-$AA$12)</f>
        <v>0.40074137090909095</v>
      </c>
      <c r="U1790" s="3">
        <f>(Таблица1[Количество кредитных карт]-$AA$18)/($AA$19-$AA$18)</f>
        <v>9.5238095238095233E-2</v>
      </c>
      <c r="V1790" s="3">
        <f>(Таблица1[Число нарушений кредитных договоров]-$AA$23)/($AA$24-$AA$23)</f>
        <v>0</v>
      </c>
      <c r="W1790" s="3">
        <f>Таблица1[[#This Row],[Годовой доход]]/12</f>
        <v>144270.16666666666</v>
      </c>
      <c r="X1790" s="3">
        <f>Таблица1[[#This Row],[Ежемесячный платеж]]/Таблица1[[#This Row],[Ежем доход]]</f>
        <v>0.20500010974779959</v>
      </c>
      <c r="Y1790" s="3"/>
      <c r="Z1790" s="3"/>
      <c r="AA1790" s="3"/>
      <c r="AB1790" s="3"/>
    </row>
    <row r="1791" spans="1:28" x14ac:dyDescent="0.2">
      <c r="A1791">
        <v>1754</v>
      </c>
      <c r="B1791" t="s">
        <v>1792</v>
      </c>
      <c r="C1791" t="s">
        <v>18</v>
      </c>
      <c r="D1791" t="s">
        <v>19</v>
      </c>
      <c r="E1791" t="s">
        <v>47</v>
      </c>
      <c r="F1791" t="s">
        <v>33</v>
      </c>
      <c r="G1791" t="s">
        <v>25</v>
      </c>
      <c r="H1791" s="1">
        <v>222860</v>
      </c>
      <c r="I1791" s="3">
        <v>0</v>
      </c>
      <c r="J1791" s="3">
        <v>1168044</v>
      </c>
      <c r="K1791" s="3">
        <v>9702.5400000000009</v>
      </c>
      <c r="L1791" s="2">
        <v>22</v>
      </c>
      <c r="M1791" s="11">
        <v>72</v>
      </c>
      <c r="N1791" s="3">
        <v>8</v>
      </c>
      <c r="O1791" s="3">
        <v>103740</v>
      </c>
      <c r="P1791" s="3">
        <v>165000</v>
      </c>
      <c r="Q1791" s="10">
        <v>0</v>
      </c>
      <c r="R1791" s="3">
        <f>(Таблица1[Размер кредита]-$AA$2)/$AA$3</f>
        <v>-0.49380401151426373</v>
      </c>
      <c r="S1791" s="3">
        <f>(Таблица1[Кредитный рейтинг]-$AA$7)/($AA$8-$AA$7)</f>
        <v>0</v>
      </c>
      <c r="T1791" s="3">
        <f>(Таблица1[Срок с последнего нарушения кредитного договора (мес,)]-$AA$12)/($AA$13-$AA$12)</f>
        <v>0.81818181818181823</v>
      </c>
      <c r="U1791" s="3">
        <f>(Таблица1[Количество кредитных карт]-$AA$18)/($AA$19-$AA$18)</f>
        <v>0.16666666666666666</v>
      </c>
      <c r="V1791" s="3">
        <f>(Таблица1[Число нарушений кредитных договоров]-$AA$23)/($AA$24-$AA$23)</f>
        <v>0</v>
      </c>
      <c r="W1791" s="3">
        <f>Таблица1[[#This Row],[Годовой доход]]/12</f>
        <v>97337</v>
      </c>
      <c r="X1791" s="3">
        <f>Таблица1[[#This Row],[Ежемесячный платеж]]/Таблица1[[#This Row],[Ежем доход]]</f>
        <v>9.9679875073199309E-2</v>
      </c>
      <c r="Y1791" s="3"/>
      <c r="Z1791" s="3"/>
      <c r="AA1791" s="3"/>
      <c r="AB1791" s="3"/>
    </row>
    <row r="1792" spans="1:28" x14ac:dyDescent="0.2">
      <c r="A1792">
        <v>1609</v>
      </c>
      <c r="B1792" t="s">
        <v>1648</v>
      </c>
      <c r="C1792" t="s">
        <v>18</v>
      </c>
      <c r="D1792" t="s">
        <v>19</v>
      </c>
      <c r="E1792" t="s">
        <v>41</v>
      </c>
      <c r="F1792" t="s">
        <v>33</v>
      </c>
      <c r="G1792" t="s">
        <v>25</v>
      </c>
      <c r="H1792" s="1">
        <v>200706</v>
      </c>
      <c r="I1792" s="3">
        <v>701</v>
      </c>
      <c r="J1792" s="3">
        <v>655899</v>
      </c>
      <c r="K1792" s="3">
        <v>12352.66</v>
      </c>
      <c r="L1792" s="2">
        <v>8.1999999999999993</v>
      </c>
      <c r="M1792" s="11">
        <v>35.265240640000002</v>
      </c>
      <c r="N1792" s="3">
        <v>9</v>
      </c>
      <c r="O1792" s="3">
        <v>50996</v>
      </c>
      <c r="P1792" s="3">
        <v>164934</v>
      </c>
      <c r="Q1792" s="10">
        <v>0</v>
      </c>
      <c r="R1792" s="3">
        <f>(Таблица1[Размер кредита]-$AA$2)/$AA$3</f>
        <v>-0.61993295663749814</v>
      </c>
      <c r="S1792" s="3">
        <f>(Таблица1[Кредитный рейтинг]-$AA$7)/($AA$8-$AA$7)</f>
        <v>0.93342210386151803</v>
      </c>
      <c r="T1792" s="3">
        <f>(Таблица1[Срок с последнего нарушения кредитного договора (мес,)]-$AA$12)/($AA$13-$AA$12)</f>
        <v>0.40074137090909095</v>
      </c>
      <c r="U1792" s="3">
        <f>(Таблица1[Количество кредитных карт]-$AA$18)/($AA$19-$AA$18)</f>
        <v>0.19047619047619047</v>
      </c>
      <c r="V1792" s="3">
        <f>(Таблица1[Число нарушений кредитных договоров]-$AA$23)/($AA$24-$AA$23)</f>
        <v>0</v>
      </c>
      <c r="W1792" s="3">
        <f>Таблица1[[#This Row],[Годовой доход]]/12</f>
        <v>54658.25</v>
      </c>
      <c r="X1792" s="3">
        <f>Таблица1[[#This Row],[Ежемесячный платеж]]/Таблица1[[#This Row],[Ежем доход]]</f>
        <v>0.22599808812027461</v>
      </c>
      <c r="Y1792" s="3"/>
      <c r="Z1792" s="3"/>
      <c r="AA1792" s="3"/>
      <c r="AB1792" s="3"/>
    </row>
    <row r="1793" spans="1:28" x14ac:dyDescent="0.2">
      <c r="A1793">
        <v>1839</v>
      </c>
      <c r="B1793" t="s">
        <v>1876</v>
      </c>
      <c r="C1793" t="s">
        <v>18</v>
      </c>
      <c r="D1793" t="s">
        <v>19</v>
      </c>
      <c r="E1793" t="s">
        <v>69</v>
      </c>
      <c r="F1793" t="s">
        <v>27</v>
      </c>
      <c r="G1793" t="s">
        <v>25</v>
      </c>
      <c r="H1793" s="1">
        <v>131846</v>
      </c>
      <c r="I1793" s="3">
        <v>730</v>
      </c>
      <c r="J1793" s="3">
        <v>1518176</v>
      </c>
      <c r="K1793" s="3">
        <v>14675.6</v>
      </c>
      <c r="L1793" s="2">
        <v>15.6</v>
      </c>
      <c r="M1793" s="11">
        <v>7</v>
      </c>
      <c r="N1793" s="3">
        <v>16</v>
      </c>
      <c r="O1793" s="3">
        <v>118617</v>
      </c>
      <c r="P1793" s="3">
        <v>164890</v>
      </c>
      <c r="Q1793" s="10">
        <v>0</v>
      </c>
      <c r="R1793" s="3">
        <f>(Таблица1[Размер кредита]-$AA$2)/$AA$3</f>
        <v>-1.0119722796123978</v>
      </c>
      <c r="S1793" s="3">
        <f>(Таблица1[Кредитный рейтинг]-$AA$7)/($AA$8-$AA$7)</f>
        <v>0.9720372836218375</v>
      </c>
      <c r="T1793" s="3">
        <f>(Таблица1[Срок с последнего нарушения кредитного договора (мес,)]-$AA$12)/($AA$13-$AA$12)</f>
        <v>7.9545454545454544E-2</v>
      </c>
      <c r="U1793" s="3">
        <f>(Таблица1[Количество кредитных карт]-$AA$18)/($AA$19-$AA$18)</f>
        <v>0.35714285714285715</v>
      </c>
      <c r="V1793" s="3">
        <f>(Таблица1[Число нарушений кредитных договоров]-$AA$23)/($AA$24-$AA$23)</f>
        <v>0</v>
      </c>
      <c r="W1793" s="3">
        <f>Таблица1[[#This Row],[Годовой доход]]/12</f>
        <v>126514.66666666667</v>
      </c>
      <c r="X1793" s="3">
        <f>Таблица1[[#This Row],[Ежемесячный платеж]]/Таблица1[[#This Row],[Ежем доход]]</f>
        <v>0.11599919903884662</v>
      </c>
      <c r="Y1793" s="3"/>
      <c r="Z1793" s="3"/>
      <c r="AA1793" s="3"/>
      <c r="AB1793" s="3"/>
    </row>
    <row r="1794" spans="1:28" x14ac:dyDescent="0.2">
      <c r="A1794">
        <v>44</v>
      </c>
      <c r="B1794" t="s">
        <v>84</v>
      </c>
      <c r="C1794" t="s">
        <v>35</v>
      </c>
      <c r="D1794" t="s">
        <v>19</v>
      </c>
      <c r="E1794" t="s">
        <v>24</v>
      </c>
      <c r="F1794" t="s">
        <v>33</v>
      </c>
      <c r="G1794" t="s">
        <v>25</v>
      </c>
      <c r="H1794" s="1">
        <v>288948</v>
      </c>
      <c r="I1794" s="3">
        <v>712</v>
      </c>
      <c r="J1794" s="3">
        <v>537472</v>
      </c>
      <c r="K1794" s="3">
        <v>5777.9</v>
      </c>
      <c r="L1794" s="2">
        <v>14.8</v>
      </c>
      <c r="M1794" s="11">
        <v>35.265240640000002</v>
      </c>
      <c r="N1794" s="3">
        <v>4</v>
      </c>
      <c r="O1794" s="3">
        <v>132468</v>
      </c>
      <c r="P1794" s="3">
        <v>164406</v>
      </c>
      <c r="Q1794" s="10">
        <v>0</v>
      </c>
      <c r="R1794" s="3">
        <f>(Таблица1[Размер кредита]-$AA$2)/$AA$3</f>
        <v>-0.11754646320225147</v>
      </c>
      <c r="S1794" s="3">
        <f>(Таблица1[Кредитный рейтинг]-$AA$7)/($AA$8-$AA$7)</f>
        <v>0.94806924101198398</v>
      </c>
      <c r="T1794" s="3">
        <f>(Таблица1[Срок с последнего нарушения кредитного договора (мес,)]-$AA$12)/($AA$13-$AA$12)</f>
        <v>0.40074137090909095</v>
      </c>
      <c r="U1794" s="3">
        <f>(Таблица1[Количество кредитных карт]-$AA$18)/($AA$19-$AA$18)</f>
        <v>7.1428571428571425E-2</v>
      </c>
      <c r="V1794" s="3">
        <f>(Таблица1[Число нарушений кредитных договоров]-$AA$23)/($AA$24-$AA$23)</f>
        <v>0</v>
      </c>
      <c r="W1794" s="3">
        <f>Таблица1[[#This Row],[Годовой доход]]/12</f>
        <v>44789.333333333336</v>
      </c>
      <c r="X1794" s="3">
        <f>Таблица1[[#This Row],[Ежемесячный платеж]]/Таблица1[[#This Row],[Ежем доход]]</f>
        <v>0.12900169683257917</v>
      </c>
      <c r="Y1794" s="3"/>
      <c r="Z1794" s="3"/>
      <c r="AA1794" s="3"/>
      <c r="AB1794" s="3"/>
    </row>
    <row r="1795" spans="1:28" x14ac:dyDescent="0.2">
      <c r="A1795">
        <v>570</v>
      </c>
      <c r="B1795" t="s">
        <v>611</v>
      </c>
      <c r="C1795" t="s">
        <v>18</v>
      </c>
      <c r="D1795" t="s">
        <v>19</v>
      </c>
      <c r="E1795" t="s">
        <v>24</v>
      </c>
      <c r="F1795" t="s">
        <v>21</v>
      </c>
      <c r="G1795" t="s">
        <v>39</v>
      </c>
      <c r="H1795" s="1">
        <v>172040</v>
      </c>
      <c r="I1795" s="3">
        <v>748</v>
      </c>
      <c r="J1795" s="3">
        <v>670985</v>
      </c>
      <c r="K1795" s="3">
        <v>10847.48</v>
      </c>
      <c r="L1795" s="2">
        <v>14.7</v>
      </c>
      <c r="M1795" s="11">
        <v>35.265240640000002</v>
      </c>
      <c r="N1795" s="3">
        <v>6</v>
      </c>
      <c r="O1795" s="3">
        <v>12901</v>
      </c>
      <c r="P1795" s="3">
        <v>164186</v>
      </c>
      <c r="Q1795" s="10">
        <v>0</v>
      </c>
      <c r="R1795" s="3">
        <f>(Таблица1[Размер кредита]-$AA$2)/$AA$3</f>
        <v>-0.78313654700053148</v>
      </c>
      <c r="S1795" s="3">
        <f>(Таблица1[Кредитный рейтинг]-$AA$7)/($AA$8-$AA$7)</f>
        <v>0.99600532623169102</v>
      </c>
      <c r="T1795" s="3">
        <f>(Таблица1[Срок с последнего нарушения кредитного договора (мес,)]-$AA$12)/($AA$13-$AA$12)</f>
        <v>0.40074137090909095</v>
      </c>
      <c r="U1795" s="3">
        <f>(Таблица1[Количество кредитных карт]-$AA$18)/($AA$19-$AA$18)</f>
        <v>0.11904761904761904</v>
      </c>
      <c r="V1795" s="3">
        <f>(Таблица1[Число нарушений кредитных договоров]-$AA$23)/($AA$24-$AA$23)</f>
        <v>0</v>
      </c>
      <c r="W1795" s="3">
        <f>Таблица1[[#This Row],[Годовой доход]]/12</f>
        <v>55915.416666666664</v>
      </c>
      <c r="X1795" s="3">
        <f>Таблица1[[#This Row],[Ежемесячный платеж]]/Таблица1[[#This Row],[Ежем доход]]</f>
        <v>0.19399801783944501</v>
      </c>
      <c r="Y1795" s="3"/>
      <c r="Z1795" s="3"/>
      <c r="AA1795" s="3"/>
      <c r="AB1795" s="3"/>
    </row>
    <row r="1796" spans="1:28" x14ac:dyDescent="0.2">
      <c r="A1796">
        <v>581</v>
      </c>
      <c r="B1796" t="s">
        <v>622</v>
      </c>
      <c r="C1796" t="s">
        <v>35</v>
      </c>
      <c r="D1796" t="s">
        <v>19</v>
      </c>
      <c r="E1796" t="s">
        <v>24</v>
      </c>
      <c r="F1796" t="s">
        <v>33</v>
      </c>
      <c r="G1796" t="s">
        <v>25</v>
      </c>
      <c r="H1796" s="1">
        <v>280588</v>
      </c>
      <c r="I1796" s="3">
        <v>0</v>
      </c>
      <c r="J1796" s="3">
        <v>1168044</v>
      </c>
      <c r="K1796" s="3">
        <v>17005.189999999999</v>
      </c>
      <c r="L1796" s="2">
        <v>15</v>
      </c>
      <c r="M1796" s="11">
        <v>35.265240640000002</v>
      </c>
      <c r="N1796" s="3">
        <v>11</v>
      </c>
      <c r="O1796" s="3">
        <v>111226</v>
      </c>
      <c r="P1796" s="3">
        <v>163856</v>
      </c>
      <c r="Q1796" s="10">
        <v>0</v>
      </c>
      <c r="R1796" s="3">
        <f>(Таблица1[Размер кредита]-$AA$2)/$AA$3</f>
        <v>-0.16514229155064183</v>
      </c>
      <c r="S1796" s="3">
        <f>(Таблица1[Кредитный рейтинг]-$AA$7)/($AA$8-$AA$7)</f>
        <v>0</v>
      </c>
      <c r="T1796" s="3">
        <f>(Таблица1[Срок с последнего нарушения кредитного договора (мес,)]-$AA$12)/($AA$13-$AA$12)</f>
        <v>0.40074137090909095</v>
      </c>
      <c r="U1796" s="3">
        <f>(Таблица1[Количество кредитных карт]-$AA$18)/($AA$19-$AA$18)</f>
        <v>0.23809523809523808</v>
      </c>
      <c r="V1796" s="3">
        <f>(Таблица1[Число нарушений кредитных договоров]-$AA$23)/($AA$24-$AA$23)</f>
        <v>0</v>
      </c>
      <c r="W1796" s="3">
        <f>Таблица1[[#This Row],[Годовой доход]]/12</f>
        <v>97337</v>
      </c>
      <c r="X1796" s="3">
        <f>Таблица1[[#This Row],[Ежемесячный платеж]]/Таблица1[[#This Row],[Ежем доход]]</f>
        <v>0.17470427483896153</v>
      </c>
      <c r="Y1796" s="3"/>
      <c r="Z1796" s="3"/>
      <c r="AA1796" s="3"/>
      <c r="AB1796" s="3"/>
    </row>
    <row r="1797" spans="1:28" x14ac:dyDescent="0.2">
      <c r="A1797">
        <v>47</v>
      </c>
      <c r="B1797" t="s">
        <v>87</v>
      </c>
      <c r="C1797" t="s">
        <v>18</v>
      </c>
      <c r="D1797" t="s">
        <v>19</v>
      </c>
      <c r="E1797" t="s">
        <v>24</v>
      </c>
      <c r="F1797" t="s">
        <v>27</v>
      </c>
      <c r="G1797" t="s">
        <v>25</v>
      </c>
      <c r="H1797" s="1">
        <v>129712</v>
      </c>
      <c r="I1797" s="3">
        <v>723</v>
      </c>
      <c r="J1797" s="3">
        <v>1465698</v>
      </c>
      <c r="K1797" s="3">
        <v>18199.150000000001</v>
      </c>
      <c r="L1797" s="2">
        <v>19.399999999999999</v>
      </c>
      <c r="M1797" s="11">
        <v>6</v>
      </c>
      <c r="N1797" s="3">
        <v>34</v>
      </c>
      <c r="O1797" s="3">
        <v>45106</v>
      </c>
      <c r="P1797" s="3">
        <v>163218</v>
      </c>
      <c r="Q1797" s="10">
        <v>1</v>
      </c>
      <c r="R1797" s="3">
        <f>(Таблица1[Размер кредита]-$AA$2)/$AA$3</f>
        <v>-1.0241217410592236</v>
      </c>
      <c r="S1797" s="3">
        <f>(Таблица1[Кредитный рейтинг]-$AA$7)/($AA$8-$AA$7)</f>
        <v>0.96271637816245004</v>
      </c>
      <c r="T1797" s="3">
        <f>(Таблица1[Срок с последнего нарушения кредитного договора (мес,)]-$AA$12)/($AA$13-$AA$12)</f>
        <v>6.8181818181818177E-2</v>
      </c>
      <c r="U1797" s="3">
        <f>(Таблица1[Количество кредитных карт]-$AA$18)/($AA$19-$AA$18)</f>
        <v>0.7857142857142857</v>
      </c>
      <c r="V1797" s="3">
        <f>(Таблица1[Число нарушений кредитных договоров]-$AA$23)/($AA$24-$AA$23)</f>
        <v>0.14285714285714285</v>
      </c>
      <c r="W1797" s="3">
        <f>Таблица1[[#This Row],[Годовой доход]]/12</f>
        <v>122141.5</v>
      </c>
      <c r="X1797" s="3">
        <f>Таблица1[[#This Row],[Ежемесячный платеж]]/Таблица1[[#This Row],[Ежем доход]]</f>
        <v>0.1490005444504939</v>
      </c>
      <c r="Y1797" s="3"/>
      <c r="Z1797" s="3"/>
      <c r="AA1797" s="3"/>
      <c r="AB1797" s="3"/>
    </row>
    <row r="1798" spans="1:28" x14ac:dyDescent="0.2">
      <c r="A1798">
        <v>969</v>
      </c>
      <c r="B1798" t="s">
        <v>1009</v>
      </c>
      <c r="C1798" t="s">
        <v>18</v>
      </c>
      <c r="D1798" t="s">
        <v>19</v>
      </c>
      <c r="E1798" t="s">
        <v>52</v>
      </c>
      <c r="F1798" t="s">
        <v>33</v>
      </c>
      <c r="G1798" t="s">
        <v>25</v>
      </c>
      <c r="H1798" s="1">
        <v>214566</v>
      </c>
      <c r="I1798" s="3">
        <v>694</v>
      </c>
      <c r="J1798" s="3">
        <v>965105</v>
      </c>
      <c r="K1798" s="3">
        <v>8525.11</v>
      </c>
      <c r="L1798" s="2">
        <v>14.8</v>
      </c>
      <c r="M1798" s="11">
        <v>35.265240640000002</v>
      </c>
      <c r="N1798" s="3">
        <v>5</v>
      </c>
      <c r="O1798" s="3">
        <v>127452</v>
      </c>
      <c r="P1798" s="3">
        <v>163064</v>
      </c>
      <c r="Q1798" s="10">
        <v>1</v>
      </c>
      <c r="R1798" s="3">
        <f>(Таблица1[Размер кредита]-$AA$2)/$AA$3</f>
        <v>-0.54102408332306151</v>
      </c>
      <c r="S1798" s="3">
        <f>(Таблица1[Кредитный рейтинг]-$AA$7)/($AA$8-$AA$7)</f>
        <v>0.92410119840213045</v>
      </c>
      <c r="T1798" s="3">
        <f>(Таблица1[Срок с последнего нарушения кредитного договора (мес,)]-$AA$12)/($AA$13-$AA$12)</f>
        <v>0.40074137090909095</v>
      </c>
      <c r="U1798" s="3">
        <f>(Таблица1[Количество кредитных карт]-$AA$18)/($AA$19-$AA$18)</f>
        <v>9.5238095238095233E-2</v>
      </c>
      <c r="V1798" s="3">
        <f>(Таблица1[Число нарушений кредитных договоров]-$AA$23)/($AA$24-$AA$23)</f>
        <v>0.14285714285714285</v>
      </c>
      <c r="W1798" s="3">
        <f>Таблица1[[#This Row],[Годовой доход]]/12</f>
        <v>80425.416666666672</v>
      </c>
      <c r="X1798" s="3">
        <f>Таблица1[[#This Row],[Ежемесячный платеж]]/Таблица1[[#This Row],[Ежем доход]]</f>
        <v>0.10600019686977065</v>
      </c>
      <c r="Y1798" s="3"/>
      <c r="Z1798" s="3"/>
      <c r="AA1798" s="3"/>
      <c r="AB1798" s="3"/>
    </row>
    <row r="1799" spans="1:28" x14ac:dyDescent="0.2">
      <c r="A1799">
        <v>694</v>
      </c>
      <c r="B1799" t="s">
        <v>735</v>
      </c>
      <c r="C1799" t="s">
        <v>35</v>
      </c>
      <c r="D1799" t="s">
        <v>19</v>
      </c>
      <c r="E1799" t="s">
        <v>24</v>
      </c>
      <c r="F1799" t="s">
        <v>21</v>
      </c>
      <c r="G1799" t="s">
        <v>2038</v>
      </c>
      <c r="H1799" s="1">
        <v>77286</v>
      </c>
      <c r="I1799" s="3">
        <v>697</v>
      </c>
      <c r="J1799" s="3">
        <v>1964429</v>
      </c>
      <c r="K1799" s="3">
        <v>13489.24</v>
      </c>
      <c r="L1799" s="2">
        <v>16.7</v>
      </c>
      <c r="M1799" s="11">
        <v>35.265240640000002</v>
      </c>
      <c r="N1799" s="3">
        <v>7</v>
      </c>
      <c r="O1799" s="3">
        <v>128687</v>
      </c>
      <c r="P1799" s="3">
        <v>161260</v>
      </c>
      <c r="Q1799" s="10">
        <v>0</v>
      </c>
      <c r="R1799" s="3">
        <f>(Таблица1[Размер кредита]-$AA$2)/$AA$3</f>
        <v>-1.322597685675577</v>
      </c>
      <c r="S1799" s="3">
        <f>(Таблица1[Кредитный рейтинг]-$AA$7)/($AA$8-$AA$7)</f>
        <v>0.92809587217043943</v>
      </c>
      <c r="T1799" s="3">
        <f>(Таблица1[Срок с последнего нарушения кредитного договора (мес,)]-$AA$12)/($AA$13-$AA$12)</f>
        <v>0.40074137090909095</v>
      </c>
      <c r="U1799" s="3">
        <f>(Таблица1[Количество кредитных карт]-$AA$18)/($AA$19-$AA$18)</f>
        <v>0.14285714285714285</v>
      </c>
      <c r="V1799" s="3">
        <f>(Таблица1[Число нарушений кредитных договоров]-$AA$23)/($AA$24-$AA$23)</f>
        <v>0</v>
      </c>
      <c r="W1799" s="3">
        <f>Таблица1[[#This Row],[Годовой доход]]/12</f>
        <v>163702.41666666666</v>
      </c>
      <c r="X1799" s="3">
        <f>Таблица1[[#This Row],[Ежемесячный платеж]]/Таблица1[[#This Row],[Ежем доход]]</f>
        <v>8.2400982677409057E-2</v>
      </c>
      <c r="Y1799" s="3"/>
      <c r="Z1799" s="3"/>
      <c r="AA1799" s="3"/>
      <c r="AB1799" s="3"/>
    </row>
    <row r="1800" spans="1:28" x14ac:dyDescent="0.2">
      <c r="A1800">
        <v>602</v>
      </c>
      <c r="B1800" t="s">
        <v>643</v>
      </c>
      <c r="C1800" t="s">
        <v>18</v>
      </c>
      <c r="D1800" t="s">
        <v>19</v>
      </c>
      <c r="E1800" t="s">
        <v>63</v>
      </c>
      <c r="F1800" t="s">
        <v>27</v>
      </c>
      <c r="G1800" t="s">
        <v>102</v>
      </c>
      <c r="H1800" s="1">
        <v>77000</v>
      </c>
      <c r="I1800" s="3">
        <v>711</v>
      </c>
      <c r="J1800" s="3">
        <v>674044</v>
      </c>
      <c r="K1800" s="3">
        <v>9942.32</v>
      </c>
      <c r="L1800" s="2">
        <v>20.2</v>
      </c>
      <c r="M1800" s="11">
        <v>35.265240640000002</v>
      </c>
      <c r="N1800" s="3">
        <v>5</v>
      </c>
      <c r="O1800" s="3">
        <v>70794</v>
      </c>
      <c r="P1800" s="3">
        <v>160710</v>
      </c>
      <c r="Q1800" s="10">
        <v>1</v>
      </c>
      <c r="R1800" s="3">
        <f>(Таблица1[Размер кредита]-$AA$2)/$AA$3</f>
        <v>-1.3242259640138114</v>
      </c>
      <c r="S1800" s="3">
        <f>(Таблица1[Кредитный рейтинг]-$AA$7)/($AA$8-$AA$7)</f>
        <v>0.94673768308921435</v>
      </c>
      <c r="T1800" s="3">
        <f>(Таблица1[Срок с последнего нарушения кредитного договора (мес,)]-$AA$12)/($AA$13-$AA$12)</f>
        <v>0.40074137090909095</v>
      </c>
      <c r="U1800" s="3">
        <f>(Таблица1[Количество кредитных карт]-$AA$18)/($AA$19-$AA$18)</f>
        <v>9.5238095238095233E-2</v>
      </c>
      <c r="V1800" s="3">
        <f>(Таблица1[Число нарушений кредитных договоров]-$AA$23)/($AA$24-$AA$23)</f>
        <v>0.14285714285714285</v>
      </c>
      <c r="W1800" s="3">
        <f>Таблица1[[#This Row],[Годовой доход]]/12</f>
        <v>56170.333333333336</v>
      </c>
      <c r="X1800" s="3">
        <f>Таблица1[[#This Row],[Ежемесячный платеж]]/Таблица1[[#This Row],[Ежем доход]]</f>
        <v>0.17700304431164729</v>
      </c>
      <c r="Y1800" s="3"/>
      <c r="Z1800" s="3"/>
      <c r="AA1800" s="3"/>
      <c r="AB1800" s="3"/>
    </row>
    <row r="1801" spans="1:28" x14ac:dyDescent="0.2">
      <c r="A1801">
        <v>458</v>
      </c>
      <c r="B1801" t="s">
        <v>499</v>
      </c>
      <c r="C1801" t="s">
        <v>35</v>
      </c>
      <c r="D1801" t="s">
        <v>19</v>
      </c>
      <c r="E1801" t="s">
        <v>63</v>
      </c>
      <c r="F1801" t="s">
        <v>33</v>
      </c>
      <c r="G1801" t="s">
        <v>25</v>
      </c>
      <c r="H1801" s="1">
        <v>131934</v>
      </c>
      <c r="I1801" s="3">
        <v>717</v>
      </c>
      <c r="J1801" s="3">
        <v>531734</v>
      </c>
      <c r="K1801" s="3">
        <v>16395.099999999999</v>
      </c>
      <c r="L1801" s="2">
        <v>8.4</v>
      </c>
      <c r="M1801" s="11">
        <v>35.265240640000002</v>
      </c>
      <c r="N1801" s="3">
        <v>9</v>
      </c>
      <c r="O1801" s="3">
        <v>120612</v>
      </c>
      <c r="P1801" s="3">
        <v>160512</v>
      </c>
      <c r="Q1801" s="10">
        <v>0</v>
      </c>
      <c r="R1801" s="3">
        <f>(Таблица1[Размер кредита]-$AA$2)/$AA$3</f>
        <v>-1.011471270892941</v>
      </c>
      <c r="S1801" s="3">
        <f>(Таблица1[Кредитный рейтинг]-$AA$7)/($AA$8-$AA$7)</f>
        <v>0.9547270306258322</v>
      </c>
      <c r="T1801" s="3">
        <f>(Таблица1[Срок с последнего нарушения кредитного договора (мес,)]-$AA$12)/($AA$13-$AA$12)</f>
        <v>0.40074137090909095</v>
      </c>
      <c r="U1801" s="3">
        <f>(Таблица1[Количество кредитных карт]-$AA$18)/($AA$19-$AA$18)</f>
        <v>0.19047619047619047</v>
      </c>
      <c r="V1801" s="3">
        <f>(Таблица1[Число нарушений кредитных договоров]-$AA$23)/($AA$24-$AA$23)</f>
        <v>0</v>
      </c>
      <c r="W1801" s="3">
        <f>Таблица1[[#This Row],[Годовой доход]]/12</f>
        <v>44311.166666666664</v>
      </c>
      <c r="X1801" s="3">
        <f>Таблица1[[#This Row],[Ежемесячный платеж]]/Таблица1[[#This Row],[Ежем доход]]</f>
        <v>0.36999928535696419</v>
      </c>
      <c r="Y1801" s="3"/>
      <c r="Z1801" s="3"/>
      <c r="AA1801" s="3"/>
      <c r="AB1801" s="3"/>
    </row>
    <row r="1802" spans="1:28" x14ac:dyDescent="0.2">
      <c r="A1802">
        <v>1571</v>
      </c>
      <c r="B1802" t="s">
        <v>1610</v>
      </c>
      <c r="C1802" t="s">
        <v>18</v>
      </c>
      <c r="D1802" t="s">
        <v>19</v>
      </c>
      <c r="E1802" t="s">
        <v>52</v>
      </c>
      <c r="F1802" t="s">
        <v>27</v>
      </c>
      <c r="G1802" t="s">
        <v>25</v>
      </c>
      <c r="H1802" s="1">
        <v>68244</v>
      </c>
      <c r="I1802" s="3">
        <v>740</v>
      </c>
      <c r="J1802" s="3">
        <v>1871310</v>
      </c>
      <c r="K1802" s="3">
        <v>2744.74</v>
      </c>
      <c r="L1802" s="2">
        <v>20.7</v>
      </c>
      <c r="M1802" s="11">
        <v>14</v>
      </c>
      <c r="N1802" s="3">
        <v>6</v>
      </c>
      <c r="O1802" s="3">
        <v>64125</v>
      </c>
      <c r="P1802" s="3">
        <v>160380</v>
      </c>
      <c r="Q1802" s="10">
        <v>1</v>
      </c>
      <c r="R1802" s="3">
        <f>(Таблица1[Размер кредита]-$AA$2)/$AA$3</f>
        <v>-1.3740763315997571</v>
      </c>
      <c r="S1802" s="3">
        <f>(Таблица1[Кредитный рейтинг]-$AA$7)/($AA$8-$AA$7)</f>
        <v>0.98535286284953394</v>
      </c>
      <c r="T1802" s="3">
        <f>(Таблица1[Срок с последнего нарушения кредитного договора (мес,)]-$AA$12)/($AA$13-$AA$12)</f>
        <v>0.15909090909090909</v>
      </c>
      <c r="U1802" s="3">
        <f>(Таблица1[Количество кредитных карт]-$AA$18)/($AA$19-$AA$18)</f>
        <v>0.11904761904761904</v>
      </c>
      <c r="V1802" s="3">
        <f>(Таблица1[Число нарушений кредитных договоров]-$AA$23)/($AA$24-$AA$23)</f>
        <v>0.14285714285714285</v>
      </c>
      <c r="W1802" s="3">
        <f>Таблица1[[#This Row],[Годовой доход]]/12</f>
        <v>155942.5</v>
      </c>
      <c r="X1802" s="3">
        <f>Таблица1[[#This Row],[Ежемесячный платеж]]/Таблица1[[#This Row],[Ежем доход]]</f>
        <v>1.7600974718245507E-2</v>
      </c>
      <c r="Y1802" s="3"/>
      <c r="Z1802" s="3"/>
      <c r="AA1802" s="3"/>
      <c r="AB1802" s="3"/>
    </row>
    <row r="1803" spans="1:28" x14ac:dyDescent="0.2">
      <c r="A1803">
        <v>753</v>
      </c>
      <c r="B1803" t="s">
        <v>794</v>
      </c>
      <c r="C1803" t="s">
        <v>18</v>
      </c>
      <c r="D1803" t="s">
        <v>19</v>
      </c>
      <c r="E1803" t="s">
        <v>63</v>
      </c>
      <c r="F1803" t="s">
        <v>27</v>
      </c>
      <c r="G1803" t="s">
        <v>25</v>
      </c>
      <c r="H1803" s="1">
        <v>162074</v>
      </c>
      <c r="I1803" s="3">
        <v>712</v>
      </c>
      <c r="J1803" s="3">
        <v>583224</v>
      </c>
      <c r="K1803" s="3">
        <v>4665.83</v>
      </c>
      <c r="L1803" s="2">
        <v>23.1</v>
      </c>
      <c r="M1803" s="11">
        <v>35.265240640000002</v>
      </c>
      <c r="N1803" s="3">
        <v>6</v>
      </c>
      <c r="O1803" s="3">
        <v>128231</v>
      </c>
      <c r="P1803" s="3">
        <v>159830</v>
      </c>
      <c r="Q1803" s="10">
        <v>0</v>
      </c>
      <c r="R1803" s="3">
        <f>(Таблица1[Размер кредита]-$AA$2)/$AA$3</f>
        <v>-0.83987578447900735</v>
      </c>
      <c r="S1803" s="3">
        <f>(Таблица1[Кредитный рейтинг]-$AA$7)/($AA$8-$AA$7)</f>
        <v>0.94806924101198398</v>
      </c>
      <c r="T1803" s="3">
        <f>(Таблица1[Срок с последнего нарушения кредитного договора (мес,)]-$AA$12)/($AA$13-$AA$12)</f>
        <v>0.40074137090909095</v>
      </c>
      <c r="U1803" s="3">
        <f>(Таблица1[Количество кредитных карт]-$AA$18)/($AA$19-$AA$18)</f>
        <v>0.11904761904761904</v>
      </c>
      <c r="V1803" s="3">
        <f>(Таблица1[Число нарушений кредитных договоров]-$AA$23)/($AA$24-$AA$23)</f>
        <v>0</v>
      </c>
      <c r="W1803" s="3">
        <f>Таблица1[[#This Row],[Годовой доход]]/12</f>
        <v>48602</v>
      </c>
      <c r="X1803" s="3">
        <f>Таблица1[[#This Row],[Ежемесячный платеж]]/Таблица1[[#This Row],[Ежем доход]]</f>
        <v>9.6000781860828777E-2</v>
      </c>
      <c r="Y1803" s="3"/>
      <c r="Z1803" s="3"/>
      <c r="AA1803" s="3"/>
      <c r="AB1803" s="3"/>
    </row>
    <row r="1804" spans="1:28" x14ac:dyDescent="0.2">
      <c r="A1804">
        <v>1268</v>
      </c>
      <c r="B1804" t="s">
        <v>1307</v>
      </c>
      <c r="C1804" t="s">
        <v>18</v>
      </c>
      <c r="D1804" t="s">
        <v>19</v>
      </c>
      <c r="E1804" t="s">
        <v>30</v>
      </c>
      <c r="F1804" t="s">
        <v>21</v>
      </c>
      <c r="G1804" t="s">
        <v>25</v>
      </c>
      <c r="H1804" s="1">
        <v>152746</v>
      </c>
      <c r="I1804" s="3">
        <v>699</v>
      </c>
      <c r="J1804" s="3">
        <v>1225006</v>
      </c>
      <c r="K1804" s="3">
        <v>10718.66</v>
      </c>
      <c r="L1804" s="2">
        <v>13.8</v>
      </c>
      <c r="M1804" s="11">
        <v>35.265240640000002</v>
      </c>
      <c r="N1804" s="3">
        <v>12</v>
      </c>
      <c r="O1804" s="3">
        <v>103968</v>
      </c>
      <c r="P1804" s="3">
        <v>159258</v>
      </c>
      <c r="Q1804" s="10">
        <v>1</v>
      </c>
      <c r="R1804" s="3">
        <f>(Таблица1[Размер кредита]-$AA$2)/$AA$3</f>
        <v>-0.89298270874142183</v>
      </c>
      <c r="S1804" s="3">
        <f>(Таблица1[Кредитный рейтинг]-$AA$7)/($AA$8-$AA$7)</f>
        <v>0.93075898801597867</v>
      </c>
      <c r="T1804" s="3">
        <f>(Таблица1[Срок с последнего нарушения кредитного договора (мес,)]-$AA$12)/($AA$13-$AA$12)</f>
        <v>0.40074137090909095</v>
      </c>
      <c r="U1804" s="3">
        <f>(Таблица1[Количество кредитных карт]-$AA$18)/($AA$19-$AA$18)</f>
        <v>0.26190476190476192</v>
      </c>
      <c r="V1804" s="3">
        <f>(Таблица1[Число нарушений кредитных договоров]-$AA$23)/($AA$24-$AA$23)</f>
        <v>0.14285714285714285</v>
      </c>
      <c r="W1804" s="3">
        <f>Таблица1[[#This Row],[Годовой доход]]/12</f>
        <v>102083.83333333333</v>
      </c>
      <c r="X1804" s="3">
        <f>Таблица1[[#This Row],[Ежемесячный платеж]]/Таблица1[[#This Row],[Ежем доход]]</f>
        <v>0.10499860408846977</v>
      </c>
      <c r="Y1804" s="3"/>
      <c r="Z1804" s="3"/>
      <c r="AA1804" s="3"/>
      <c r="AB1804" s="3"/>
    </row>
    <row r="1805" spans="1:28" x14ac:dyDescent="0.2">
      <c r="A1805">
        <v>466</v>
      </c>
      <c r="B1805" t="s">
        <v>507</v>
      </c>
      <c r="C1805" t="s">
        <v>18</v>
      </c>
      <c r="D1805" t="s">
        <v>19</v>
      </c>
      <c r="E1805" t="s">
        <v>24</v>
      </c>
      <c r="F1805" t="s">
        <v>21</v>
      </c>
      <c r="G1805" t="s">
        <v>25</v>
      </c>
      <c r="H1805" s="1">
        <v>298166</v>
      </c>
      <c r="I1805" s="3">
        <v>717</v>
      </c>
      <c r="J1805" s="3">
        <v>2247396</v>
      </c>
      <c r="K1805" s="3">
        <v>35583.769999999997</v>
      </c>
      <c r="L1805" s="2">
        <v>19.5</v>
      </c>
      <c r="M1805" s="11">
        <v>35.265240640000002</v>
      </c>
      <c r="N1805" s="3">
        <v>22</v>
      </c>
      <c r="O1805" s="3">
        <v>50825</v>
      </c>
      <c r="P1805" s="3">
        <v>159060</v>
      </c>
      <c r="Q1805" s="10">
        <v>1</v>
      </c>
      <c r="R1805" s="3">
        <f>(Таблица1[Размер кредита]-$AA$2)/$AA$3</f>
        <v>-6.506579983915789E-2</v>
      </c>
      <c r="S1805" s="3">
        <f>(Таблица1[Кредитный рейтинг]-$AA$7)/($AA$8-$AA$7)</f>
        <v>0.9547270306258322</v>
      </c>
      <c r="T1805" s="3">
        <f>(Таблица1[Срок с последнего нарушения кредитного договора (мес,)]-$AA$12)/($AA$13-$AA$12)</f>
        <v>0.40074137090909095</v>
      </c>
      <c r="U1805" s="3">
        <f>(Таблица1[Количество кредитных карт]-$AA$18)/($AA$19-$AA$18)</f>
        <v>0.5</v>
      </c>
      <c r="V1805" s="3">
        <f>(Таблица1[Число нарушений кредитных договоров]-$AA$23)/($AA$24-$AA$23)</f>
        <v>0.14285714285714285</v>
      </c>
      <c r="W1805" s="3">
        <f>Таблица1[[#This Row],[Годовой доход]]/12</f>
        <v>187283</v>
      </c>
      <c r="X1805" s="3">
        <f>Таблица1[[#This Row],[Ежемесячный платеж]]/Таблица1[[#This Row],[Ежем доход]]</f>
        <v>0.18999999999999997</v>
      </c>
      <c r="Y1805" s="3"/>
      <c r="Z1805" s="3"/>
      <c r="AA1805" s="3"/>
      <c r="AB1805" s="3"/>
    </row>
    <row r="1806" spans="1:28" x14ac:dyDescent="0.2">
      <c r="A1806">
        <v>1545</v>
      </c>
      <c r="B1806" t="s">
        <v>1584</v>
      </c>
      <c r="C1806" t="s">
        <v>18</v>
      </c>
      <c r="D1806" t="s">
        <v>19</v>
      </c>
      <c r="E1806" t="s">
        <v>63</v>
      </c>
      <c r="F1806" t="s">
        <v>33</v>
      </c>
      <c r="G1806" t="s">
        <v>25</v>
      </c>
      <c r="H1806" s="1">
        <v>86218</v>
      </c>
      <c r="I1806" s="3">
        <v>720</v>
      </c>
      <c r="J1806" s="3">
        <v>468255</v>
      </c>
      <c r="K1806" s="3">
        <v>12721.07</v>
      </c>
      <c r="L1806" s="2">
        <v>13.9</v>
      </c>
      <c r="M1806" s="11">
        <v>35.265240640000002</v>
      </c>
      <c r="N1806" s="3">
        <v>6</v>
      </c>
      <c r="O1806" s="3">
        <v>27322</v>
      </c>
      <c r="P1806" s="3">
        <v>158202</v>
      </c>
      <c r="Q1806" s="10">
        <v>1</v>
      </c>
      <c r="R1806" s="3">
        <f>(Таблица1[Размер кредита]-$AA$2)/$AA$3</f>
        <v>-1.2717453006507178</v>
      </c>
      <c r="S1806" s="3">
        <f>(Таблица1[Кредитный рейтинг]-$AA$7)/($AA$8-$AA$7)</f>
        <v>0.95872170439414117</v>
      </c>
      <c r="T1806" s="3">
        <f>(Таблица1[Срок с последнего нарушения кредитного договора (мес,)]-$AA$12)/($AA$13-$AA$12)</f>
        <v>0.40074137090909095</v>
      </c>
      <c r="U1806" s="3">
        <f>(Таблица1[Количество кредитных карт]-$AA$18)/($AA$19-$AA$18)</f>
        <v>0.11904761904761904</v>
      </c>
      <c r="V1806" s="3">
        <f>(Таблица1[Число нарушений кредитных договоров]-$AA$23)/($AA$24-$AA$23)</f>
        <v>0.14285714285714285</v>
      </c>
      <c r="W1806" s="3">
        <f>Таблица1[[#This Row],[Годовой доход]]/12</f>
        <v>39021.25</v>
      </c>
      <c r="X1806" s="3">
        <f>Таблица1[[#This Row],[Ежемесячный платеж]]/Таблица1[[#This Row],[Ежем доход]]</f>
        <v>0.32600365185636032</v>
      </c>
      <c r="Y1806" s="3"/>
      <c r="Z1806" s="3"/>
      <c r="AA1806" s="3"/>
      <c r="AB1806" s="3"/>
    </row>
    <row r="1807" spans="1:28" x14ac:dyDescent="0.2">
      <c r="A1807">
        <v>1640</v>
      </c>
      <c r="B1807" t="s">
        <v>1678</v>
      </c>
      <c r="C1807" t="s">
        <v>18</v>
      </c>
      <c r="D1807" t="s">
        <v>19</v>
      </c>
      <c r="E1807" t="s">
        <v>47</v>
      </c>
      <c r="F1807" t="s">
        <v>21</v>
      </c>
      <c r="G1807" t="s">
        <v>25</v>
      </c>
      <c r="H1807" s="1">
        <v>109890</v>
      </c>
      <c r="I1807" s="3">
        <v>718</v>
      </c>
      <c r="J1807" s="3">
        <v>778145</v>
      </c>
      <c r="K1807" s="3">
        <v>6056.63</v>
      </c>
      <c r="L1807" s="2">
        <v>15.1</v>
      </c>
      <c r="M1807" s="11">
        <v>8</v>
      </c>
      <c r="N1807" s="3">
        <v>8</v>
      </c>
      <c r="O1807" s="3">
        <v>75962</v>
      </c>
      <c r="P1807" s="3">
        <v>158180</v>
      </c>
      <c r="Q1807" s="10">
        <v>0</v>
      </c>
      <c r="R1807" s="3">
        <f>(Таблица1[Размер кредита]-$AA$2)/$AA$3</f>
        <v>-1.1369739551168545</v>
      </c>
      <c r="S1807" s="3">
        <f>(Таблица1[Кредитный рейтинг]-$AA$7)/($AA$8-$AA$7)</f>
        <v>0.95605858854860182</v>
      </c>
      <c r="T1807" s="3">
        <f>(Таблица1[Срок с последнего нарушения кредитного договора (мес,)]-$AA$12)/($AA$13-$AA$12)</f>
        <v>9.0909090909090912E-2</v>
      </c>
      <c r="U1807" s="3">
        <f>(Таблица1[Количество кредитных карт]-$AA$18)/($AA$19-$AA$18)</f>
        <v>0.16666666666666666</v>
      </c>
      <c r="V1807" s="3">
        <f>(Таблица1[Число нарушений кредитных договоров]-$AA$23)/($AA$24-$AA$23)</f>
        <v>0</v>
      </c>
      <c r="W1807" s="3">
        <f>Таблица1[[#This Row],[Годовой доход]]/12</f>
        <v>64845.416666666664</v>
      </c>
      <c r="X1807" s="3">
        <f>Таблица1[[#This Row],[Ежемесячный платеж]]/Таблица1[[#This Row],[Ежем доход]]</f>
        <v>9.3401049932853142E-2</v>
      </c>
      <c r="Y1807" s="3"/>
      <c r="Z1807" s="3"/>
      <c r="AA1807" s="3"/>
      <c r="AB1807" s="3"/>
    </row>
    <row r="1808" spans="1:28" x14ac:dyDescent="0.2">
      <c r="A1808">
        <v>1530</v>
      </c>
      <c r="B1808" t="s">
        <v>1569</v>
      </c>
      <c r="C1808" t="s">
        <v>35</v>
      </c>
      <c r="D1808" t="s">
        <v>19</v>
      </c>
      <c r="E1808" t="s">
        <v>63</v>
      </c>
      <c r="F1808" t="s">
        <v>33</v>
      </c>
      <c r="G1808" t="s">
        <v>25</v>
      </c>
      <c r="H1808" s="1">
        <v>117876</v>
      </c>
      <c r="I1808" s="3">
        <v>0</v>
      </c>
      <c r="J1808" s="3">
        <v>1168044</v>
      </c>
      <c r="K1808" s="3">
        <v>11014.3</v>
      </c>
      <c r="L1808" s="2">
        <v>5</v>
      </c>
      <c r="M1808" s="11">
        <v>37</v>
      </c>
      <c r="N1808" s="3">
        <v>5</v>
      </c>
      <c r="O1808" s="3">
        <v>63935</v>
      </c>
      <c r="P1808" s="3">
        <v>157872</v>
      </c>
      <c r="Q1808" s="10">
        <v>0</v>
      </c>
      <c r="R1808" s="3">
        <f>(Таблица1[Размер кредита]-$AA$2)/$AA$3</f>
        <v>-1.0915074138261553</v>
      </c>
      <c r="S1808" s="3">
        <f>(Таблица1[Кредитный рейтинг]-$AA$7)/($AA$8-$AA$7)</f>
        <v>0</v>
      </c>
      <c r="T1808" s="3">
        <f>(Таблица1[Срок с последнего нарушения кредитного договора (мес,)]-$AA$12)/($AA$13-$AA$12)</f>
        <v>0.42045454545454547</v>
      </c>
      <c r="U1808" s="3">
        <f>(Таблица1[Количество кредитных карт]-$AA$18)/($AA$19-$AA$18)</f>
        <v>9.5238095238095233E-2</v>
      </c>
      <c r="V1808" s="3">
        <f>(Таблица1[Число нарушений кредитных договоров]-$AA$23)/($AA$24-$AA$23)</f>
        <v>0</v>
      </c>
      <c r="W1808" s="3">
        <f>Таблица1[[#This Row],[Годовой доход]]/12</f>
        <v>97337</v>
      </c>
      <c r="X1808" s="3">
        <f>Таблица1[[#This Row],[Ежемесячный платеж]]/Таблица1[[#This Row],[Ежем доход]]</f>
        <v>0.11315635369900448</v>
      </c>
      <c r="Y1808" s="3"/>
      <c r="Z1808" s="3"/>
      <c r="AA1808" s="3"/>
      <c r="AB1808" s="3"/>
    </row>
    <row r="1809" spans="1:28" x14ac:dyDescent="0.2">
      <c r="A1809">
        <v>1970</v>
      </c>
      <c r="B1809" t="s">
        <v>2006</v>
      </c>
      <c r="C1809" t="s">
        <v>18</v>
      </c>
      <c r="D1809" t="s">
        <v>19</v>
      </c>
      <c r="E1809" t="s">
        <v>24</v>
      </c>
      <c r="F1809" t="s">
        <v>33</v>
      </c>
      <c r="G1809" t="s">
        <v>25</v>
      </c>
      <c r="H1809" s="1">
        <v>206756</v>
      </c>
      <c r="I1809" s="3">
        <v>726</v>
      </c>
      <c r="J1809" s="3">
        <v>529872</v>
      </c>
      <c r="K1809" s="3">
        <v>12981.75</v>
      </c>
      <c r="L1809" s="2">
        <v>15.2</v>
      </c>
      <c r="M1809" s="11">
        <v>35.265240640000002</v>
      </c>
      <c r="N1809" s="3">
        <v>6</v>
      </c>
      <c r="O1809" s="3">
        <v>120859</v>
      </c>
      <c r="P1809" s="3">
        <v>157586</v>
      </c>
      <c r="Q1809" s="10">
        <v>0</v>
      </c>
      <c r="R1809" s="3">
        <f>(Таблица1[Размер кредита]-$AA$2)/$AA$3</f>
        <v>-0.5854886071748473</v>
      </c>
      <c r="S1809" s="3">
        <f>(Таблица1[Кредитный рейтинг]-$AA$7)/($AA$8-$AA$7)</f>
        <v>0.96671105193075901</v>
      </c>
      <c r="T1809" s="3">
        <f>(Таблица1[Срок с последнего нарушения кредитного договора (мес,)]-$AA$12)/($AA$13-$AA$12)</f>
        <v>0.40074137090909095</v>
      </c>
      <c r="U1809" s="3">
        <f>(Таблица1[Количество кредитных карт]-$AA$18)/($AA$19-$AA$18)</f>
        <v>0.11904761904761904</v>
      </c>
      <c r="V1809" s="3">
        <f>(Таблица1[Число нарушений кредитных договоров]-$AA$23)/($AA$24-$AA$23)</f>
        <v>0</v>
      </c>
      <c r="W1809" s="3">
        <f>Таблица1[[#This Row],[Годовой доход]]/12</f>
        <v>44156</v>
      </c>
      <c r="X1809" s="3">
        <f>Таблица1[[#This Row],[Ежемесячный платеж]]/Таблица1[[#This Row],[Ежем доход]]</f>
        <v>0.29399741824440617</v>
      </c>
      <c r="Y1809" s="3"/>
      <c r="Z1809" s="3"/>
      <c r="AA1809" s="3"/>
      <c r="AB1809" s="3"/>
    </row>
    <row r="1810" spans="1:28" x14ac:dyDescent="0.2">
      <c r="A1810">
        <v>262</v>
      </c>
      <c r="B1810" t="s">
        <v>304</v>
      </c>
      <c r="C1810" t="s">
        <v>18</v>
      </c>
      <c r="D1810" t="s">
        <v>29</v>
      </c>
      <c r="E1810" t="s">
        <v>24</v>
      </c>
      <c r="F1810" t="s">
        <v>21</v>
      </c>
      <c r="G1810" t="s">
        <v>25</v>
      </c>
      <c r="H1810" s="1">
        <v>448272</v>
      </c>
      <c r="I1810" s="3">
        <v>716</v>
      </c>
      <c r="J1810" s="3">
        <v>1045285</v>
      </c>
      <c r="K1810" s="3">
        <v>16289.08</v>
      </c>
      <c r="L1810" s="2">
        <v>23</v>
      </c>
      <c r="M1810" s="11">
        <v>24</v>
      </c>
      <c r="N1810" s="3">
        <v>7</v>
      </c>
      <c r="O1810" s="3">
        <v>115558</v>
      </c>
      <c r="P1810" s="3">
        <v>157432</v>
      </c>
      <c r="Q1810" s="10">
        <v>0</v>
      </c>
      <c r="R1810" s="3">
        <f>(Таблица1[Размер кредита]-$AA$2)/$AA$3</f>
        <v>0.78952982337417743</v>
      </c>
      <c r="S1810" s="3">
        <f>(Таблица1[Кредитный рейтинг]-$AA$7)/($AA$8-$AA$7)</f>
        <v>0.95339547270306257</v>
      </c>
      <c r="T1810" s="3">
        <f>(Таблица1[Срок с последнего нарушения кредитного договора (мес,)]-$AA$12)/($AA$13-$AA$12)</f>
        <v>0.27272727272727271</v>
      </c>
      <c r="U1810" s="3">
        <f>(Таблица1[Количество кредитных карт]-$AA$18)/($AA$19-$AA$18)</f>
        <v>0.14285714285714285</v>
      </c>
      <c r="V1810" s="3">
        <f>(Таблица1[Число нарушений кредитных договоров]-$AA$23)/($AA$24-$AA$23)</f>
        <v>0</v>
      </c>
      <c r="W1810" s="3">
        <f>Таблица1[[#This Row],[Годовой доход]]/12</f>
        <v>87107.083333333328</v>
      </c>
      <c r="X1810" s="3">
        <f>Таблица1[[#This Row],[Ежемесячный платеж]]/Таблица1[[#This Row],[Ежем доход]]</f>
        <v>0.18700063619012997</v>
      </c>
      <c r="Y1810" s="3"/>
      <c r="Z1810" s="3"/>
      <c r="AA1810" s="3"/>
      <c r="AB1810" s="3"/>
    </row>
    <row r="1811" spans="1:28" x14ac:dyDescent="0.2">
      <c r="A1811">
        <v>822</v>
      </c>
      <c r="B1811" t="s">
        <v>863</v>
      </c>
      <c r="C1811" t="s">
        <v>18</v>
      </c>
      <c r="D1811" t="s">
        <v>19</v>
      </c>
      <c r="E1811" t="s">
        <v>63</v>
      </c>
      <c r="F1811" t="s">
        <v>33</v>
      </c>
      <c r="G1811" t="s">
        <v>2040</v>
      </c>
      <c r="H1811" s="1">
        <v>130944</v>
      </c>
      <c r="I1811" s="3">
        <v>720</v>
      </c>
      <c r="J1811" s="3">
        <v>584288</v>
      </c>
      <c r="K1811" s="3">
        <v>9835.5400000000009</v>
      </c>
      <c r="L1811" s="2">
        <v>10.4</v>
      </c>
      <c r="M1811" s="11">
        <v>35.265240640000002</v>
      </c>
      <c r="N1811" s="3">
        <v>4</v>
      </c>
      <c r="O1811" s="3">
        <v>43605</v>
      </c>
      <c r="P1811" s="3">
        <v>157322</v>
      </c>
      <c r="Q1811" s="10">
        <v>0</v>
      </c>
      <c r="R1811" s="3">
        <f>(Таблица1[Размер кредита]-$AA$2)/$AA$3</f>
        <v>-1.0171076189868293</v>
      </c>
      <c r="S1811" s="3">
        <f>(Таблица1[Кредитный рейтинг]-$AA$7)/($AA$8-$AA$7)</f>
        <v>0.95872170439414117</v>
      </c>
      <c r="T1811" s="3">
        <f>(Таблица1[Срок с последнего нарушения кредитного договора (мес,)]-$AA$12)/($AA$13-$AA$12)</f>
        <v>0.40074137090909095</v>
      </c>
      <c r="U1811" s="3">
        <f>(Таблица1[Количество кредитных карт]-$AA$18)/($AA$19-$AA$18)</f>
        <v>7.1428571428571425E-2</v>
      </c>
      <c r="V1811" s="3">
        <f>(Таблица1[Число нарушений кредитных договоров]-$AA$23)/($AA$24-$AA$23)</f>
        <v>0</v>
      </c>
      <c r="W1811" s="3">
        <f>Таблица1[[#This Row],[Годовой доход]]/12</f>
        <v>48690.666666666664</v>
      </c>
      <c r="X1811" s="3">
        <f>Таблица1[[#This Row],[Ежемесячный платеж]]/Таблица1[[#This Row],[Ежем доход]]</f>
        <v>0.2020005202913632</v>
      </c>
      <c r="Y1811" s="3"/>
      <c r="Z1811" s="3"/>
      <c r="AA1811" s="3"/>
      <c r="AB1811" s="3"/>
    </row>
    <row r="1812" spans="1:28" x14ac:dyDescent="0.2">
      <c r="A1812">
        <v>719</v>
      </c>
      <c r="B1812" t="s">
        <v>760</v>
      </c>
      <c r="C1812" t="s">
        <v>35</v>
      </c>
      <c r="D1812" t="s">
        <v>19</v>
      </c>
      <c r="E1812" t="s">
        <v>37</v>
      </c>
      <c r="F1812" t="s">
        <v>33</v>
      </c>
      <c r="G1812" t="s">
        <v>70</v>
      </c>
      <c r="H1812" s="1">
        <v>174306</v>
      </c>
      <c r="I1812" s="3">
        <v>0</v>
      </c>
      <c r="J1812" s="3">
        <v>1168044</v>
      </c>
      <c r="K1812" s="3">
        <v>7113.03</v>
      </c>
      <c r="L1812" s="2">
        <v>19.399999999999999</v>
      </c>
      <c r="M1812" s="11">
        <v>24</v>
      </c>
      <c r="N1812" s="3">
        <v>10</v>
      </c>
      <c r="O1812" s="3">
        <v>103208</v>
      </c>
      <c r="P1812" s="3">
        <v>156838</v>
      </c>
      <c r="Q1812" s="10">
        <v>0</v>
      </c>
      <c r="R1812" s="3">
        <f>(Таблица1[Размер кредита]-$AA$2)/$AA$3</f>
        <v>-0.77023557247452035</v>
      </c>
      <c r="S1812" s="3">
        <f>(Таблица1[Кредитный рейтинг]-$AA$7)/($AA$8-$AA$7)</f>
        <v>0</v>
      </c>
      <c r="T1812" s="3">
        <f>(Таблица1[Срок с последнего нарушения кредитного договора (мес,)]-$AA$12)/($AA$13-$AA$12)</f>
        <v>0.27272727272727271</v>
      </c>
      <c r="U1812" s="3">
        <f>(Таблица1[Количество кредитных карт]-$AA$18)/($AA$19-$AA$18)</f>
        <v>0.21428571428571427</v>
      </c>
      <c r="V1812" s="3">
        <f>(Таблица1[Число нарушений кредитных договоров]-$AA$23)/($AA$24-$AA$23)</f>
        <v>0</v>
      </c>
      <c r="W1812" s="3">
        <f>Таблица1[[#This Row],[Годовой доход]]/12</f>
        <v>97337</v>
      </c>
      <c r="X1812" s="3">
        <f>Таблица1[[#This Row],[Ежемесячный платеж]]/Таблица1[[#This Row],[Ежем доход]]</f>
        <v>7.3076322467304305E-2</v>
      </c>
      <c r="Y1812" s="3"/>
      <c r="Z1812" s="3"/>
      <c r="AA1812" s="3"/>
      <c r="AB1812" s="3"/>
    </row>
    <row r="1813" spans="1:28" x14ac:dyDescent="0.2">
      <c r="A1813">
        <v>872</v>
      </c>
      <c r="B1813" t="s">
        <v>913</v>
      </c>
      <c r="C1813" t="s">
        <v>18</v>
      </c>
      <c r="D1813" t="s">
        <v>19</v>
      </c>
      <c r="E1813" t="s">
        <v>69</v>
      </c>
      <c r="F1813" t="s">
        <v>33</v>
      </c>
      <c r="G1813" t="s">
        <v>67</v>
      </c>
      <c r="H1813" s="1">
        <v>189002</v>
      </c>
      <c r="I1813" s="3">
        <v>703</v>
      </c>
      <c r="J1813" s="3">
        <v>2431962</v>
      </c>
      <c r="K1813" s="3">
        <v>24725.08</v>
      </c>
      <c r="L1813" s="2">
        <v>14.8</v>
      </c>
      <c r="M1813" s="11">
        <v>19</v>
      </c>
      <c r="N1813" s="3">
        <v>10</v>
      </c>
      <c r="O1813" s="3">
        <v>108471</v>
      </c>
      <c r="P1813" s="3">
        <v>156002</v>
      </c>
      <c r="Q1813" s="10">
        <v>0</v>
      </c>
      <c r="R1813" s="3">
        <f>(Таблица1[Размер кредита]-$AA$2)/$AA$3</f>
        <v>-0.6865671163252447</v>
      </c>
      <c r="S1813" s="3">
        <f>(Таблица1[Кредитный рейтинг]-$AA$7)/($AA$8-$AA$7)</f>
        <v>0.93608521970705727</v>
      </c>
      <c r="T1813" s="3">
        <f>(Таблица1[Срок с последнего нарушения кредитного договора (мес,)]-$AA$12)/($AA$13-$AA$12)</f>
        <v>0.21590909090909091</v>
      </c>
      <c r="U1813" s="3">
        <f>(Таблица1[Количество кредитных карт]-$AA$18)/($AA$19-$AA$18)</f>
        <v>0.21428571428571427</v>
      </c>
      <c r="V1813" s="3">
        <f>(Таблица1[Число нарушений кредитных договоров]-$AA$23)/($AA$24-$AA$23)</f>
        <v>0</v>
      </c>
      <c r="W1813" s="3">
        <f>Таблица1[[#This Row],[Годовой доход]]/12</f>
        <v>202663.5</v>
      </c>
      <c r="X1813" s="3">
        <f>Таблица1[[#This Row],[Ежемесячный платеж]]/Таблица1[[#This Row],[Ежем доход]]</f>
        <v>0.12200065626025408</v>
      </c>
      <c r="Y1813" s="3"/>
      <c r="Z1813" s="3"/>
      <c r="AA1813" s="3"/>
      <c r="AB1813" s="3"/>
    </row>
    <row r="1814" spans="1:28" x14ac:dyDescent="0.2">
      <c r="A1814">
        <v>1695</v>
      </c>
      <c r="B1814" t="s">
        <v>1733</v>
      </c>
      <c r="C1814" t="s">
        <v>18</v>
      </c>
      <c r="D1814" t="s">
        <v>19</v>
      </c>
      <c r="E1814" t="s">
        <v>32</v>
      </c>
      <c r="F1814" t="s">
        <v>21</v>
      </c>
      <c r="G1814" t="s">
        <v>22</v>
      </c>
      <c r="H1814" s="1">
        <v>44088</v>
      </c>
      <c r="I1814" s="3">
        <v>735</v>
      </c>
      <c r="J1814" s="3">
        <v>868224</v>
      </c>
      <c r="K1814" s="3">
        <v>12719.36</v>
      </c>
      <c r="L1814" s="2">
        <v>13.2</v>
      </c>
      <c r="M1814" s="11">
        <v>35.265240640000002</v>
      </c>
      <c r="N1814" s="3">
        <v>5</v>
      </c>
      <c r="O1814" s="3">
        <v>48070</v>
      </c>
      <c r="P1814" s="3">
        <v>154198</v>
      </c>
      <c r="Q1814" s="10">
        <v>0</v>
      </c>
      <c r="R1814" s="3">
        <f>(Таблица1[Размер кредита]-$AA$2)/$AA$3</f>
        <v>-1.5116032250906324</v>
      </c>
      <c r="S1814" s="3">
        <f>(Таблица1[Кредитный рейтинг]-$AA$7)/($AA$8-$AA$7)</f>
        <v>0.97869507323568572</v>
      </c>
      <c r="T1814" s="3">
        <f>(Таблица1[Срок с последнего нарушения кредитного договора (мес,)]-$AA$12)/($AA$13-$AA$12)</f>
        <v>0.40074137090909095</v>
      </c>
      <c r="U1814" s="3">
        <f>(Таблица1[Количество кредитных карт]-$AA$18)/($AA$19-$AA$18)</f>
        <v>9.5238095238095233E-2</v>
      </c>
      <c r="V1814" s="3">
        <f>(Таблица1[Число нарушений кредитных договоров]-$AA$23)/($AA$24-$AA$23)</f>
        <v>0</v>
      </c>
      <c r="W1814" s="3">
        <f>Таблица1[[#This Row],[Годовой доход]]/12</f>
        <v>72352</v>
      </c>
      <c r="X1814" s="3">
        <f>Таблица1[[#This Row],[Ежемесячный платеж]]/Таблица1[[#This Row],[Ежем доход]]</f>
        <v>0.1757983193277311</v>
      </c>
      <c r="Y1814" s="3"/>
      <c r="Z1814" s="3"/>
      <c r="AA1814" s="3"/>
      <c r="AB1814" s="3"/>
    </row>
    <row r="1815" spans="1:28" x14ac:dyDescent="0.2">
      <c r="A1815">
        <v>1576</v>
      </c>
      <c r="B1815" t="s">
        <v>1615</v>
      </c>
      <c r="C1815" t="s">
        <v>35</v>
      </c>
      <c r="D1815" t="s">
        <v>19</v>
      </c>
      <c r="E1815" t="s">
        <v>24</v>
      </c>
      <c r="F1815" t="s">
        <v>21</v>
      </c>
      <c r="G1815" t="s">
        <v>22</v>
      </c>
      <c r="H1815" s="1">
        <v>132814</v>
      </c>
      <c r="I1815" s="3">
        <v>717</v>
      </c>
      <c r="J1815" s="3">
        <v>1022523</v>
      </c>
      <c r="K1815" s="3">
        <v>26074.27</v>
      </c>
      <c r="L1815" s="2">
        <v>14.9</v>
      </c>
      <c r="M1815" s="11">
        <v>25</v>
      </c>
      <c r="N1815" s="3">
        <v>12</v>
      </c>
      <c r="O1815" s="3">
        <v>94411</v>
      </c>
      <c r="P1815" s="3">
        <v>153098</v>
      </c>
      <c r="Q1815" s="10">
        <v>0</v>
      </c>
      <c r="R1815" s="3">
        <f>(Таблица1[Размер кредита]-$AA$2)/$AA$3</f>
        <v>-1.0064611836983737</v>
      </c>
      <c r="S1815" s="3">
        <f>(Таблица1[Кредитный рейтинг]-$AA$7)/($AA$8-$AA$7)</f>
        <v>0.9547270306258322</v>
      </c>
      <c r="T1815" s="3">
        <f>(Таблица1[Срок с последнего нарушения кредитного договора (мес,)]-$AA$12)/($AA$13-$AA$12)</f>
        <v>0.28409090909090912</v>
      </c>
      <c r="U1815" s="3">
        <f>(Таблица1[Количество кредитных карт]-$AA$18)/($AA$19-$AA$18)</f>
        <v>0.26190476190476192</v>
      </c>
      <c r="V1815" s="3">
        <f>(Таблица1[Число нарушений кредитных договоров]-$AA$23)/($AA$24-$AA$23)</f>
        <v>0</v>
      </c>
      <c r="W1815" s="3">
        <f>Таблица1[[#This Row],[Годовой доход]]/12</f>
        <v>85210.25</v>
      </c>
      <c r="X1815" s="3">
        <f>Таблица1[[#This Row],[Ежемесячный платеж]]/Таблица1[[#This Row],[Ежем доход]]</f>
        <v>0.30599921957745696</v>
      </c>
      <c r="Y1815" s="3"/>
      <c r="Z1815" s="3"/>
      <c r="AA1815" s="3"/>
      <c r="AB1815" s="3"/>
    </row>
    <row r="1816" spans="1:28" x14ac:dyDescent="0.2">
      <c r="A1816">
        <v>868</v>
      </c>
      <c r="B1816" t="s">
        <v>909</v>
      </c>
      <c r="C1816" t="s">
        <v>18</v>
      </c>
      <c r="D1816" t="s">
        <v>19</v>
      </c>
      <c r="E1816" t="s">
        <v>69</v>
      </c>
      <c r="F1816" t="s">
        <v>33</v>
      </c>
      <c r="G1816" t="s">
        <v>25</v>
      </c>
      <c r="H1816" s="1">
        <v>43714</v>
      </c>
      <c r="I1816" s="3">
        <v>0</v>
      </c>
      <c r="J1816" s="3">
        <v>1168044</v>
      </c>
      <c r="K1816" s="3">
        <v>3642.87</v>
      </c>
      <c r="L1816" s="2">
        <v>7</v>
      </c>
      <c r="M1816" s="11">
        <v>35.265240640000002</v>
      </c>
      <c r="N1816" s="3">
        <v>8</v>
      </c>
      <c r="O1816" s="3">
        <v>27968</v>
      </c>
      <c r="P1816" s="3">
        <v>152790</v>
      </c>
      <c r="Q1816" s="10">
        <v>0</v>
      </c>
      <c r="R1816" s="3">
        <f>(Таблица1[Размер кредита]-$AA$2)/$AA$3</f>
        <v>-1.5137325121483236</v>
      </c>
      <c r="S1816" s="3">
        <f>(Таблица1[Кредитный рейтинг]-$AA$7)/($AA$8-$AA$7)</f>
        <v>0</v>
      </c>
      <c r="T1816" s="3">
        <f>(Таблица1[Срок с последнего нарушения кредитного договора (мес,)]-$AA$12)/($AA$13-$AA$12)</f>
        <v>0.40074137090909095</v>
      </c>
      <c r="U1816" s="3">
        <f>(Таблица1[Количество кредитных карт]-$AA$18)/($AA$19-$AA$18)</f>
        <v>0.16666666666666666</v>
      </c>
      <c r="V1816" s="3">
        <f>(Таблица1[Число нарушений кредитных договоров]-$AA$23)/($AA$24-$AA$23)</f>
        <v>0</v>
      </c>
      <c r="W1816" s="3">
        <f>Таблица1[[#This Row],[Годовой доход]]/12</f>
        <v>97337</v>
      </c>
      <c r="X1816" s="3">
        <f>Таблица1[[#This Row],[Ежемесячный платеж]]/Таблица1[[#This Row],[Ежем доход]]</f>
        <v>3.7425336716767517E-2</v>
      </c>
      <c r="Y1816" s="3"/>
      <c r="Z1816" s="3"/>
      <c r="AA1816" s="3"/>
      <c r="AB1816" s="3"/>
    </row>
    <row r="1817" spans="1:28" x14ac:dyDescent="0.2">
      <c r="A1817">
        <v>156</v>
      </c>
      <c r="B1817" t="s">
        <v>198</v>
      </c>
      <c r="C1817" t="s">
        <v>18</v>
      </c>
      <c r="D1817" t="s">
        <v>19</v>
      </c>
      <c r="E1817" t="s">
        <v>20</v>
      </c>
      <c r="F1817" t="s">
        <v>33</v>
      </c>
      <c r="G1817" t="s">
        <v>25</v>
      </c>
      <c r="H1817" s="1">
        <v>229086</v>
      </c>
      <c r="I1817" s="3">
        <v>715</v>
      </c>
      <c r="J1817" s="3">
        <v>787626</v>
      </c>
      <c r="K1817" s="3">
        <v>6543.79</v>
      </c>
      <c r="L1817" s="2">
        <v>23.9</v>
      </c>
      <c r="M1817" s="11">
        <v>36</v>
      </c>
      <c r="N1817" s="3">
        <v>7</v>
      </c>
      <c r="O1817" s="3">
        <v>71231</v>
      </c>
      <c r="P1817" s="3">
        <v>152460</v>
      </c>
      <c r="Q1817" s="10">
        <v>1</v>
      </c>
      <c r="R1817" s="3">
        <f>(Таблица1[Размер кредита]-$AA$2)/$AA$3</f>
        <v>-0.45835764461269929</v>
      </c>
      <c r="S1817" s="3">
        <f>(Таблица1[Кредитный рейтинг]-$AA$7)/($AA$8-$AA$7)</f>
        <v>0.95206391478029295</v>
      </c>
      <c r="T1817" s="3">
        <f>(Таблица1[Срок с последнего нарушения кредитного договора (мес,)]-$AA$12)/($AA$13-$AA$12)</f>
        <v>0.40909090909090912</v>
      </c>
      <c r="U1817" s="3">
        <f>(Таблица1[Количество кредитных карт]-$AA$18)/($AA$19-$AA$18)</f>
        <v>0.14285714285714285</v>
      </c>
      <c r="V1817" s="3">
        <f>(Таблица1[Число нарушений кредитных договоров]-$AA$23)/($AA$24-$AA$23)</f>
        <v>0.14285714285714285</v>
      </c>
      <c r="W1817" s="3">
        <f>Таблица1[[#This Row],[Годовой доход]]/12</f>
        <v>65635.5</v>
      </c>
      <c r="X1817" s="3">
        <f>Таблица1[[#This Row],[Ежемесячный платеж]]/Таблица1[[#This Row],[Ежем доход]]</f>
        <v>9.969894340715009E-2</v>
      </c>
      <c r="Y1817" s="3"/>
      <c r="Z1817" s="3"/>
      <c r="AA1817" s="3"/>
      <c r="AB1817" s="3"/>
    </row>
    <row r="1818" spans="1:28" x14ac:dyDescent="0.2">
      <c r="A1818">
        <v>1858</v>
      </c>
      <c r="B1818" t="s">
        <v>1895</v>
      </c>
      <c r="C1818" t="s">
        <v>18</v>
      </c>
      <c r="D1818" t="s">
        <v>19</v>
      </c>
      <c r="E1818" t="s">
        <v>24</v>
      </c>
      <c r="F1818" t="s">
        <v>33</v>
      </c>
      <c r="G1818" t="s">
        <v>25</v>
      </c>
      <c r="H1818" s="1">
        <v>234102</v>
      </c>
      <c r="I1818" s="3">
        <v>728</v>
      </c>
      <c r="J1818" s="3">
        <v>1141710</v>
      </c>
      <c r="K1818" s="3">
        <v>5423.17</v>
      </c>
      <c r="L1818" s="2">
        <v>17</v>
      </c>
      <c r="M1818" s="11">
        <v>35.265240640000002</v>
      </c>
      <c r="N1818" s="3">
        <v>6</v>
      </c>
      <c r="O1818" s="3">
        <v>124146</v>
      </c>
      <c r="P1818" s="3">
        <v>151932</v>
      </c>
      <c r="Q1818" s="10">
        <v>0</v>
      </c>
      <c r="R1818" s="3">
        <f>(Таблица1[Размер кредита]-$AA$2)/$AA$3</f>
        <v>-0.42980014760366508</v>
      </c>
      <c r="S1818" s="3">
        <f>(Таблица1[Кредитный рейтинг]-$AA$7)/($AA$8-$AA$7)</f>
        <v>0.96937416777629826</v>
      </c>
      <c r="T1818" s="3">
        <f>(Таблица1[Срок с последнего нарушения кредитного договора (мес,)]-$AA$12)/($AA$13-$AA$12)</f>
        <v>0.40074137090909095</v>
      </c>
      <c r="U1818" s="3">
        <f>(Таблица1[Количество кредитных карт]-$AA$18)/($AA$19-$AA$18)</f>
        <v>0.11904761904761904</v>
      </c>
      <c r="V1818" s="3">
        <f>(Таблица1[Число нарушений кредитных договоров]-$AA$23)/($AA$24-$AA$23)</f>
        <v>0</v>
      </c>
      <c r="W1818" s="3">
        <f>Таблица1[[#This Row],[Годовой доход]]/12</f>
        <v>95142.5</v>
      </c>
      <c r="X1818" s="3">
        <f>Таблица1[[#This Row],[Ежемесячный платеж]]/Таблица1[[#This Row],[Ежем доход]]</f>
        <v>5.7000499251123313E-2</v>
      </c>
      <c r="Y1818" s="3"/>
      <c r="Z1818" s="3"/>
      <c r="AA1818" s="3"/>
      <c r="AB1818" s="3"/>
    </row>
    <row r="1819" spans="1:28" x14ac:dyDescent="0.2">
      <c r="A1819">
        <v>354</v>
      </c>
      <c r="B1819" t="s">
        <v>396</v>
      </c>
      <c r="C1819" t="s">
        <v>35</v>
      </c>
      <c r="D1819" t="s">
        <v>19</v>
      </c>
      <c r="E1819" t="s">
        <v>63</v>
      </c>
      <c r="F1819" t="s">
        <v>21</v>
      </c>
      <c r="G1819" t="s">
        <v>22</v>
      </c>
      <c r="H1819" s="1">
        <v>133936</v>
      </c>
      <c r="I1819" s="3">
        <v>639</v>
      </c>
      <c r="J1819" s="3">
        <v>347035</v>
      </c>
      <c r="K1819" s="3">
        <v>6969.39</v>
      </c>
      <c r="L1819" s="2">
        <v>15.4</v>
      </c>
      <c r="M1819" s="11">
        <v>22</v>
      </c>
      <c r="N1819" s="3">
        <v>10</v>
      </c>
      <c r="O1819" s="3">
        <v>68742</v>
      </c>
      <c r="P1819" s="3">
        <v>151910</v>
      </c>
      <c r="Q1819" s="10">
        <v>0</v>
      </c>
      <c r="R1819" s="3">
        <f>(Таблица1[Размер кредита]-$AA$2)/$AA$3</f>
        <v>-1.0000733225253002</v>
      </c>
      <c r="S1819" s="3">
        <f>(Таблица1[Кредитный рейтинг]-$AA$7)/($AA$8-$AA$7)</f>
        <v>0.85086551264980026</v>
      </c>
      <c r="T1819" s="3">
        <f>(Таблица1[Срок с последнего нарушения кредитного договора (мес,)]-$AA$12)/($AA$13-$AA$12)</f>
        <v>0.25</v>
      </c>
      <c r="U1819" s="3">
        <f>(Таблица1[Количество кредитных карт]-$AA$18)/($AA$19-$AA$18)</f>
        <v>0.21428571428571427</v>
      </c>
      <c r="V1819" s="3">
        <f>(Таблица1[Число нарушений кредитных договоров]-$AA$23)/($AA$24-$AA$23)</f>
        <v>0</v>
      </c>
      <c r="W1819" s="3">
        <f>Таблица1[[#This Row],[Годовой доход]]/12</f>
        <v>28919.583333333332</v>
      </c>
      <c r="X1819" s="3">
        <f>Таблица1[[#This Row],[Ежемесячный платеж]]/Таблица1[[#This Row],[Ежем доход]]</f>
        <v>0.24099206131946346</v>
      </c>
      <c r="Y1819" s="3"/>
      <c r="Z1819" s="3"/>
      <c r="AA1819" s="3"/>
      <c r="AB1819" s="3"/>
    </row>
    <row r="1820" spans="1:28" x14ac:dyDescent="0.2">
      <c r="A1820">
        <v>784</v>
      </c>
      <c r="B1820" t="s">
        <v>825</v>
      </c>
      <c r="C1820" t="s">
        <v>18</v>
      </c>
      <c r="D1820" t="s">
        <v>19</v>
      </c>
      <c r="E1820" t="s">
        <v>24</v>
      </c>
      <c r="F1820" t="s">
        <v>33</v>
      </c>
      <c r="G1820" t="s">
        <v>25</v>
      </c>
      <c r="H1820" s="1">
        <v>309594.52439999999</v>
      </c>
      <c r="I1820" s="3">
        <v>738</v>
      </c>
      <c r="J1820" s="3">
        <v>934800</v>
      </c>
      <c r="K1820" s="3">
        <v>4806.43</v>
      </c>
      <c r="L1820" s="2">
        <v>27.8</v>
      </c>
      <c r="M1820" s="11">
        <v>20</v>
      </c>
      <c r="N1820" s="3">
        <v>13</v>
      </c>
      <c r="O1820" s="3">
        <v>25536</v>
      </c>
      <c r="P1820" s="3">
        <v>151646</v>
      </c>
      <c r="Q1820" s="10">
        <v>0</v>
      </c>
      <c r="R1820" s="3">
        <f>(Таблица1[Размер кредита]-$AA$2)/$AA$3</f>
        <v>-1.2411115481956205E-10</v>
      </c>
      <c r="S1820" s="3">
        <f>(Таблица1[Кредитный рейтинг]-$AA$7)/($AA$8-$AA$7)</f>
        <v>0.9826897470039947</v>
      </c>
      <c r="T1820" s="3">
        <f>(Таблица1[Срок с последнего нарушения кредитного договора (мес,)]-$AA$12)/($AA$13-$AA$12)</f>
        <v>0.22727272727272727</v>
      </c>
      <c r="U1820" s="3">
        <f>(Таблица1[Количество кредитных карт]-$AA$18)/($AA$19-$AA$18)</f>
        <v>0.2857142857142857</v>
      </c>
      <c r="V1820" s="3">
        <f>(Таблица1[Число нарушений кредитных договоров]-$AA$23)/($AA$24-$AA$23)</f>
        <v>0</v>
      </c>
      <c r="W1820" s="3">
        <f>Таблица1[[#This Row],[Годовой доход]]/12</f>
        <v>77900</v>
      </c>
      <c r="X1820" s="3">
        <f>Таблица1[[#This Row],[Ежемесячный платеж]]/Таблица1[[#This Row],[Ежем доход]]</f>
        <v>6.1700000000000005E-2</v>
      </c>
      <c r="Y1820" s="3"/>
      <c r="Z1820" s="3"/>
      <c r="AA1820" s="3"/>
      <c r="AB1820" s="3"/>
    </row>
    <row r="1821" spans="1:28" x14ac:dyDescent="0.2">
      <c r="A1821">
        <v>1467</v>
      </c>
      <c r="B1821" t="s">
        <v>1506</v>
      </c>
      <c r="C1821" t="s">
        <v>35</v>
      </c>
      <c r="D1821" t="s">
        <v>29</v>
      </c>
      <c r="E1821" t="s">
        <v>24</v>
      </c>
      <c r="F1821" t="s">
        <v>33</v>
      </c>
      <c r="G1821" t="s">
        <v>25</v>
      </c>
      <c r="H1821" s="1">
        <v>291500</v>
      </c>
      <c r="I1821" s="3">
        <v>609</v>
      </c>
      <c r="J1821" s="3">
        <v>840731</v>
      </c>
      <c r="K1821" s="3">
        <v>20317.46</v>
      </c>
      <c r="L1821" s="2">
        <v>15.1</v>
      </c>
      <c r="M1821" s="11">
        <v>35.265240640000002</v>
      </c>
      <c r="N1821" s="3">
        <v>5</v>
      </c>
      <c r="O1821" s="3">
        <v>125191</v>
      </c>
      <c r="P1821" s="3">
        <v>151470</v>
      </c>
      <c r="Q1821" s="10">
        <v>0</v>
      </c>
      <c r="R1821" s="3">
        <f>(Таблица1[Размер кредита]-$AA$2)/$AA$3</f>
        <v>-0.103017210338006</v>
      </c>
      <c r="S1821" s="3">
        <f>(Таблица1[Кредитный рейтинг]-$AA$7)/($AA$8-$AA$7)</f>
        <v>0.81091877496671105</v>
      </c>
      <c r="T1821" s="3">
        <f>(Таблица1[Срок с последнего нарушения кредитного договора (мес,)]-$AA$12)/($AA$13-$AA$12)</f>
        <v>0.40074137090909095</v>
      </c>
      <c r="U1821" s="3">
        <f>(Таблица1[Количество кредитных карт]-$AA$18)/($AA$19-$AA$18)</f>
        <v>9.5238095238095233E-2</v>
      </c>
      <c r="V1821" s="3">
        <f>(Таблица1[Число нарушений кредитных договоров]-$AA$23)/($AA$24-$AA$23)</f>
        <v>0</v>
      </c>
      <c r="W1821" s="3">
        <f>Таблица1[[#This Row],[Годовой доход]]/12</f>
        <v>70060.916666666672</v>
      </c>
      <c r="X1821" s="3">
        <f>Таблица1[[#This Row],[Ежемесячный платеж]]/Таблица1[[#This Row],[Ежем доход]]</f>
        <v>0.28999706208049897</v>
      </c>
      <c r="Y1821" s="3"/>
      <c r="Z1821" s="3"/>
      <c r="AA1821" s="3"/>
      <c r="AB1821" s="3"/>
    </row>
    <row r="1822" spans="1:28" x14ac:dyDescent="0.2">
      <c r="A1822">
        <v>148</v>
      </c>
      <c r="B1822" t="s">
        <v>190</v>
      </c>
      <c r="C1822" t="s">
        <v>18</v>
      </c>
      <c r="D1822" t="s">
        <v>19</v>
      </c>
      <c r="E1822" t="s">
        <v>52</v>
      </c>
      <c r="F1822" t="s">
        <v>21</v>
      </c>
      <c r="G1822" t="s">
        <v>25</v>
      </c>
      <c r="H1822" s="1">
        <v>109538</v>
      </c>
      <c r="I1822" s="3">
        <v>697</v>
      </c>
      <c r="J1822" s="3">
        <v>567606</v>
      </c>
      <c r="K1822" s="3">
        <v>5770.68</v>
      </c>
      <c r="L1822" s="2">
        <v>14.3</v>
      </c>
      <c r="M1822" s="11">
        <v>62</v>
      </c>
      <c r="N1822" s="3">
        <v>10</v>
      </c>
      <c r="O1822" s="3">
        <v>86716</v>
      </c>
      <c r="P1822" s="3">
        <v>151206</v>
      </c>
      <c r="Q1822" s="10">
        <v>0</v>
      </c>
      <c r="R1822" s="3">
        <f>(Таблица1[Размер кредита]-$AA$2)/$AA$3</f>
        <v>-1.1389779899946815</v>
      </c>
      <c r="S1822" s="3">
        <f>(Таблица1[Кредитный рейтинг]-$AA$7)/($AA$8-$AA$7)</f>
        <v>0.92809587217043943</v>
      </c>
      <c r="T1822" s="3">
        <f>(Таблица1[Срок с последнего нарушения кредитного договора (мес,)]-$AA$12)/($AA$13-$AA$12)</f>
        <v>0.70454545454545459</v>
      </c>
      <c r="U1822" s="3">
        <f>(Таблица1[Количество кредитных карт]-$AA$18)/($AA$19-$AA$18)</f>
        <v>0.21428571428571427</v>
      </c>
      <c r="V1822" s="3">
        <f>(Таблица1[Число нарушений кредитных договоров]-$AA$23)/($AA$24-$AA$23)</f>
        <v>0</v>
      </c>
      <c r="W1822" s="3">
        <f>Таблица1[[#This Row],[Годовой доход]]/12</f>
        <v>47300.5</v>
      </c>
      <c r="X1822" s="3">
        <f>Таблица1[[#This Row],[Ежемесячный платеж]]/Таблица1[[#This Row],[Ежем доход]]</f>
        <v>0.12200040168708577</v>
      </c>
      <c r="Y1822" s="3"/>
      <c r="Z1822" s="3"/>
      <c r="AA1822" s="3"/>
      <c r="AB1822" s="3"/>
    </row>
    <row r="1823" spans="1:28" x14ac:dyDescent="0.2">
      <c r="A1823">
        <v>65</v>
      </c>
      <c r="B1823" t="s">
        <v>107</v>
      </c>
      <c r="C1823" t="s">
        <v>18</v>
      </c>
      <c r="D1823" t="s">
        <v>19</v>
      </c>
      <c r="E1823" t="s">
        <v>24</v>
      </c>
      <c r="F1823" t="s">
        <v>21</v>
      </c>
      <c r="G1823" t="s">
        <v>25</v>
      </c>
      <c r="H1823" s="1">
        <v>171248</v>
      </c>
      <c r="I1823" s="3">
        <v>747</v>
      </c>
      <c r="J1823" s="3">
        <v>3035725</v>
      </c>
      <c r="K1823" s="3">
        <v>42500.15</v>
      </c>
      <c r="L1823" s="2">
        <v>31.5</v>
      </c>
      <c r="M1823" s="11">
        <v>17</v>
      </c>
      <c r="N1823" s="3">
        <v>11</v>
      </c>
      <c r="O1823" s="3">
        <v>25460</v>
      </c>
      <c r="P1823" s="3">
        <v>151140</v>
      </c>
      <c r="Q1823" s="10">
        <v>0</v>
      </c>
      <c r="R1823" s="3">
        <f>(Таблица1[Размер кредита]-$AA$2)/$AA$3</f>
        <v>-0.7876456254756421</v>
      </c>
      <c r="S1823" s="3">
        <f>(Таблица1[Кредитный рейтинг]-$AA$7)/($AA$8-$AA$7)</f>
        <v>0.9946737683089214</v>
      </c>
      <c r="T1823" s="3">
        <f>(Таблица1[Срок с последнего нарушения кредитного договора (мес,)]-$AA$12)/($AA$13-$AA$12)</f>
        <v>0.19318181818181818</v>
      </c>
      <c r="U1823" s="3">
        <f>(Таблица1[Количество кредитных карт]-$AA$18)/($AA$19-$AA$18)</f>
        <v>0.23809523809523808</v>
      </c>
      <c r="V1823" s="3">
        <f>(Таблица1[Число нарушений кредитных договоров]-$AA$23)/($AA$24-$AA$23)</f>
        <v>0</v>
      </c>
      <c r="W1823" s="3">
        <f>Таблица1[[#This Row],[Годовой доход]]/12</f>
        <v>252977.08333333334</v>
      </c>
      <c r="X1823" s="3">
        <f>Таблица1[[#This Row],[Ежемесячный платеж]]/Таблица1[[#This Row],[Ежем доход]]</f>
        <v>0.16800000000000001</v>
      </c>
      <c r="Y1823" s="3"/>
      <c r="Z1823" s="3"/>
      <c r="AA1823" s="3"/>
      <c r="AB1823" s="3"/>
    </row>
    <row r="1824" spans="1:28" x14ac:dyDescent="0.2">
      <c r="A1824">
        <v>1511</v>
      </c>
      <c r="B1824" t="s">
        <v>1550</v>
      </c>
      <c r="C1824" t="s">
        <v>18</v>
      </c>
      <c r="D1824" t="s">
        <v>29</v>
      </c>
      <c r="E1824" t="s">
        <v>63</v>
      </c>
      <c r="F1824" t="s">
        <v>33</v>
      </c>
      <c r="G1824" t="s">
        <v>25</v>
      </c>
      <c r="H1824" s="1">
        <v>248952</v>
      </c>
      <c r="I1824" s="3">
        <v>713</v>
      </c>
      <c r="J1824" s="3">
        <v>1156150</v>
      </c>
      <c r="K1824" s="3">
        <v>31023.58</v>
      </c>
      <c r="L1824" s="2">
        <v>15.4</v>
      </c>
      <c r="M1824" s="11">
        <v>67</v>
      </c>
      <c r="N1824" s="3">
        <v>19</v>
      </c>
      <c r="O1824" s="3">
        <v>80408</v>
      </c>
      <c r="P1824" s="3">
        <v>151140</v>
      </c>
      <c r="Q1824" s="10">
        <v>3</v>
      </c>
      <c r="R1824" s="3">
        <f>(Таблица1[Размер кредита]-$AA$2)/$AA$3</f>
        <v>-0.34525492619534009</v>
      </c>
      <c r="S1824" s="3">
        <f>(Таблица1[Кредитный рейтинг]-$AA$7)/($AA$8-$AA$7)</f>
        <v>0.94940079893475371</v>
      </c>
      <c r="T1824" s="3">
        <f>(Таблица1[Срок с последнего нарушения кредитного договора (мес,)]-$AA$12)/($AA$13-$AA$12)</f>
        <v>0.76136363636363635</v>
      </c>
      <c r="U1824" s="3">
        <f>(Таблица1[Количество кредитных карт]-$AA$18)/($AA$19-$AA$18)</f>
        <v>0.42857142857142855</v>
      </c>
      <c r="V1824" s="3">
        <f>(Таблица1[Число нарушений кредитных договоров]-$AA$23)/($AA$24-$AA$23)</f>
        <v>0.42857142857142855</v>
      </c>
      <c r="W1824" s="3">
        <f>Таблица1[[#This Row],[Годовой доход]]/12</f>
        <v>96345.833333333328</v>
      </c>
      <c r="X1824" s="3">
        <f>Таблица1[[#This Row],[Ежемесячный платеж]]/Таблица1[[#This Row],[Ежем доход]]</f>
        <v>0.32200230073952346</v>
      </c>
      <c r="Y1824" s="3"/>
      <c r="Z1824" s="3"/>
      <c r="AA1824" s="3"/>
      <c r="AB1824" s="3"/>
    </row>
    <row r="1825" spans="1:28" x14ac:dyDescent="0.2">
      <c r="A1825">
        <v>416</v>
      </c>
      <c r="B1825" t="s">
        <v>458</v>
      </c>
      <c r="C1825" t="s">
        <v>18</v>
      </c>
      <c r="D1825" t="s">
        <v>19</v>
      </c>
      <c r="E1825" t="s">
        <v>24</v>
      </c>
      <c r="F1825" t="s">
        <v>33</v>
      </c>
      <c r="G1825" t="s">
        <v>25</v>
      </c>
      <c r="H1825" s="1">
        <v>450648</v>
      </c>
      <c r="I1825" s="3">
        <v>737</v>
      </c>
      <c r="J1825" s="3">
        <v>1634627</v>
      </c>
      <c r="K1825" s="3">
        <v>10570.65</v>
      </c>
      <c r="L1825" s="2">
        <v>32.5</v>
      </c>
      <c r="M1825" s="11">
        <v>20</v>
      </c>
      <c r="N1825" s="3">
        <v>6</v>
      </c>
      <c r="O1825" s="3">
        <v>93252</v>
      </c>
      <c r="P1825" s="3">
        <v>151008</v>
      </c>
      <c r="Q1825" s="10">
        <v>1</v>
      </c>
      <c r="R1825" s="3">
        <f>(Таблица1[Размер кредита]-$AA$2)/$AA$3</f>
        <v>0.8030570587995095</v>
      </c>
      <c r="S1825" s="3">
        <f>(Таблица1[Кредитный рейтинг]-$AA$7)/($AA$8-$AA$7)</f>
        <v>0.98135818908122507</v>
      </c>
      <c r="T1825" s="3">
        <f>(Таблица1[Срок с последнего нарушения кредитного договора (мес,)]-$AA$12)/($AA$13-$AA$12)</f>
        <v>0.22727272727272727</v>
      </c>
      <c r="U1825" s="3">
        <f>(Таблица1[Количество кредитных карт]-$AA$18)/($AA$19-$AA$18)</f>
        <v>0.11904761904761904</v>
      </c>
      <c r="V1825" s="3">
        <f>(Таблица1[Число нарушений кредитных договоров]-$AA$23)/($AA$24-$AA$23)</f>
        <v>0.14285714285714285</v>
      </c>
      <c r="W1825" s="3">
        <f>Таблица1[[#This Row],[Годовой доход]]/12</f>
        <v>136218.91666666666</v>
      </c>
      <c r="X1825" s="3">
        <f>Таблица1[[#This Row],[Ежемесячный платеж]]/Таблица1[[#This Row],[Ежем доход]]</f>
        <v>7.7600455639115232E-2</v>
      </c>
      <c r="Y1825" s="3"/>
      <c r="Z1825" s="3"/>
      <c r="AA1825" s="3"/>
      <c r="AB1825" s="3"/>
    </row>
    <row r="1826" spans="1:28" x14ac:dyDescent="0.2">
      <c r="A1826">
        <v>129</v>
      </c>
      <c r="B1826" t="s">
        <v>171</v>
      </c>
      <c r="C1826" t="s">
        <v>18</v>
      </c>
      <c r="D1826" t="s">
        <v>19</v>
      </c>
      <c r="E1826" t="s">
        <v>37</v>
      </c>
      <c r="F1826" t="s">
        <v>33</v>
      </c>
      <c r="G1826" t="s">
        <v>25</v>
      </c>
      <c r="H1826" s="1">
        <v>309594.52439999999</v>
      </c>
      <c r="I1826" s="3">
        <v>742</v>
      </c>
      <c r="J1826" s="3">
        <v>1359792</v>
      </c>
      <c r="K1826" s="3">
        <v>17224.07</v>
      </c>
      <c r="L1826" s="2">
        <v>10.7</v>
      </c>
      <c r="M1826" s="11">
        <v>35.265240640000002</v>
      </c>
      <c r="N1826" s="3">
        <v>8</v>
      </c>
      <c r="O1826" s="3">
        <v>57000</v>
      </c>
      <c r="P1826" s="3">
        <v>150678</v>
      </c>
      <c r="Q1826" s="10">
        <v>0</v>
      </c>
      <c r="R1826" s="3">
        <f>(Таблица1[Размер кредита]-$AA$2)/$AA$3</f>
        <v>-1.2411115481956205E-10</v>
      </c>
      <c r="S1826" s="3">
        <f>(Таблица1[Кредитный рейтинг]-$AA$7)/($AA$8-$AA$7)</f>
        <v>0.98801597869507318</v>
      </c>
      <c r="T1826" s="3">
        <f>(Таблица1[Срок с последнего нарушения кредитного договора (мес,)]-$AA$12)/($AA$13-$AA$12)</f>
        <v>0.40074137090909095</v>
      </c>
      <c r="U1826" s="3">
        <f>(Таблица1[Количество кредитных карт]-$AA$18)/($AA$19-$AA$18)</f>
        <v>0.16666666666666666</v>
      </c>
      <c r="V1826" s="3">
        <f>(Таблица1[Число нарушений кредитных договоров]-$AA$23)/($AA$24-$AA$23)</f>
        <v>0</v>
      </c>
      <c r="W1826" s="3">
        <f>Таблица1[[#This Row],[Годовой доход]]/12</f>
        <v>113316</v>
      </c>
      <c r="X1826" s="3">
        <f>Таблица1[[#This Row],[Ежемесячный платеж]]/Таблица1[[#This Row],[Ежем доход]]</f>
        <v>0.15200033534540577</v>
      </c>
      <c r="Y1826" s="3"/>
      <c r="Z1826" s="3"/>
      <c r="AA1826" s="3"/>
      <c r="AB1826" s="3"/>
    </row>
    <row r="1827" spans="1:28" x14ac:dyDescent="0.2">
      <c r="A1827">
        <v>1925</v>
      </c>
      <c r="B1827" t="s">
        <v>1961</v>
      </c>
      <c r="C1827" t="s">
        <v>18</v>
      </c>
      <c r="D1827" t="s">
        <v>19</v>
      </c>
      <c r="E1827" t="s">
        <v>63</v>
      </c>
      <c r="F1827" t="s">
        <v>33</v>
      </c>
      <c r="G1827" t="s">
        <v>25</v>
      </c>
      <c r="H1827" s="1">
        <v>219846</v>
      </c>
      <c r="I1827" s="3">
        <v>711</v>
      </c>
      <c r="J1827" s="3">
        <v>572451</v>
      </c>
      <c r="K1827" s="3">
        <v>13118.74</v>
      </c>
      <c r="L1827" s="2">
        <v>12.8</v>
      </c>
      <c r="M1827" s="11">
        <v>10</v>
      </c>
      <c r="N1827" s="3">
        <v>10</v>
      </c>
      <c r="O1827" s="3">
        <v>113525</v>
      </c>
      <c r="P1827" s="3">
        <v>150216</v>
      </c>
      <c r="Q1827" s="10">
        <v>0</v>
      </c>
      <c r="R1827" s="3">
        <f>(Таблица1[Размер кредита]-$AA$2)/$AA$3</f>
        <v>-0.51096356015565703</v>
      </c>
      <c r="S1827" s="3">
        <f>(Таблица1[Кредитный рейтинг]-$AA$7)/($AA$8-$AA$7)</f>
        <v>0.94673768308921435</v>
      </c>
      <c r="T1827" s="3">
        <f>(Таблица1[Срок с последнего нарушения кредитного договора (мес,)]-$AA$12)/($AA$13-$AA$12)</f>
        <v>0.11363636363636363</v>
      </c>
      <c r="U1827" s="3">
        <f>(Таблица1[Количество кредитных карт]-$AA$18)/($AA$19-$AA$18)</f>
        <v>0.21428571428571427</v>
      </c>
      <c r="V1827" s="3">
        <f>(Таблица1[Число нарушений кредитных договоров]-$AA$23)/($AA$24-$AA$23)</f>
        <v>0</v>
      </c>
      <c r="W1827" s="3">
        <f>Таблица1[[#This Row],[Годовой доход]]/12</f>
        <v>47704.25</v>
      </c>
      <c r="X1827" s="3">
        <f>Таблица1[[#This Row],[Ежемесячный платеж]]/Таблица1[[#This Row],[Ежем доход]]</f>
        <v>0.27500149357761622</v>
      </c>
      <c r="Y1827" s="3"/>
      <c r="Z1827" s="3"/>
      <c r="AA1827" s="3"/>
      <c r="AB1827" s="3"/>
    </row>
    <row r="1828" spans="1:28" x14ac:dyDescent="0.2">
      <c r="A1828">
        <v>999</v>
      </c>
      <c r="B1828" t="s">
        <v>1039</v>
      </c>
      <c r="C1828" t="s">
        <v>18</v>
      </c>
      <c r="D1828" t="s">
        <v>19</v>
      </c>
      <c r="E1828" t="s">
        <v>24</v>
      </c>
      <c r="F1828" t="s">
        <v>33</v>
      </c>
      <c r="G1828" t="s">
        <v>25</v>
      </c>
      <c r="H1828" s="1">
        <v>309594.52439999999</v>
      </c>
      <c r="I1828" s="3">
        <v>733</v>
      </c>
      <c r="J1828" s="3">
        <v>1383599</v>
      </c>
      <c r="K1828" s="3">
        <v>22944.59</v>
      </c>
      <c r="L1828" s="2">
        <v>17</v>
      </c>
      <c r="M1828" s="11">
        <v>17</v>
      </c>
      <c r="N1828" s="3">
        <v>9</v>
      </c>
      <c r="O1828" s="3">
        <v>108661</v>
      </c>
      <c r="P1828" s="3">
        <v>149072</v>
      </c>
      <c r="Q1828" s="10">
        <v>0</v>
      </c>
      <c r="R1828" s="3">
        <f>(Таблица1[Размер кредита]-$AA$2)/$AA$3</f>
        <v>-1.2411115481956205E-10</v>
      </c>
      <c r="S1828" s="3">
        <f>(Таблица1[Кредитный рейтинг]-$AA$7)/($AA$8-$AA$7)</f>
        <v>0.97603195739014648</v>
      </c>
      <c r="T1828" s="3">
        <f>(Таблица1[Срок с последнего нарушения кредитного договора (мес,)]-$AA$12)/($AA$13-$AA$12)</f>
        <v>0.19318181818181818</v>
      </c>
      <c r="U1828" s="3">
        <f>(Таблица1[Количество кредитных карт]-$AA$18)/($AA$19-$AA$18)</f>
        <v>0.19047619047619047</v>
      </c>
      <c r="V1828" s="3">
        <f>(Таблица1[Число нарушений кредитных договоров]-$AA$23)/($AA$24-$AA$23)</f>
        <v>0</v>
      </c>
      <c r="W1828" s="3">
        <f>Таблица1[[#This Row],[Годовой доход]]/12</f>
        <v>115299.91666666667</v>
      </c>
      <c r="X1828" s="3">
        <f>Таблица1[[#This Row],[Ежемесячный платеж]]/Таблица1[[#This Row],[Ежем доход]]</f>
        <v>0.19899918979415279</v>
      </c>
      <c r="Y1828" s="3"/>
      <c r="Z1828" s="3"/>
      <c r="AA1828" s="3"/>
      <c r="AB1828" s="3"/>
    </row>
    <row r="1829" spans="1:28" x14ac:dyDescent="0.2">
      <c r="A1829">
        <v>1334</v>
      </c>
      <c r="B1829" t="s">
        <v>1373</v>
      </c>
      <c r="C1829" t="s">
        <v>18</v>
      </c>
      <c r="D1829" t="s">
        <v>19</v>
      </c>
      <c r="E1829" t="s">
        <v>41</v>
      </c>
      <c r="F1829" t="s">
        <v>21</v>
      </c>
      <c r="G1829" t="s">
        <v>25</v>
      </c>
      <c r="H1829" s="1">
        <v>309594.52439999999</v>
      </c>
      <c r="I1829" s="3">
        <v>709</v>
      </c>
      <c r="J1829" s="3">
        <v>1858010</v>
      </c>
      <c r="K1829" s="3">
        <v>3623.11</v>
      </c>
      <c r="L1829" s="2">
        <v>26.8</v>
      </c>
      <c r="M1829" s="11">
        <v>35.265240640000002</v>
      </c>
      <c r="N1829" s="3">
        <v>5</v>
      </c>
      <c r="O1829" s="3">
        <v>79686</v>
      </c>
      <c r="P1829" s="3">
        <v>148346</v>
      </c>
      <c r="Q1829" s="10">
        <v>1</v>
      </c>
      <c r="R1829" s="3">
        <f>(Таблица1[Размер кредита]-$AA$2)/$AA$3</f>
        <v>-1.2411115481956205E-10</v>
      </c>
      <c r="S1829" s="3">
        <f>(Таблица1[Кредитный рейтинг]-$AA$7)/($AA$8-$AA$7)</f>
        <v>0.94407456724367511</v>
      </c>
      <c r="T1829" s="3">
        <f>(Таблица1[Срок с последнего нарушения кредитного договора (мес,)]-$AA$12)/($AA$13-$AA$12)</f>
        <v>0.40074137090909095</v>
      </c>
      <c r="U1829" s="3">
        <f>(Таблица1[Количество кредитных карт]-$AA$18)/($AA$19-$AA$18)</f>
        <v>9.5238095238095233E-2</v>
      </c>
      <c r="V1829" s="3">
        <f>(Таблица1[Число нарушений кредитных договоров]-$AA$23)/($AA$24-$AA$23)</f>
        <v>0.14285714285714285</v>
      </c>
      <c r="W1829" s="3">
        <f>Таблица1[[#This Row],[Годовой доход]]/12</f>
        <v>154834.16666666666</v>
      </c>
      <c r="X1829" s="3">
        <f>Таблица1[[#This Row],[Ежемесячный платеж]]/Таблица1[[#This Row],[Ежем доход]]</f>
        <v>2.3399938644033134E-2</v>
      </c>
      <c r="Y1829" s="3"/>
      <c r="Z1829" s="3"/>
      <c r="AA1829" s="3"/>
      <c r="AB1829" s="3"/>
    </row>
    <row r="1830" spans="1:28" x14ac:dyDescent="0.2">
      <c r="A1830">
        <v>1976</v>
      </c>
      <c r="B1830" t="s">
        <v>2012</v>
      </c>
      <c r="C1830" t="s">
        <v>18</v>
      </c>
      <c r="D1830" t="s">
        <v>19</v>
      </c>
      <c r="E1830" t="s">
        <v>24</v>
      </c>
      <c r="F1830" t="s">
        <v>27</v>
      </c>
      <c r="G1830" t="s">
        <v>25</v>
      </c>
      <c r="H1830" s="1">
        <v>66132</v>
      </c>
      <c r="I1830" s="3">
        <v>718</v>
      </c>
      <c r="J1830" s="3">
        <v>761520</v>
      </c>
      <c r="K1830" s="3">
        <v>7107.52</v>
      </c>
      <c r="L1830" s="2">
        <v>21.5</v>
      </c>
      <c r="M1830" s="11">
        <v>27</v>
      </c>
      <c r="N1830" s="3">
        <v>6</v>
      </c>
      <c r="O1830" s="3">
        <v>52934</v>
      </c>
      <c r="P1830" s="3">
        <v>147664</v>
      </c>
      <c r="Q1830" s="10">
        <v>0</v>
      </c>
      <c r="R1830" s="3">
        <f>(Таблица1[Размер кредита]-$AA$2)/$AA$3</f>
        <v>-1.3861005408667189</v>
      </c>
      <c r="S1830" s="3">
        <f>(Таблица1[Кредитный рейтинг]-$AA$7)/($AA$8-$AA$7)</f>
        <v>0.95605858854860182</v>
      </c>
      <c r="T1830" s="3">
        <f>(Таблица1[Срок с последнего нарушения кредитного договора (мес,)]-$AA$12)/($AA$13-$AA$12)</f>
        <v>0.30681818181818182</v>
      </c>
      <c r="U1830" s="3">
        <f>(Таблица1[Количество кредитных карт]-$AA$18)/($AA$19-$AA$18)</f>
        <v>0.11904761904761904</v>
      </c>
      <c r="V1830" s="3">
        <f>(Таблица1[Число нарушений кредитных договоров]-$AA$23)/($AA$24-$AA$23)</f>
        <v>0</v>
      </c>
      <c r="W1830" s="3">
        <f>Таблица1[[#This Row],[Годовой доход]]/12</f>
        <v>63460</v>
      </c>
      <c r="X1830" s="3">
        <f>Таблица1[[#This Row],[Ежемесячный платеж]]/Таблица1[[#This Row],[Ежем доход]]</f>
        <v>0.112</v>
      </c>
      <c r="Y1830" s="3"/>
      <c r="Z1830" s="3"/>
      <c r="AA1830" s="3"/>
      <c r="AB1830" s="3"/>
    </row>
    <row r="1831" spans="1:28" x14ac:dyDescent="0.2">
      <c r="A1831">
        <v>922</v>
      </c>
      <c r="B1831" t="s">
        <v>963</v>
      </c>
      <c r="C1831" t="s">
        <v>18</v>
      </c>
      <c r="D1831" t="s">
        <v>19</v>
      </c>
      <c r="E1831" t="s">
        <v>24</v>
      </c>
      <c r="F1831" t="s">
        <v>21</v>
      </c>
      <c r="G1831" t="s">
        <v>25</v>
      </c>
      <c r="H1831" s="1">
        <v>70136</v>
      </c>
      <c r="I1831" s="3">
        <v>705</v>
      </c>
      <c r="J1831" s="3">
        <v>946295</v>
      </c>
      <c r="K1831" s="3">
        <v>23814.98</v>
      </c>
      <c r="L1831" s="2">
        <v>23.1</v>
      </c>
      <c r="M1831" s="11">
        <v>18</v>
      </c>
      <c r="N1831" s="3">
        <v>9</v>
      </c>
      <c r="O1831" s="3">
        <v>77425</v>
      </c>
      <c r="P1831" s="3">
        <v>146740</v>
      </c>
      <c r="Q1831" s="10">
        <v>0</v>
      </c>
      <c r="R1831" s="3">
        <f>(Таблица1[Размер кредита]-$AA$2)/$AA$3</f>
        <v>-1.3633046441314371</v>
      </c>
      <c r="S1831" s="3">
        <f>(Таблица1[Кредитный рейтинг]-$AA$7)/($AA$8-$AA$7)</f>
        <v>0.93874833555259651</v>
      </c>
      <c r="T1831" s="3">
        <f>(Таблица1[Срок с последнего нарушения кредитного договора (мес,)]-$AA$12)/($AA$13-$AA$12)</f>
        <v>0.20454545454545456</v>
      </c>
      <c r="U1831" s="3">
        <f>(Таблица1[Количество кредитных карт]-$AA$18)/($AA$19-$AA$18)</f>
        <v>0.19047619047619047</v>
      </c>
      <c r="V1831" s="3">
        <f>(Таблица1[Число нарушений кредитных договоров]-$AA$23)/($AA$24-$AA$23)</f>
        <v>0</v>
      </c>
      <c r="W1831" s="3">
        <f>Таблица1[[#This Row],[Годовой доход]]/12</f>
        <v>78857.916666666672</v>
      </c>
      <c r="X1831" s="3">
        <f>Таблица1[[#This Row],[Ежемесячный платеж]]/Таблица1[[#This Row],[Ежем доход]]</f>
        <v>0.3019985945186226</v>
      </c>
      <c r="Y1831" s="3"/>
      <c r="Z1831" s="3"/>
      <c r="AA1831" s="3"/>
      <c r="AB1831" s="3"/>
    </row>
    <row r="1832" spans="1:28" x14ac:dyDescent="0.2">
      <c r="A1832">
        <v>1484</v>
      </c>
      <c r="B1832" t="s">
        <v>1523</v>
      </c>
      <c r="C1832" t="s">
        <v>18</v>
      </c>
      <c r="D1832" t="s">
        <v>19</v>
      </c>
      <c r="E1832" t="s">
        <v>50</v>
      </c>
      <c r="F1832" t="s">
        <v>33</v>
      </c>
      <c r="G1832" t="s">
        <v>67</v>
      </c>
      <c r="H1832" s="1">
        <v>309594.52439999999</v>
      </c>
      <c r="I1832" s="3">
        <v>706</v>
      </c>
      <c r="J1832" s="3">
        <v>562685</v>
      </c>
      <c r="K1832" s="3">
        <v>1359.83</v>
      </c>
      <c r="L1832" s="2">
        <v>11.1</v>
      </c>
      <c r="M1832" s="11">
        <v>41</v>
      </c>
      <c r="N1832" s="3">
        <v>4</v>
      </c>
      <c r="O1832" s="3">
        <v>47823</v>
      </c>
      <c r="P1832" s="3">
        <v>146124</v>
      </c>
      <c r="Q1832" s="10">
        <v>0</v>
      </c>
      <c r="R1832" s="3">
        <f>(Таблица1[Размер кредита]-$AA$2)/$AA$3</f>
        <v>-1.2411115481956205E-10</v>
      </c>
      <c r="S1832" s="3">
        <f>(Таблица1[Кредитный рейтинг]-$AA$7)/($AA$8-$AA$7)</f>
        <v>0.94007989347536614</v>
      </c>
      <c r="T1832" s="3">
        <f>(Таблица1[Срок с последнего нарушения кредитного договора (мес,)]-$AA$12)/($AA$13-$AA$12)</f>
        <v>0.46590909090909088</v>
      </c>
      <c r="U1832" s="3">
        <f>(Таблица1[Количество кредитных карт]-$AA$18)/($AA$19-$AA$18)</f>
        <v>7.1428571428571425E-2</v>
      </c>
      <c r="V1832" s="3">
        <f>(Таблица1[Число нарушений кредитных договоров]-$AA$23)/($AA$24-$AA$23)</f>
        <v>0</v>
      </c>
      <c r="W1832" s="3">
        <f>Таблица1[[#This Row],[Годовой доход]]/12</f>
        <v>46890.416666666664</v>
      </c>
      <c r="X1832" s="3">
        <f>Таблица1[[#This Row],[Ежемесячный платеж]]/Таблица1[[#This Row],[Ежем доход]]</f>
        <v>2.9000168833361473E-2</v>
      </c>
      <c r="Y1832" s="3"/>
      <c r="Z1832" s="3"/>
      <c r="AA1832" s="3"/>
      <c r="AB1832" s="3"/>
    </row>
    <row r="1833" spans="1:28" x14ac:dyDescent="0.2">
      <c r="A1833">
        <v>157</v>
      </c>
      <c r="B1833" t="s">
        <v>199</v>
      </c>
      <c r="C1833" t="s">
        <v>35</v>
      </c>
      <c r="D1833" t="s">
        <v>29</v>
      </c>
      <c r="E1833" t="s">
        <v>41</v>
      </c>
      <c r="F1833" t="s">
        <v>27</v>
      </c>
      <c r="G1833" t="s">
        <v>25</v>
      </c>
      <c r="H1833" s="1">
        <v>393558</v>
      </c>
      <c r="I1833" s="3">
        <v>678</v>
      </c>
      <c r="J1833" s="3">
        <v>2317392</v>
      </c>
      <c r="K1833" s="3">
        <v>22015.3</v>
      </c>
      <c r="L1833" s="2">
        <v>14.7</v>
      </c>
      <c r="M1833" s="11">
        <v>27</v>
      </c>
      <c r="N1833" s="3">
        <v>8</v>
      </c>
      <c r="O1833" s="3">
        <v>124184</v>
      </c>
      <c r="P1833" s="3">
        <v>145552</v>
      </c>
      <c r="Q1833" s="10">
        <v>0</v>
      </c>
      <c r="R1833" s="3">
        <f>(Таблица1[Размер кредита]-$AA$2)/$AA$3</f>
        <v>0.47802765205194897</v>
      </c>
      <c r="S1833" s="3">
        <f>(Таблица1[Кредитный рейтинг]-$AA$7)/($AA$8-$AA$7)</f>
        <v>0.90279627163781628</v>
      </c>
      <c r="T1833" s="3">
        <f>(Таблица1[Срок с последнего нарушения кредитного договора (мес,)]-$AA$12)/($AA$13-$AA$12)</f>
        <v>0.30681818181818182</v>
      </c>
      <c r="U1833" s="3">
        <f>(Таблица1[Количество кредитных карт]-$AA$18)/($AA$19-$AA$18)</f>
        <v>0.16666666666666666</v>
      </c>
      <c r="V1833" s="3">
        <f>(Таблица1[Число нарушений кредитных договоров]-$AA$23)/($AA$24-$AA$23)</f>
        <v>0</v>
      </c>
      <c r="W1833" s="3">
        <f>Таблица1[[#This Row],[Годовой доход]]/12</f>
        <v>193116</v>
      </c>
      <c r="X1833" s="3">
        <f>Таблица1[[#This Row],[Ежемесячный платеж]]/Таблица1[[#This Row],[Ежем доход]]</f>
        <v>0.11400039354584809</v>
      </c>
      <c r="Y1833" s="3"/>
      <c r="Z1833" s="3"/>
      <c r="AA1833" s="3"/>
      <c r="AB1833" s="3"/>
    </row>
    <row r="1834" spans="1:28" x14ac:dyDescent="0.2">
      <c r="A1834">
        <v>1402</v>
      </c>
      <c r="B1834" t="s">
        <v>1441</v>
      </c>
      <c r="C1834" t="s">
        <v>18</v>
      </c>
      <c r="D1834" t="s">
        <v>29</v>
      </c>
      <c r="E1834" t="s">
        <v>20</v>
      </c>
      <c r="F1834" t="s">
        <v>21</v>
      </c>
      <c r="G1834" t="s">
        <v>67</v>
      </c>
      <c r="H1834" s="1">
        <v>329780</v>
      </c>
      <c r="I1834" s="3">
        <v>679</v>
      </c>
      <c r="J1834" s="3">
        <v>918194</v>
      </c>
      <c r="K1834" s="3">
        <v>7957.77</v>
      </c>
      <c r="L1834" s="2">
        <v>19.100000000000001</v>
      </c>
      <c r="M1834" s="11">
        <v>35.265240640000002</v>
      </c>
      <c r="N1834" s="3">
        <v>3</v>
      </c>
      <c r="O1834" s="3">
        <v>123120</v>
      </c>
      <c r="P1834" s="3">
        <v>145464</v>
      </c>
      <c r="Q1834" s="10">
        <v>0</v>
      </c>
      <c r="R1834" s="3">
        <f>(Таблица1[Размер кредита]-$AA$2)/$AA$3</f>
        <v>0.11492158262567619</v>
      </c>
      <c r="S1834" s="3">
        <f>(Таблица1[Кредитный рейтинг]-$AA$7)/($AA$8-$AA$7)</f>
        <v>0.9041278295605859</v>
      </c>
      <c r="T1834" s="3">
        <f>(Таблица1[Срок с последнего нарушения кредитного договора (мес,)]-$AA$12)/($AA$13-$AA$12)</f>
        <v>0.40074137090909095</v>
      </c>
      <c r="U1834" s="3">
        <f>(Таблица1[Количество кредитных карт]-$AA$18)/($AA$19-$AA$18)</f>
        <v>4.7619047619047616E-2</v>
      </c>
      <c r="V1834" s="3">
        <f>(Таблица1[Число нарушений кредитных договоров]-$AA$23)/($AA$24-$AA$23)</f>
        <v>0</v>
      </c>
      <c r="W1834" s="3">
        <f>Таблица1[[#This Row],[Годовой доход]]/12</f>
        <v>76516.166666666672</v>
      </c>
      <c r="X1834" s="3">
        <f>Таблица1[[#This Row],[Ежемесячный платеж]]/Таблица1[[#This Row],[Ежем доход]]</f>
        <v>0.10400115879650705</v>
      </c>
      <c r="Y1834" s="3"/>
      <c r="Z1834" s="3"/>
      <c r="AA1834" s="3"/>
      <c r="AB1834" s="3"/>
    </row>
    <row r="1835" spans="1:28" x14ac:dyDescent="0.2">
      <c r="A1835">
        <v>470</v>
      </c>
      <c r="B1835" t="s">
        <v>511</v>
      </c>
      <c r="C1835" t="s">
        <v>35</v>
      </c>
      <c r="D1835" t="s">
        <v>19</v>
      </c>
      <c r="E1835" t="s">
        <v>24</v>
      </c>
      <c r="F1835" t="s">
        <v>33</v>
      </c>
      <c r="G1835" t="s">
        <v>98</v>
      </c>
      <c r="H1835" s="1">
        <v>140888</v>
      </c>
      <c r="I1835" s="3">
        <v>693</v>
      </c>
      <c r="J1835" s="3">
        <v>1166296</v>
      </c>
      <c r="K1835" s="3">
        <v>7396.32</v>
      </c>
      <c r="L1835" s="2">
        <v>16.399999999999999</v>
      </c>
      <c r="M1835" s="11">
        <v>35.265240640000002</v>
      </c>
      <c r="N1835" s="3">
        <v>6</v>
      </c>
      <c r="O1835" s="3">
        <v>1254</v>
      </c>
      <c r="P1835" s="3">
        <v>145244</v>
      </c>
      <c r="Q1835" s="10">
        <v>0</v>
      </c>
      <c r="R1835" s="3">
        <f>(Таблица1[Размер кредита]-$AA$2)/$AA$3</f>
        <v>-0.96049363368821761</v>
      </c>
      <c r="S1835" s="3">
        <f>(Таблица1[Кредитный рейтинг]-$AA$7)/($AA$8-$AA$7)</f>
        <v>0.92276964047936083</v>
      </c>
      <c r="T1835" s="3">
        <f>(Таблица1[Срок с последнего нарушения кредитного договора (мес,)]-$AA$12)/($AA$13-$AA$12)</f>
        <v>0.40074137090909095</v>
      </c>
      <c r="U1835" s="3">
        <f>(Таблица1[Количество кредитных карт]-$AA$18)/($AA$19-$AA$18)</f>
        <v>0.11904761904761904</v>
      </c>
      <c r="V1835" s="3">
        <f>(Таблица1[Число нарушений кредитных договоров]-$AA$23)/($AA$24-$AA$23)</f>
        <v>0</v>
      </c>
      <c r="W1835" s="3">
        <f>Таблица1[[#This Row],[Годовой доход]]/12</f>
        <v>97191.333333333328</v>
      </c>
      <c r="X1835" s="3">
        <f>Таблица1[[#This Row],[Ежемесячный платеж]]/Таблица1[[#This Row],[Ежем доход]]</f>
        <v>7.6100612537469053E-2</v>
      </c>
      <c r="Y1835" s="3"/>
      <c r="Z1835" s="3"/>
      <c r="AA1835" s="3"/>
      <c r="AB1835" s="3"/>
    </row>
    <row r="1836" spans="1:28" x14ac:dyDescent="0.2">
      <c r="A1836">
        <v>510</v>
      </c>
      <c r="B1836" t="s">
        <v>551</v>
      </c>
      <c r="C1836" t="s">
        <v>35</v>
      </c>
      <c r="D1836" t="s">
        <v>19</v>
      </c>
      <c r="E1836" t="s">
        <v>30</v>
      </c>
      <c r="F1836" t="s">
        <v>21</v>
      </c>
      <c r="G1836" t="s">
        <v>25</v>
      </c>
      <c r="H1836" s="1">
        <v>321420</v>
      </c>
      <c r="I1836" s="3">
        <v>745</v>
      </c>
      <c r="J1836" s="3">
        <v>1542192</v>
      </c>
      <c r="K1836" s="3">
        <v>12106.23</v>
      </c>
      <c r="L1836" s="2">
        <v>21.4</v>
      </c>
      <c r="M1836" s="11">
        <v>39</v>
      </c>
      <c r="N1836" s="3">
        <v>4</v>
      </c>
      <c r="O1836" s="3">
        <v>121657</v>
      </c>
      <c r="P1836" s="3">
        <v>145068</v>
      </c>
      <c r="Q1836" s="10">
        <v>0</v>
      </c>
      <c r="R1836" s="3">
        <f>(Таблица1[Размер кредита]-$AA$2)/$AA$3</f>
        <v>6.7325754277285835E-2</v>
      </c>
      <c r="S1836" s="3">
        <f>(Таблица1[Кредитный рейтинг]-$AA$7)/($AA$8-$AA$7)</f>
        <v>0.99201065246338216</v>
      </c>
      <c r="T1836" s="3">
        <f>(Таблица1[Срок с последнего нарушения кредитного договора (мес,)]-$AA$12)/($AA$13-$AA$12)</f>
        <v>0.44318181818181818</v>
      </c>
      <c r="U1836" s="3">
        <f>(Таблица1[Количество кредитных карт]-$AA$18)/($AA$19-$AA$18)</f>
        <v>7.1428571428571425E-2</v>
      </c>
      <c r="V1836" s="3">
        <f>(Таблица1[Число нарушений кредитных договоров]-$AA$23)/($AA$24-$AA$23)</f>
        <v>0</v>
      </c>
      <c r="W1836" s="3">
        <f>Таблица1[[#This Row],[Годовой доход]]/12</f>
        <v>128516</v>
      </c>
      <c r="X1836" s="3">
        <f>Таблица1[[#This Row],[Ежемесячный платеж]]/Таблица1[[#This Row],[Ежем доход]]</f>
        <v>9.4200177409816677E-2</v>
      </c>
      <c r="Y1836" s="3"/>
      <c r="Z1836" s="3"/>
      <c r="AA1836" s="3"/>
      <c r="AB1836" s="3"/>
    </row>
    <row r="1837" spans="1:28" x14ac:dyDescent="0.2">
      <c r="A1837">
        <v>670</v>
      </c>
      <c r="B1837" t="s">
        <v>711</v>
      </c>
      <c r="C1837" t="s">
        <v>18</v>
      </c>
      <c r="D1837" t="s">
        <v>29</v>
      </c>
      <c r="E1837" t="s">
        <v>69</v>
      </c>
      <c r="F1837" t="s">
        <v>21</v>
      </c>
      <c r="G1837" t="s">
        <v>25</v>
      </c>
      <c r="H1837" s="1">
        <v>351076</v>
      </c>
      <c r="I1837" s="3">
        <v>716</v>
      </c>
      <c r="J1837" s="3">
        <v>758024</v>
      </c>
      <c r="K1837" s="3">
        <v>8780.4699999999993</v>
      </c>
      <c r="L1837" s="2">
        <v>16.5</v>
      </c>
      <c r="M1837" s="11">
        <v>35.265240640000002</v>
      </c>
      <c r="N1837" s="3">
        <v>8</v>
      </c>
      <c r="O1837" s="3">
        <v>97983</v>
      </c>
      <c r="P1837" s="3">
        <v>144892</v>
      </c>
      <c r="Q1837" s="10">
        <v>1</v>
      </c>
      <c r="R1837" s="3">
        <f>(Таблица1[Размер кредита]-$AA$2)/$AA$3</f>
        <v>0.23616569273420743</v>
      </c>
      <c r="S1837" s="3">
        <f>(Таблица1[Кредитный рейтинг]-$AA$7)/($AA$8-$AA$7)</f>
        <v>0.95339547270306257</v>
      </c>
      <c r="T1837" s="3">
        <f>(Таблица1[Срок с последнего нарушения кредитного договора (мес,)]-$AA$12)/($AA$13-$AA$12)</f>
        <v>0.40074137090909095</v>
      </c>
      <c r="U1837" s="3">
        <f>(Таблица1[Количество кредитных карт]-$AA$18)/($AA$19-$AA$18)</f>
        <v>0.16666666666666666</v>
      </c>
      <c r="V1837" s="3">
        <f>(Таблица1[Число нарушений кредитных договоров]-$AA$23)/($AA$24-$AA$23)</f>
        <v>0.14285714285714285</v>
      </c>
      <c r="W1837" s="3">
        <f>Таблица1[[#This Row],[Годовой доход]]/12</f>
        <v>63168.666666666664</v>
      </c>
      <c r="X1837" s="3">
        <f>Таблица1[[#This Row],[Ежемесячный платеж]]/Таблица1[[#This Row],[Ежем доход]]</f>
        <v>0.13900040104271105</v>
      </c>
      <c r="Y1837" s="3"/>
      <c r="Z1837" s="3"/>
      <c r="AA1837" s="3"/>
      <c r="AB1837" s="3"/>
    </row>
    <row r="1838" spans="1:28" x14ac:dyDescent="0.2">
      <c r="A1838">
        <v>1559</v>
      </c>
      <c r="B1838" t="s">
        <v>1598</v>
      </c>
      <c r="C1838" t="s">
        <v>18</v>
      </c>
      <c r="D1838" t="s">
        <v>29</v>
      </c>
      <c r="E1838" t="s">
        <v>63</v>
      </c>
      <c r="F1838" t="s">
        <v>21</v>
      </c>
      <c r="G1838" t="s">
        <v>22</v>
      </c>
      <c r="H1838" s="1">
        <v>292952</v>
      </c>
      <c r="I1838" s="3">
        <v>649</v>
      </c>
      <c r="J1838" s="3">
        <v>2062260</v>
      </c>
      <c r="K1838" s="3">
        <v>18388.580000000002</v>
      </c>
      <c r="L1838" s="2">
        <v>9.1</v>
      </c>
      <c r="M1838" s="11">
        <v>43</v>
      </c>
      <c r="N1838" s="3">
        <v>8</v>
      </c>
      <c r="O1838" s="3">
        <v>68780</v>
      </c>
      <c r="P1838" s="3">
        <v>143770</v>
      </c>
      <c r="Q1838" s="10">
        <v>0</v>
      </c>
      <c r="R1838" s="3">
        <f>(Таблица1[Размер кредита]-$AA$2)/$AA$3</f>
        <v>-9.4750566466969777E-2</v>
      </c>
      <c r="S1838" s="3">
        <f>(Таблица1[Кредитный рейтинг]-$AA$7)/($AA$8-$AA$7)</f>
        <v>0.8641810918774967</v>
      </c>
      <c r="T1838" s="3">
        <f>(Таблица1[Срок с последнего нарушения кредитного договора (мес,)]-$AA$12)/($AA$13-$AA$12)</f>
        <v>0.48863636363636365</v>
      </c>
      <c r="U1838" s="3">
        <f>(Таблица1[Количество кредитных карт]-$AA$18)/($AA$19-$AA$18)</f>
        <v>0.16666666666666666</v>
      </c>
      <c r="V1838" s="3">
        <f>(Таблица1[Число нарушений кредитных договоров]-$AA$23)/($AA$24-$AA$23)</f>
        <v>0</v>
      </c>
      <c r="W1838" s="3">
        <f>Таблица1[[#This Row],[Годовой доход]]/12</f>
        <v>171855</v>
      </c>
      <c r="X1838" s="3">
        <f>Таблица1[[#This Row],[Ежемесячный платеж]]/Таблица1[[#This Row],[Ежем доход]]</f>
        <v>0.10700055279159758</v>
      </c>
      <c r="Y1838" s="3"/>
      <c r="Z1838" s="3"/>
      <c r="AA1838" s="3"/>
      <c r="AB1838" s="3"/>
    </row>
    <row r="1839" spans="1:28" x14ac:dyDescent="0.2">
      <c r="A1839">
        <v>437</v>
      </c>
      <c r="B1839" t="s">
        <v>478</v>
      </c>
      <c r="C1839" t="s">
        <v>18</v>
      </c>
      <c r="D1839" t="s">
        <v>19</v>
      </c>
      <c r="E1839" t="s">
        <v>24</v>
      </c>
      <c r="F1839" t="s">
        <v>33</v>
      </c>
      <c r="G1839" t="s">
        <v>25</v>
      </c>
      <c r="H1839" s="1">
        <v>188166</v>
      </c>
      <c r="I1839" s="3">
        <v>747</v>
      </c>
      <c r="J1839" s="3">
        <v>2408554</v>
      </c>
      <c r="K1839" s="3">
        <v>7587.08</v>
      </c>
      <c r="L1839" s="2">
        <v>16.5</v>
      </c>
      <c r="M1839" s="11">
        <v>35.265240640000002</v>
      </c>
      <c r="N1839" s="3">
        <v>7</v>
      </c>
      <c r="O1839" s="3">
        <v>85975</v>
      </c>
      <c r="P1839" s="3">
        <v>143440</v>
      </c>
      <c r="Q1839" s="10">
        <v>1</v>
      </c>
      <c r="R1839" s="3">
        <f>(Таблица1[Размер кредита]-$AA$2)/$AA$3</f>
        <v>-0.69132669916008371</v>
      </c>
      <c r="S1839" s="3">
        <f>(Таблица1[Кредитный рейтинг]-$AA$7)/($AA$8-$AA$7)</f>
        <v>0.9946737683089214</v>
      </c>
      <c r="T1839" s="3">
        <f>(Таблица1[Срок с последнего нарушения кредитного договора (мес,)]-$AA$12)/($AA$13-$AA$12)</f>
        <v>0.40074137090909095</v>
      </c>
      <c r="U1839" s="3">
        <f>(Таблица1[Количество кредитных карт]-$AA$18)/($AA$19-$AA$18)</f>
        <v>0.14285714285714285</v>
      </c>
      <c r="V1839" s="3">
        <f>(Таблица1[Число нарушений кредитных договоров]-$AA$23)/($AA$24-$AA$23)</f>
        <v>0.14285714285714285</v>
      </c>
      <c r="W1839" s="3">
        <f>Таблица1[[#This Row],[Годовой доход]]/12</f>
        <v>200712.83333333334</v>
      </c>
      <c r="X1839" s="3">
        <f>Таблица1[[#This Row],[Ежемесячный платеж]]/Таблица1[[#This Row],[Ежем доход]]</f>
        <v>3.7800672104507514E-2</v>
      </c>
      <c r="Y1839" s="3"/>
      <c r="Z1839" s="3"/>
      <c r="AA1839" s="3"/>
      <c r="AB1839" s="3"/>
    </row>
    <row r="1840" spans="1:28" x14ac:dyDescent="0.2">
      <c r="A1840">
        <v>1282</v>
      </c>
      <c r="B1840" t="s">
        <v>1321</v>
      </c>
      <c r="C1840" t="s">
        <v>18</v>
      </c>
      <c r="D1840" t="s">
        <v>19</v>
      </c>
      <c r="E1840" t="s">
        <v>24</v>
      </c>
      <c r="F1840" t="s">
        <v>33</v>
      </c>
      <c r="G1840" t="s">
        <v>70</v>
      </c>
      <c r="H1840" s="1">
        <v>129976</v>
      </c>
      <c r="I1840" s="3">
        <v>719</v>
      </c>
      <c r="J1840" s="3">
        <v>561222</v>
      </c>
      <c r="K1840" s="3">
        <v>10008.44</v>
      </c>
      <c r="L1840" s="2">
        <v>21.1</v>
      </c>
      <c r="M1840" s="11">
        <v>35.265240640000002</v>
      </c>
      <c r="N1840" s="3">
        <v>6</v>
      </c>
      <c r="O1840" s="3">
        <v>117401</v>
      </c>
      <c r="P1840" s="3">
        <v>142934</v>
      </c>
      <c r="Q1840" s="10">
        <v>0</v>
      </c>
      <c r="R1840" s="3">
        <f>(Таблица1[Размер кредита]-$AA$2)/$AA$3</f>
        <v>-1.0226187149008534</v>
      </c>
      <c r="S1840" s="3">
        <f>(Таблица1[Кредитный рейтинг]-$AA$7)/($AA$8-$AA$7)</f>
        <v>0.95739014647137155</v>
      </c>
      <c r="T1840" s="3">
        <f>(Таблица1[Срок с последнего нарушения кредитного договора (мес,)]-$AA$12)/($AA$13-$AA$12)</f>
        <v>0.40074137090909095</v>
      </c>
      <c r="U1840" s="3">
        <f>(Таблица1[Количество кредитных карт]-$AA$18)/($AA$19-$AA$18)</f>
        <v>0.11904761904761904</v>
      </c>
      <c r="V1840" s="3">
        <f>(Таблица1[Число нарушений кредитных договоров]-$AA$23)/($AA$24-$AA$23)</f>
        <v>0</v>
      </c>
      <c r="W1840" s="3">
        <f>Таблица1[[#This Row],[Годовой доход]]/12</f>
        <v>46768.5</v>
      </c>
      <c r="X1840" s="3">
        <f>Таблица1[[#This Row],[Ежемесячный платеж]]/Таблица1[[#This Row],[Ежем доход]]</f>
        <v>0.21399959374365227</v>
      </c>
      <c r="Y1840" s="3"/>
      <c r="Z1840" s="3"/>
      <c r="AA1840" s="3"/>
      <c r="AB1840" s="3"/>
    </row>
    <row r="1841" spans="1:28" x14ac:dyDescent="0.2">
      <c r="A1841">
        <v>905</v>
      </c>
      <c r="B1841" t="s">
        <v>946</v>
      </c>
      <c r="C1841" t="s">
        <v>18</v>
      </c>
      <c r="D1841" t="s">
        <v>19</v>
      </c>
      <c r="E1841" t="s">
        <v>20</v>
      </c>
      <c r="F1841" t="s">
        <v>33</v>
      </c>
      <c r="G1841" t="s">
        <v>67</v>
      </c>
      <c r="H1841" s="1">
        <v>92092</v>
      </c>
      <c r="I1841" s="3">
        <v>723</v>
      </c>
      <c r="J1841" s="3">
        <v>852188</v>
      </c>
      <c r="K1841" s="3">
        <v>10439.17</v>
      </c>
      <c r="L1841" s="2">
        <v>12.4</v>
      </c>
      <c r="M1841" s="11">
        <v>35.265240640000002</v>
      </c>
      <c r="N1841" s="3">
        <v>6</v>
      </c>
      <c r="O1841" s="3">
        <v>124583</v>
      </c>
      <c r="P1841" s="3">
        <v>142560</v>
      </c>
      <c r="Q1841" s="10">
        <v>0</v>
      </c>
      <c r="R1841" s="3">
        <f>(Таблица1[Размер кредита]-$AA$2)/$AA$3</f>
        <v>-1.2383029686269804</v>
      </c>
      <c r="S1841" s="3">
        <f>(Таблица1[Кредитный рейтинг]-$AA$7)/($AA$8-$AA$7)</f>
        <v>0.96271637816245004</v>
      </c>
      <c r="T1841" s="3">
        <f>(Таблица1[Срок с последнего нарушения кредитного договора (мес,)]-$AA$12)/($AA$13-$AA$12)</f>
        <v>0.40074137090909095</v>
      </c>
      <c r="U1841" s="3">
        <f>(Таблица1[Количество кредитных карт]-$AA$18)/($AA$19-$AA$18)</f>
        <v>0.11904761904761904</v>
      </c>
      <c r="V1841" s="3">
        <f>(Таблица1[Число нарушений кредитных договоров]-$AA$23)/($AA$24-$AA$23)</f>
        <v>0</v>
      </c>
      <c r="W1841" s="3">
        <f>Таблица1[[#This Row],[Годовой доход]]/12</f>
        <v>71015.666666666672</v>
      </c>
      <c r="X1841" s="3">
        <f>Таблица1[[#This Row],[Ежемесячный платеж]]/Таблица1[[#This Row],[Ежем доход]]</f>
        <v>0.14699812717381611</v>
      </c>
      <c r="Y1841" s="3"/>
      <c r="Z1841" s="3"/>
      <c r="AA1841" s="3"/>
      <c r="AB1841" s="3"/>
    </row>
    <row r="1842" spans="1:28" x14ac:dyDescent="0.2">
      <c r="A1842">
        <v>1612</v>
      </c>
      <c r="B1842" t="s">
        <v>1651</v>
      </c>
      <c r="C1842" t="s">
        <v>18</v>
      </c>
      <c r="D1842" t="s">
        <v>19</v>
      </c>
      <c r="E1842" t="s">
        <v>47</v>
      </c>
      <c r="F1842" t="s">
        <v>21</v>
      </c>
      <c r="G1842" t="s">
        <v>25</v>
      </c>
      <c r="H1842" s="1">
        <v>206690</v>
      </c>
      <c r="I1842" s="3">
        <v>655</v>
      </c>
      <c r="J1842" s="3">
        <v>1499176</v>
      </c>
      <c r="K1842" s="3">
        <v>22737.49</v>
      </c>
      <c r="L1842" s="2">
        <v>15.7</v>
      </c>
      <c r="M1842" s="11">
        <v>13</v>
      </c>
      <c r="N1842" s="3">
        <v>10</v>
      </c>
      <c r="O1842" s="3">
        <v>65683</v>
      </c>
      <c r="P1842" s="3">
        <v>140844</v>
      </c>
      <c r="Q1842" s="10">
        <v>1</v>
      </c>
      <c r="R1842" s="3">
        <f>(Таблица1[Размер кредита]-$AA$2)/$AA$3</f>
        <v>-0.58586436371443984</v>
      </c>
      <c r="S1842" s="3">
        <f>(Таблица1[Кредитный рейтинг]-$AA$7)/($AA$8-$AA$7)</f>
        <v>0.87217043941411454</v>
      </c>
      <c r="T1842" s="3">
        <f>(Таблица1[Срок с последнего нарушения кредитного договора (мес,)]-$AA$12)/($AA$13-$AA$12)</f>
        <v>0.14772727272727273</v>
      </c>
      <c r="U1842" s="3">
        <f>(Таблица1[Количество кредитных карт]-$AA$18)/($AA$19-$AA$18)</f>
        <v>0.21428571428571427</v>
      </c>
      <c r="V1842" s="3">
        <f>(Таблица1[Число нарушений кредитных договоров]-$AA$23)/($AA$24-$AA$23)</f>
        <v>0.14285714285714285</v>
      </c>
      <c r="W1842" s="3">
        <f>Таблица1[[#This Row],[Годовой доход]]/12</f>
        <v>124931.33333333333</v>
      </c>
      <c r="X1842" s="3">
        <f>Таблица1[[#This Row],[Ежемесячный платеж]]/Таблица1[[#This Row],[Ежем доход]]</f>
        <v>0.18199989861097032</v>
      </c>
      <c r="Y1842" s="3"/>
      <c r="Z1842" s="3"/>
      <c r="AA1842" s="3"/>
      <c r="AB1842" s="3"/>
    </row>
    <row r="1843" spans="1:28" x14ac:dyDescent="0.2">
      <c r="A1843">
        <v>475</v>
      </c>
      <c r="B1843" s="4" t="s">
        <v>516</v>
      </c>
      <c r="C1843" t="s">
        <v>35</v>
      </c>
      <c r="D1843" t="s">
        <v>19</v>
      </c>
      <c r="E1843" t="s">
        <v>50</v>
      </c>
      <c r="F1843" t="s">
        <v>33</v>
      </c>
      <c r="G1843" t="s">
        <v>25</v>
      </c>
      <c r="H1843" s="1">
        <v>220770</v>
      </c>
      <c r="I1843" s="3">
        <v>705</v>
      </c>
      <c r="J1843" s="3">
        <v>571995</v>
      </c>
      <c r="K1843" s="3">
        <v>10915.5</v>
      </c>
      <c r="L1843" s="2">
        <v>21.3</v>
      </c>
      <c r="M1843" s="11">
        <v>35.265240640000002</v>
      </c>
      <c r="N1843" s="3">
        <v>6</v>
      </c>
      <c r="O1843" s="3">
        <v>93043</v>
      </c>
      <c r="P1843" s="3">
        <v>139018</v>
      </c>
      <c r="Q1843" s="10">
        <v>0</v>
      </c>
      <c r="R1843" s="3">
        <f>(Таблица1[Размер кредита]-$AA$2)/$AA$3</f>
        <v>-0.50570296860136132</v>
      </c>
      <c r="S1843" s="3">
        <f>(Таблица1[Кредитный рейтинг]-$AA$7)/($AA$8-$AA$7)</f>
        <v>0.93874833555259651</v>
      </c>
      <c r="T1843" s="3">
        <f>(Таблица1[Срок с последнего нарушения кредитного договора (мес,)]-$AA$12)/($AA$13-$AA$12)</f>
        <v>0.40074137090909095</v>
      </c>
      <c r="U1843" s="3">
        <f>(Таблица1[Количество кредитных карт]-$AA$18)/($AA$19-$AA$18)</f>
        <v>0.11904761904761904</v>
      </c>
      <c r="V1843" s="3">
        <f>(Таблица1[Число нарушений кредитных договоров]-$AA$23)/($AA$24-$AA$23)</f>
        <v>0</v>
      </c>
      <c r="W1843" s="3">
        <f>Таблица1[[#This Row],[Годовой доход]]/12</f>
        <v>47666.25</v>
      </c>
      <c r="X1843" s="3">
        <f>Таблица1[[#This Row],[Ежемесячный платеж]]/Таблица1[[#This Row],[Ежем доход]]</f>
        <v>0.22899850523168908</v>
      </c>
      <c r="Y1843" s="3"/>
      <c r="Z1843" s="3"/>
      <c r="AA1843" s="3"/>
      <c r="AB1843" s="3"/>
    </row>
    <row r="1844" spans="1:28" x14ac:dyDescent="0.2">
      <c r="A1844">
        <v>1262</v>
      </c>
      <c r="B1844" t="s">
        <v>1301</v>
      </c>
      <c r="C1844" t="s">
        <v>35</v>
      </c>
      <c r="D1844" t="s">
        <v>19</v>
      </c>
      <c r="E1844" t="s">
        <v>37</v>
      </c>
      <c r="F1844" t="s">
        <v>27</v>
      </c>
      <c r="G1844" t="s">
        <v>67</v>
      </c>
      <c r="H1844" s="1">
        <v>48268</v>
      </c>
      <c r="I1844" s="3">
        <v>720</v>
      </c>
      <c r="J1844" s="3">
        <v>217911</v>
      </c>
      <c r="K1844" s="3">
        <v>4013.18</v>
      </c>
      <c r="L1844" s="2">
        <v>7.4</v>
      </c>
      <c r="M1844" s="11">
        <v>29</v>
      </c>
      <c r="N1844" s="3">
        <v>6</v>
      </c>
      <c r="O1844" s="3">
        <v>71782</v>
      </c>
      <c r="P1844" s="3">
        <v>138292</v>
      </c>
      <c r="Q1844" s="10">
        <v>0</v>
      </c>
      <c r="R1844" s="3">
        <f>(Таблица1[Размер кредита]-$AA$2)/$AA$3</f>
        <v>-1.4878053109164371</v>
      </c>
      <c r="S1844" s="3">
        <f>(Таблица1[Кредитный рейтинг]-$AA$7)/($AA$8-$AA$7)</f>
        <v>0.95872170439414117</v>
      </c>
      <c r="T1844" s="3">
        <f>(Таблица1[Срок с последнего нарушения кредитного договора (мес,)]-$AA$12)/($AA$13-$AA$12)</f>
        <v>0.32954545454545453</v>
      </c>
      <c r="U1844" s="3">
        <f>(Таблица1[Количество кредитных карт]-$AA$18)/($AA$19-$AA$18)</f>
        <v>0.11904761904761904</v>
      </c>
      <c r="V1844" s="3">
        <f>(Таблица1[Число нарушений кредитных договоров]-$AA$23)/($AA$24-$AA$23)</f>
        <v>0</v>
      </c>
      <c r="W1844" s="3">
        <f>Таблица1[[#This Row],[Годовой доход]]/12</f>
        <v>18159.25</v>
      </c>
      <c r="X1844" s="3">
        <f>Таблица1[[#This Row],[Ежемесячный платеж]]/Таблица1[[#This Row],[Ежем доход]]</f>
        <v>0.22099921527596128</v>
      </c>
      <c r="Y1844" s="3"/>
      <c r="Z1844" s="3"/>
      <c r="AA1844" s="3"/>
      <c r="AB1844" s="3"/>
    </row>
    <row r="1845" spans="1:28" x14ac:dyDescent="0.2">
      <c r="A1845">
        <v>78</v>
      </c>
      <c r="B1845" t="s">
        <v>120</v>
      </c>
      <c r="C1845" t="s">
        <v>18</v>
      </c>
      <c r="D1845" t="s">
        <v>19</v>
      </c>
      <c r="E1845" t="s">
        <v>50</v>
      </c>
      <c r="F1845" t="s">
        <v>21</v>
      </c>
      <c r="G1845" t="s">
        <v>22</v>
      </c>
      <c r="H1845" s="1">
        <v>163966</v>
      </c>
      <c r="I1845" s="3">
        <v>678</v>
      </c>
      <c r="J1845" s="3">
        <v>719910</v>
      </c>
      <c r="K1845" s="3">
        <v>12778.26</v>
      </c>
      <c r="L1845" s="2">
        <v>6.4</v>
      </c>
      <c r="M1845" s="11">
        <v>35.265240640000002</v>
      </c>
      <c r="N1845" s="3">
        <v>9</v>
      </c>
      <c r="O1845" s="3">
        <v>66025</v>
      </c>
      <c r="P1845" s="3">
        <v>138248</v>
      </c>
      <c r="Q1845" s="10">
        <v>1</v>
      </c>
      <c r="R1845" s="3">
        <f>(Таблица1[Размер кредита]-$AA$2)/$AA$3</f>
        <v>-0.82910409701068744</v>
      </c>
      <c r="S1845" s="3">
        <f>(Таблица1[Кредитный рейтинг]-$AA$7)/($AA$8-$AA$7)</f>
        <v>0.90279627163781628</v>
      </c>
      <c r="T1845" s="3">
        <f>(Таблица1[Срок с последнего нарушения кредитного договора (мес,)]-$AA$12)/($AA$13-$AA$12)</f>
        <v>0.40074137090909095</v>
      </c>
      <c r="U1845" s="3">
        <f>(Таблица1[Количество кредитных карт]-$AA$18)/($AA$19-$AA$18)</f>
        <v>0.19047619047619047</v>
      </c>
      <c r="V1845" s="3">
        <f>(Таблица1[Число нарушений кредитных договоров]-$AA$23)/($AA$24-$AA$23)</f>
        <v>0.14285714285714285</v>
      </c>
      <c r="W1845" s="3">
        <f>Таблица1[[#This Row],[Годовой доход]]/12</f>
        <v>59992.5</v>
      </c>
      <c r="X1845" s="3">
        <f>Таблица1[[#This Row],[Ежемесячный платеж]]/Таблица1[[#This Row],[Ежем доход]]</f>
        <v>0.21299762470308789</v>
      </c>
      <c r="Y1845" s="3"/>
      <c r="Z1845" s="3"/>
      <c r="AA1845" s="3"/>
      <c r="AB1845" s="3"/>
    </row>
    <row r="1846" spans="1:28" x14ac:dyDescent="0.2">
      <c r="A1846">
        <v>1987</v>
      </c>
      <c r="B1846" t="s">
        <v>2023</v>
      </c>
      <c r="C1846" t="s">
        <v>35</v>
      </c>
      <c r="D1846" t="s">
        <v>19</v>
      </c>
      <c r="E1846" t="s">
        <v>52</v>
      </c>
      <c r="F1846" t="s">
        <v>33</v>
      </c>
      <c r="G1846" t="s">
        <v>25</v>
      </c>
      <c r="H1846" s="1">
        <v>132682</v>
      </c>
      <c r="I1846" s="3">
        <v>718</v>
      </c>
      <c r="J1846" s="3">
        <v>630268</v>
      </c>
      <c r="K1846" s="3">
        <v>4432.8900000000003</v>
      </c>
      <c r="L1846" s="2">
        <v>9.8000000000000007</v>
      </c>
      <c r="M1846" s="11">
        <v>53</v>
      </c>
      <c r="N1846" s="3">
        <v>8</v>
      </c>
      <c r="O1846" s="3">
        <v>47557</v>
      </c>
      <c r="P1846" s="3">
        <v>136972</v>
      </c>
      <c r="Q1846" s="10">
        <v>0</v>
      </c>
      <c r="R1846" s="3">
        <f>(Таблица1[Размер кредита]-$AA$2)/$AA$3</f>
        <v>-1.0072126967775588</v>
      </c>
      <c r="S1846" s="3">
        <f>(Таблица1[Кредитный рейтинг]-$AA$7)/($AA$8-$AA$7)</f>
        <v>0.95605858854860182</v>
      </c>
      <c r="T1846" s="3">
        <f>(Таблица1[Срок с последнего нарушения кредитного договора (мес,)]-$AA$12)/($AA$13-$AA$12)</f>
        <v>0.60227272727272729</v>
      </c>
      <c r="U1846" s="3">
        <f>(Таблица1[Количество кредитных карт]-$AA$18)/($AA$19-$AA$18)</f>
        <v>0.16666666666666666</v>
      </c>
      <c r="V1846" s="3">
        <f>(Таблица1[Число нарушений кредитных договоров]-$AA$23)/($AA$24-$AA$23)</f>
        <v>0</v>
      </c>
      <c r="W1846" s="3">
        <f>Таблица1[[#This Row],[Годовой доход]]/12</f>
        <v>52522.333333333336</v>
      </c>
      <c r="X1846" s="3">
        <f>Таблица1[[#This Row],[Ежемесячный платеж]]/Таблица1[[#This Row],[Ежем доход]]</f>
        <v>8.4400096466899791E-2</v>
      </c>
      <c r="Y1846" s="3"/>
      <c r="Z1846" s="3"/>
      <c r="AA1846" s="3"/>
      <c r="AB1846" s="3"/>
    </row>
    <row r="1847" spans="1:28" x14ac:dyDescent="0.2">
      <c r="A1847">
        <v>1026</v>
      </c>
      <c r="B1847" t="s">
        <v>1065</v>
      </c>
      <c r="C1847" t="s">
        <v>18</v>
      </c>
      <c r="D1847" t="s">
        <v>19</v>
      </c>
      <c r="E1847" t="s">
        <v>24</v>
      </c>
      <c r="F1847" t="s">
        <v>33</v>
      </c>
      <c r="G1847" t="s">
        <v>67</v>
      </c>
      <c r="H1847" s="1">
        <v>248248</v>
      </c>
      <c r="I1847" s="3">
        <v>710</v>
      </c>
      <c r="J1847" s="3">
        <v>618089</v>
      </c>
      <c r="K1847" s="3">
        <v>6953.62</v>
      </c>
      <c r="L1847" s="2">
        <v>12.8</v>
      </c>
      <c r="M1847" s="11">
        <v>77</v>
      </c>
      <c r="N1847" s="3">
        <v>6</v>
      </c>
      <c r="O1847" s="3">
        <v>51585</v>
      </c>
      <c r="P1847" s="3">
        <v>136378</v>
      </c>
      <c r="Q1847" s="10">
        <v>0</v>
      </c>
      <c r="R1847" s="3">
        <f>(Таблица1[Размер кредита]-$AA$2)/$AA$3</f>
        <v>-0.34926299595099403</v>
      </c>
      <c r="S1847" s="3">
        <f>(Таблица1[Кредитный рейтинг]-$AA$7)/($AA$8-$AA$7)</f>
        <v>0.94540612516644473</v>
      </c>
      <c r="T1847" s="3">
        <f>(Таблица1[Срок с последнего нарушения кредитного договора (мес,)]-$AA$12)/($AA$13-$AA$12)</f>
        <v>0.875</v>
      </c>
      <c r="U1847" s="3">
        <f>(Таблица1[Количество кредитных карт]-$AA$18)/($AA$19-$AA$18)</f>
        <v>0.11904761904761904</v>
      </c>
      <c r="V1847" s="3">
        <f>(Таблица1[Число нарушений кредитных договоров]-$AA$23)/($AA$24-$AA$23)</f>
        <v>0</v>
      </c>
      <c r="W1847" s="3">
        <f>Таблица1[[#This Row],[Годовой доход]]/12</f>
        <v>51507.416666666664</v>
      </c>
      <c r="X1847" s="3">
        <f>Таблица1[[#This Row],[Ежемесячный платеж]]/Таблица1[[#This Row],[Ежем доход]]</f>
        <v>0.13500230549322184</v>
      </c>
      <c r="Y1847" s="3"/>
      <c r="Z1847" s="3"/>
      <c r="AA1847" s="3"/>
      <c r="AB1847" s="3"/>
    </row>
    <row r="1848" spans="1:28" x14ac:dyDescent="0.2">
      <c r="A1848">
        <v>1164</v>
      </c>
      <c r="B1848" t="s">
        <v>1203</v>
      </c>
      <c r="C1848" t="s">
        <v>18</v>
      </c>
      <c r="D1848" t="s">
        <v>19</v>
      </c>
      <c r="E1848" t="s">
        <v>37</v>
      </c>
      <c r="F1848" t="s">
        <v>33</v>
      </c>
      <c r="G1848" t="s">
        <v>67</v>
      </c>
      <c r="H1848" s="1">
        <v>536602</v>
      </c>
      <c r="I1848" s="3">
        <v>0</v>
      </c>
      <c r="J1848" s="3">
        <v>1168044</v>
      </c>
      <c r="K1848" s="3">
        <v>10057.08</v>
      </c>
      <c r="L1848" s="2">
        <v>5.4</v>
      </c>
      <c r="M1848" s="11">
        <v>35.265240640000002</v>
      </c>
      <c r="N1848" s="3">
        <v>8</v>
      </c>
      <c r="O1848" s="3">
        <v>50388</v>
      </c>
      <c r="P1848" s="3">
        <v>136290</v>
      </c>
      <c r="Q1848" s="10">
        <v>0</v>
      </c>
      <c r="R1848" s="3">
        <f>(Таблица1[Размер кредита]-$AA$2)/$AA$3</f>
        <v>1.2924173255288809</v>
      </c>
      <c r="S1848" s="3">
        <f>(Таблица1[Кредитный рейтинг]-$AA$7)/($AA$8-$AA$7)</f>
        <v>0</v>
      </c>
      <c r="T1848" s="3">
        <f>(Таблица1[Срок с последнего нарушения кредитного договора (мес,)]-$AA$12)/($AA$13-$AA$12)</f>
        <v>0.40074137090909095</v>
      </c>
      <c r="U1848" s="3">
        <f>(Таблица1[Количество кредитных карт]-$AA$18)/($AA$19-$AA$18)</f>
        <v>0.16666666666666666</v>
      </c>
      <c r="V1848" s="3">
        <f>(Таблица1[Число нарушений кредитных договоров]-$AA$23)/($AA$24-$AA$23)</f>
        <v>0</v>
      </c>
      <c r="W1848" s="3">
        <f>Таблица1[[#This Row],[Годовой доход]]/12</f>
        <v>97337</v>
      </c>
      <c r="X1848" s="3">
        <f>Таблица1[[#This Row],[Ежемесячный платеж]]/Таблица1[[#This Row],[Ежем доход]]</f>
        <v>0.10332227210618777</v>
      </c>
      <c r="Y1848" s="3"/>
      <c r="Z1848" s="3"/>
      <c r="AA1848" s="3"/>
      <c r="AB1848" s="3"/>
    </row>
    <row r="1849" spans="1:28" x14ac:dyDescent="0.2">
      <c r="A1849">
        <v>855</v>
      </c>
      <c r="B1849" t="s">
        <v>896</v>
      </c>
      <c r="C1849" t="s">
        <v>18</v>
      </c>
      <c r="D1849" t="s">
        <v>19</v>
      </c>
      <c r="E1849" t="s">
        <v>30</v>
      </c>
      <c r="F1849" t="s">
        <v>21</v>
      </c>
      <c r="G1849" t="s">
        <v>25</v>
      </c>
      <c r="H1849" s="1">
        <v>218614</v>
      </c>
      <c r="I1849" s="3">
        <v>0</v>
      </c>
      <c r="J1849" s="3">
        <v>1168044</v>
      </c>
      <c r="K1849" s="3">
        <v>11894.57</v>
      </c>
      <c r="L1849" s="2">
        <v>12.7</v>
      </c>
      <c r="M1849" s="11">
        <v>35.265240640000002</v>
      </c>
      <c r="N1849" s="3">
        <v>9</v>
      </c>
      <c r="O1849" s="3">
        <v>64619</v>
      </c>
      <c r="P1849" s="3">
        <v>135564</v>
      </c>
      <c r="Q1849" s="10">
        <v>0</v>
      </c>
      <c r="R1849" s="3">
        <f>(Таблица1[Размер кредита]-$AA$2)/$AA$3</f>
        <v>-0.51797768222805141</v>
      </c>
      <c r="S1849" s="3">
        <f>(Таблица1[Кредитный рейтинг]-$AA$7)/($AA$8-$AA$7)</f>
        <v>0</v>
      </c>
      <c r="T1849" s="3">
        <f>(Таблица1[Срок с последнего нарушения кредитного договора (мес,)]-$AA$12)/($AA$13-$AA$12)</f>
        <v>0.40074137090909095</v>
      </c>
      <c r="U1849" s="3">
        <f>(Таблица1[Количество кредитных карт]-$AA$18)/($AA$19-$AA$18)</f>
        <v>0.19047619047619047</v>
      </c>
      <c r="V1849" s="3">
        <f>(Таблица1[Число нарушений кредитных договоров]-$AA$23)/($AA$24-$AA$23)</f>
        <v>0</v>
      </c>
      <c r="W1849" s="3">
        <f>Таблица1[[#This Row],[Годовой доход]]/12</f>
        <v>97337</v>
      </c>
      <c r="X1849" s="3">
        <f>Таблица1[[#This Row],[Ежемесячный платеж]]/Таблица1[[#This Row],[Ежем доход]]</f>
        <v>0.12219988288112434</v>
      </c>
      <c r="Y1849" s="3"/>
      <c r="Z1849" s="3"/>
      <c r="AA1849" s="3"/>
      <c r="AB1849" s="3"/>
    </row>
    <row r="1850" spans="1:28" x14ac:dyDescent="0.2">
      <c r="A1850">
        <v>414</v>
      </c>
      <c r="B1850" t="s">
        <v>456</v>
      </c>
      <c r="C1850" t="s">
        <v>18</v>
      </c>
      <c r="D1850" t="s">
        <v>29</v>
      </c>
      <c r="E1850" t="s">
        <v>63</v>
      </c>
      <c r="F1850" t="s">
        <v>33</v>
      </c>
      <c r="G1850" t="s">
        <v>2039</v>
      </c>
      <c r="H1850" s="1">
        <v>222728</v>
      </c>
      <c r="I1850" s="3">
        <v>615</v>
      </c>
      <c r="J1850" s="3">
        <v>905160</v>
      </c>
      <c r="K1850" s="3">
        <v>18706.64</v>
      </c>
      <c r="L1850" s="2">
        <v>16.2</v>
      </c>
      <c r="M1850" s="11">
        <v>49</v>
      </c>
      <c r="N1850" s="3">
        <v>9</v>
      </c>
      <c r="O1850" s="3">
        <v>64676</v>
      </c>
      <c r="P1850" s="3">
        <v>135432</v>
      </c>
      <c r="Q1850" s="10">
        <v>0</v>
      </c>
      <c r="R1850" s="3">
        <f>(Таблица1[Размер кредита]-$AA$2)/$AA$3</f>
        <v>-0.49455552459344881</v>
      </c>
      <c r="S1850" s="3">
        <f>(Таблица1[Кредитный рейтинг]-$AA$7)/($AA$8-$AA$7)</f>
        <v>0.81890812250332889</v>
      </c>
      <c r="T1850" s="3">
        <f>(Таблица1[Срок с последнего нарушения кредитного договора (мес,)]-$AA$12)/($AA$13-$AA$12)</f>
        <v>0.55681818181818177</v>
      </c>
      <c r="U1850" s="3">
        <f>(Таблица1[Количество кредитных карт]-$AA$18)/($AA$19-$AA$18)</f>
        <v>0.19047619047619047</v>
      </c>
      <c r="V1850" s="3">
        <f>(Таблица1[Число нарушений кредитных договоров]-$AA$23)/($AA$24-$AA$23)</f>
        <v>0</v>
      </c>
      <c r="W1850" s="3">
        <f>Таблица1[[#This Row],[Годовой доход]]/12</f>
        <v>75430</v>
      </c>
      <c r="X1850" s="3">
        <f>Таблица1[[#This Row],[Ежемесячный платеж]]/Таблица1[[#This Row],[Ежем доход]]</f>
        <v>0.248</v>
      </c>
      <c r="Y1850" s="3"/>
      <c r="Z1850" s="3"/>
      <c r="AA1850" s="3"/>
      <c r="AB1850" s="3"/>
    </row>
    <row r="1851" spans="1:28" x14ac:dyDescent="0.2">
      <c r="A1851">
        <v>1135</v>
      </c>
      <c r="B1851" t="s">
        <v>1174</v>
      </c>
      <c r="C1851" t="s">
        <v>18</v>
      </c>
      <c r="D1851" t="s">
        <v>19</v>
      </c>
      <c r="E1851" t="s">
        <v>30</v>
      </c>
      <c r="F1851" t="s">
        <v>33</v>
      </c>
      <c r="G1851" t="s">
        <v>25</v>
      </c>
      <c r="H1851" s="1">
        <v>172348</v>
      </c>
      <c r="I1851" s="3">
        <v>719</v>
      </c>
      <c r="J1851" s="3">
        <v>753692</v>
      </c>
      <c r="K1851" s="3">
        <v>8102.17</v>
      </c>
      <c r="L1851" s="2">
        <v>14.1</v>
      </c>
      <c r="M1851" s="11">
        <v>34</v>
      </c>
      <c r="N1851" s="3">
        <v>5</v>
      </c>
      <c r="O1851" s="3">
        <v>74100</v>
      </c>
      <c r="P1851" s="3">
        <v>135344</v>
      </c>
      <c r="Q1851" s="10">
        <v>0</v>
      </c>
      <c r="R1851" s="3">
        <f>(Таблица1[Размер кредита]-$AA$2)/$AA$3</f>
        <v>-0.7813830164824328</v>
      </c>
      <c r="S1851" s="3">
        <f>(Таблица1[Кредитный рейтинг]-$AA$7)/($AA$8-$AA$7)</f>
        <v>0.95739014647137155</v>
      </c>
      <c r="T1851" s="3">
        <f>(Таблица1[Срок с последнего нарушения кредитного договора (мес,)]-$AA$12)/($AA$13-$AA$12)</f>
        <v>0.38636363636363635</v>
      </c>
      <c r="U1851" s="3">
        <f>(Таблица1[Количество кредитных карт]-$AA$18)/($AA$19-$AA$18)</f>
        <v>9.5238095238095233E-2</v>
      </c>
      <c r="V1851" s="3">
        <f>(Таблица1[Число нарушений кредитных договоров]-$AA$23)/($AA$24-$AA$23)</f>
        <v>0</v>
      </c>
      <c r="W1851" s="3">
        <f>Таблица1[[#This Row],[Годовой доход]]/12</f>
        <v>62807.666666666664</v>
      </c>
      <c r="X1851" s="3">
        <f>Таблица1[[#This Row],[Ежемесячный платеж]]/Таблица1[[#This Row],[Ежем доход]]</f>
        <v>0.12899969748916004</v>
      </c>
      <c r="Y1851" s="3"/>
      <c r="Z1851" s="3"/>
      <c r="AA1851" s="3"/>
      <c r="AB1851" s="3"/>
    </row>
    <row r="1852" spans="1:28" x14ac:dyDescent="0.2">
      <c r="A1852">
        <v>1305</v>
      </c>
      <c r="B1852" t="s">
        <v>1344</v>
      </c>
      <c r="C1852" t="s">
        <v>18</v>
      </c>
      <c r="D1852" t="s">
        <v>19</v>
      </c>
      <c r="E1852" t="s">
        <v>37</v>
      </c>
      <c r="F1852" t="s">
        <v>33</v>
      </c>
      <c r="G1852" t="s">
        <v>25</v>
      </c>
      <c r="H1852" s="1">
        <v>78430</v>
      </c>
      <c r="I1852" s="3">
        <v>0</v>
      </c>
      <c r="J1852" s="3">
        <v>1168044</v>
      </c>
      <c r="K1852" s="3">
        <v>2970.46</v>
      </c>
      <c r="L1852" s="2">
        <v>9</v>
      </c>
      <c r="M1852" s="11">
        <v>33</v>
      </c>
      <c r="N1852" s="3">
        <v>10</v>
      </c>
      <c r="O1852" s="3">
        <v>56905</v>
      </c>
      <c r="P1852" s="3">
        <v>134200</v>
      </c>
      <c r="Q1852" s="10">
        <v>0</v>
      </c>
      <c r="R1852" s="3">
        <f>(Таблица1[Размер кредита]-$AA$2)/$AA$3</f>
        <v>-1.3160845723226393</v>
      </c>
      <c r="S1852" s="3">
        <f>(Таблица1[Кредитный рейтинг]-$AA$7)/($AA$8-$AA$7)</f>
        <v>0</v>
      </c>
      <c r="T1852" s="3">
        <f>(Таблица1[Срок с последнего нарушения кредитного договора (мес,)]-$AA$12)/($AA$13-$AA$12)</f>
        <v>0.375</v>
      </c>
      <c r="U1852" s="3">
        <f>(Таблица1[Количество кредитных карт]-$AA$18)/($AA$19-$AA$18)</f>
        <v>0.21428571428571427</v>
      </c>
      <c r="V1852" s="3">
        <f>(Таблица1[Число нарушений кредитных договоров]-$AA$23)/($AA$24-$AA$23)</f>
        <v>0</v>
      </c>
      <c r="W1852" s="3">
        <f>Таблица1[[#This Row],[Годовой доход]]/12</f>
        <v>97337</v>
      </c>
      <c r="X1852" s="3">
        <f>Таблица1[[#This Row],[Ежемесячный платеж]]/Таблица1[[#This Row],[Ежем доход]]</f>
        <v>3.0517275034159672E-2</v>
      </c>
      <c r="Y1852" s="3"/>
      <c r="Z1852" s="3"/>
      <c r="AA1852" s="3"/>
      <c r="AB1852" s="3"/>
    </row>
    <row r="1853" spans="1:28" x14ac:dyDescent="0.2">
      <c r="A1853">
        <v>243</v>
      </c>
      <c r="B1853" t="s">
        <v>285</v>
      </c>
      <c r="C1853" t="s">
        <v>18</v>
      </c>
      <c r="D1853" t="s">
        <v>19</v>
      </c>
      <c r="E1853" t="s">
        <v>47</v>
      </c>
      <c r="F1853" t="s">
        <v>21</v>
      </c>
      <c r="G1853" t="s">
        <v>67</v>
      </c>
      <c r="H1853" s="1">
        <v>128634</v>
      </c>
      <c r="I1853" s="3">
        <v>695</v>
      </c>
      <c r="J1853" s="3">
        <v>463657</v>
      </c>
      <c r="K1853" s="3">
        <v>9891.4</v>
      </c>
      <c r="L1853" s="2">
        <v>8.6999999999999993</v>
      </c>
      <c r="M1853" s="11">
        <v>16</v>
      </c>
      <c r="N1853" s="3">
        <v>9</v>
      </c>
      <c r="O1853" s="3">
        <v>76133</v>
      </c>
      <c r="P1853" s="3">
        <v>134178</v>
      </c>
      <c r="Q1853" s="10">
        <v>0</v>
      </c>
      <c r="R1853" s="3">
        <f>(Таблица1[Размер кредита]-$AA$2)/$AA$3</f>
        <v>-1.0302590978725688</v>
      </c>
      <c r="S1853" s="3">
        <f>(Таблица1[Кредитный рейтинг]-$AA$7)/($AA$8-$AA$7)</f>
        <v>0.92543275632490019</v>
      </c>
      <c r="T1853" s="3">
        <f>(Таблица1[Срок с последнего нарушения кредитного договора (мес,)]-$AA$12)/($AA$13-$AA$12)</f>
        <v>0.18181818181818182</v>
      </c>
      <c r="U1853" s="3">
        <f>(Таблица1[Количество кредитных карт]-$AA$18)/($AA$19-$AA$18)</f>
        <v>0.19047619047619047</v>
      </c>
      <c r="V1853" s="3">
        <f>(Таблица1[Число нарушений кредитных договоров]-$AA$23)/($AA$24-$AA$23)</f>
        <v>0</v>
      </c>
      <c r="W1853" s="3">
        <f>Таблица1[[#This Row],[Годовой доход]]/12</f>
        <v>38638.083333333336</v>
      </c>
      <c r="X1853" s="3">
        <f>Таблица1[[#This Row],[Ежемесячный платеж]]/Таблица1[[#This Row],[Ежем доход]]</f>
        <v>0.25600131131418263</v>
      </c>
      <c r="Y1853" s="3"/>
      <c r="Z1853" s="3"/>
      <c r="AA1853" s="3"/>
      <c r="AB1853" s="3"/>
    </row>
    <row r="1854" spans="1:28" x14ac:dyDescent="0.2">
      <c r="A1854">
        <v>423</v>
      </c>
      <c r="B1854" t="s">
        <v>464</v>
      </c>
      <c r="C1854" t="s">
        <v>18</v>
      </c>
      <c r="D1854" t="s">
        <v>19</v>
      </c>
      <c r="E1854" t="s">
        <v>47</v>
      </c>
      <c r="F1854" t="s">
        <v>21</v>
      </c>
      <c r="G1854" t="s">
        <v>70</v>
      </c>
      <c r="H1854" s="1">
        <v>87472</v>
      </c>
      <c r="I1854" s="3">
        <v>695</v>
      </c>
      <c r="J1854" s="3">
        <v>679896</v>
      </c>
      <c r="K1854" s="3">
        <v>6872.68</v>
      </c>
      <c r="L1854" s="2">
        <v>10.199999999999999</v>
      </c>
      <c r="M1854" s="11">
        <v>35.265240640000002</v>
      </c>
      <c r="N1854" s="3">
        <v>4</v>
      </c>
      <c r="O1854" s="3">
        <v>19912</v>
      </c>
      <c r="P1854" s="3">
        <v>133210</v>
      </c>
      <c r="Q1854" s="10">
        <v>0</v>
      </c>
      <c r="R1854" s="3">
        <f>(Таблица1[Размер кредита]-$AA$2)/$AA$3</f>
        <v>-1.2646059263984593</v>
      </c>
      <c r="S1854" s="3">
        <f>(Таблица1[Кредитный рейтинг]-$AA$7)/($AA$8-$AA$7)</f>
        <v>0.92543275632490019</v>
      </c>
      <c r="T1854" s="3">
        <f>(Таблица1[Срок с последнего нарушения кредитного договора (мес,)]-$AA$12)/($AA$13-$AA$12)</f>
        <v>0.40074137090909095</v>
      </c>
      <c r="U1854" s="3">
        <f>(Таблица1[Количество кредитных карт]-$AA$18)/($AA$19-$AA$18)</f>
        <v>7.1428571428571425E-2</v>
      </c>
      <c r="V1854" s="3">
        <f>(Таблица1[Число нарушений кредитных договоров]-$AA$23)/($AA$24-$AA$23)</f>
        <v>0</v>
      </c>
      <c r="W1854" s="3">
        <f>Таблица1[[#This Row],[Годовой доход]]/12</f>
        <v>56658</v>
      </c>
      <c r="X1854" s="3">
        <f>Таблица1[[#This Row],[Ежемесячный платеж]]/Таблица1[[#This Row],[Ежем доход]]</f>
        <v>0.12130114017437961</v>
      </c>
      <c r="Y1854" s="3"/>
      <c r="Z1854" s="3"/>
      <c r="AA1854" s="3"/>
      <c r="AB1854" s="3"/>
    </row>
    <row r="1855" spans="1:28" x14ac:dyDescent="0.2">
      <c r="A1855">
        <v>1463</v>
      </c>
      <c r="B1855" t="s">
        <v>1502</v>
      </c>
      <c r="C1855" t="s">
        <v>35</v>
      </c>
      <c r="D1855" t="s">
        <v>19</v>
      </c>
      <c r="E1855" t="s">
        <v>41</v>
      </c>
      <c r="F1855" t="s">
        <v>33</v>
      </c>
      <c r="G1855" t="s">
        <v>25</v>
      </c>
      <c r="H1855" s="1">
        <v>128678</v>
      </c>
      <c r="I1855" s="3">
        <v>0</v>
      </c>
      <c r="J1855" s="3">
        <v>1168044</v>
      </c>
      <c r="K1855" s="3">
        <v>23172.02</v>
      </c>
      <c r="L1855" s="2">
        <v>17.8</v>
      </c>
      <c r="M1855" s="11">
        <v>9</v>
      </c>
      <c r="N1855" s="3">
        <v>19</v>
      </c>
      <c r="O1855" s="3">
        <v>19076</v>
      </c>
      <c r="P1855" s="3">
        <v>133122</v>
      </c>
      <c r="Q1855" s="10">
        <v>1</v>
      </c>
      <c r="R1855" s="3">
        <f>(Таблица1[Размер кредита]-$AA$2)/$AA$3</f>
        <v>-1.0300085935128405</v>
      </c>
      <c r="S1855" s="3">
        <f>(Таблица1[Кредитный рейтинг]-$AA$7)/($AA$8-$AA$7)</f>
        <v>0</v>
      </c>
      <c r="T1855" s="3">
        <f>(Таблица1[Срок с последнего нарушения кредитного договора (мес,)]-$AA$12)/($AA$13-$AA$12)</f>
        <v>0.10227272727272728</v>
      </c>
      <c r="U1855" s="3">
        <f>(Таблица1[Количество кредитных карт]-$AA$18)/($AA$19-$AA$18)</f>
        <v>0.42857142857142855</v>
      </c>
      <c r="V1855" s="3">
        <f>(Таблица1[Число нарушений кредитных договоров]-$AA$23)/($AA$24-$AA$23)</f>
        <v>0.14285714285714285</v>
      </c>
      <c r="W1855" s="3">
        <f>Таблица1[[#This Row],[Годовой доход]]/12</f>
        <v>97337</v>
      </c>
      <c r="X1855" s="3">
        <f>Таблица1[[#This Row],[Ежемесячный платеж]]/Таблица1[[#This Row],[Ежем доход]]</f>
        <v>0.238059730626586</v>
      </c>
      <c r="Y1855" s="3"/>
      <c r="Z1855" s="3"/>
      <c r="AA1855" s="3"/>
      <c r="AB1855" s="3"/>
    </row>
    <row r="1856" spans="1:28" x14ac:dyDescent="0.2">
      <c r="A1856">
        <v>499</v>
      </c>
      <c r="B1856" t="s">
        <v>540</v>
      </c>
      <c r="C1856" t="s">
        <v>18</v>
      </c>
      <c r="D1856" t="s">
        <v>19</v>
      </c>
      <c r="E1856" t="s">
        <v>41</v>
      </c>
      <c r="F1856" t="s">
        <v>21</v>
      </c>
      <c r="G1856" t="s">
        <v>67</v>
      </c>
      <c r="H1856" s="1">
        <v>66572</v>
      </c>
      <c r="I1856" s="3">
        <v>747</v>
      </c>
      <c r="J1856" s="3">
        <v>785707</v>
      </c>
      <c r="K1856" s="3">
        <v>13618.82</v>
      </c>
      <c r="L1856" s="2">
        <v>8.3000000000000007</v>
      </c>
      <c r="M1856" s="11">
        <v>35.265240640000002</v>
      </c>
      <c r="N1856" s="3">
        <v>7</v>
      </c>
      <c r="O1856" s="3">
        <v>16302</v>
      </c>
      <c r="P1856" s="3">
        <v>132990</v>
      </c>
      <c r="Q1856" s="10">
        <v>0</v>
      </c>
      <c r="R1856" s="3">
        <f>(Таблица1[Размер кредита]-$AA$2)/$AA$3</f>
        <v>-1.3835954972694351</v>
      </c>
      <c r="S1856" s="3">
        <f>(Таблица1[Кредитный рейтинг]-$AA$7)/($AA$8-$AA$7)</f>
        <v>0.9946737683089214</v>
      </c>
      <c r="T1856" s="3">
        <f>(Таблица1[Срок с последнего нарушения кредитного договора (мес,)]-$AA$12)/($AA$13-$AA$12)</f>
        <v>0.40074137090909095</v>
      </c>
      <c r="U1856" s="3">
        <f>(Таблица1[Количество кредитных карт]-$AA$18)/($AA$19-$AA$18)</f>
        <v>0.14285714285714285</v>
      </c>
      <c r="V1856" s="3">
        <f>(Таблица1[Число нарушений кредитных договоров]-$AA$23)/($AA$24-$AA$23)</f>
        <v>0</v>
      </c>
      <c r="W1856" s="3">
        <f>Таблица1[[#This Row],[Годовой доход]]/12</f>
        <v>65475.583333333336</v>
      </c>
      <c r="X1856" s="3">
        <f>Таблица1[[#This Row],[Ежемесячный платеж]]/Таблица1[[#This Row],[Ежем доход]]</f>
        <v>0.20799845234928541</v>
      </c>
      <c r="Y1856" s="3"/>
      <c r="Z1856" s="3"/>
      <c r="AA1856" s="3"/>
      <c r="AB1856" s="3"/>
    </row>
    <row r="1857" spans="1:28" x14ac:dyDescent="0.2">
      <c r="A1857">
        <v>366</v>
      </c>
      <c r="B1857" t="s">
        <v>408</v>
      </c>
      <c r="C1857" t="s">
        <v>35</v>
      </c>
      <c r="D1857" t="s">
        <v>29</v>
      </c>
      <c r="E1857" t="s">
        <v>50</v>
      </c>
      <c r="F1857" t="s">
        <v>21</v>
      </c>
      <c r="G1857" t="s">
        <v>25</v>
      </c>
      <c r="H1857" s="1">
        <v>772772</v>
      </c>
      <c r="I1857" s="3">
        <v>699</v>
      </c>
      <c r="J1857" s="3">
        <v>3336970</v>
      </c>
      <c r="K1857" s="3">
        <v>41434.06</v>
      </c>
      <c r="L1857" s="2">
        <v>14.6</v>
      </c>
      <c r="M1857" s="11">
        <v>35.265240640000002</v>
      </c>
      <c r="N1857" s="3">
        <v>8</v>
      </c>
      <c r="O1857" s="3">
        <v>91979</v>
      </c>
      <c r="P1857" s="3">
        <v>132484</v>
      </c>
      <c r="Q1857" s="10">
        <v>0</v>
      </c>
      <c r="R1857" s="3">
        <f>(Таблица1[Размер кредита]-$AA$2)/$AA$3</f>
        <v>2.6369994763709088</v>
      </c>
      <c r="S1857" s="3">
        <f>(Таблица1[Кредитный рейтинг]-$AA$7)/($AA$8-$AA$7)</f>
        <v>0.93075898801597867</v>
      </c>
      <c r="T1857" s="3">
        <f>(Таблица1[Срок с последнего нарушения кредитного договора (мес,)]-$AA$12)/($AA$13-$AA$12)</f>
        <v>0.40074137090909095</v>
      </c>
      <c r="U1857" s="3">
        <f>(Таблица1[Количество кредитных карт]-$AA$18)/($AA$19-$AA$18)</f>
        <v>0.16666666666666666</v>
      </c>
      <c r="V1857" s="3">
        <f>(Таблица1[Число нарушений кредитных договоров]-$AA$23)/($AA$24-$AA$23)</f>
        <v>0</v>
      </c>
      <c r="W1857" s="3">
        <f>Таблица1[[#This Row],[Годовой доход]]/12</f>
        <v>278080.83333333331</v>
      </c>
      <c r="X1857" s="3">
        <f>Таблица1[[#This Row],[Ежемесячный платеж]]/Таблица1[[#This Row],[Ежем доход]]</f>
        <v>0.14900005693788076</v>
      </c>
      <c r="Y1857" s="3"/>
      <c r="Z1857" s="3"/>
      <c r="AA1857" s="3"/>
      <c r="AB1857" s="3"/>
    </row>
    <row r="1858" spans="1:28" x14ac:dyDescent="0.2">
      <c r="A1858">
        <v>1550</v>
      </c>
      <c r="B1858" t="s">
        <v>1589</v>
      </c>
      <c r="C1858" t="s">
        <v>18</v>
      </c>
      <c r="D1858" t="s">
        <v>19</v>
      </c>
      <c r="E1858" t="s">
        <v>37</v>
      </c>
      <c r="F1858" t="s">
        <v>33</v>
      </c>
      <c r="G1858" t="s">
        <v>25</v>
      </c>
      <c r="H1858" s="1">
        <v>132330</v>
      </c>
      <c r="I1858" s="3">
        <v>692</v>
      </c>
      <c r="J1858" s="3">
        <v>761900</v>
      </c>
      <c r="K1858" s="3">
        <v>10730.06</v>
      </c>
      <c r="L1858" s="2">
        <v>7.4</v>
      </c>
      <c r="M1858" s="11">
        <v>35.265240640000002</v>
      </c>
      <c r="N1858" s="3">
        <v>7</v>
      </c>
      <c r="O1858" s="3">
        <v>91295</v>
      </c>
      <c r="P1858" s="3">
        <v>132308</v>
      </c>
      <c r="Q1858" s="10">
        <v>0</v>
      </c>
      <c r="R1858" s="3">
        <f>(Таблица1[Размер кредита]-$AA$2)/$AA$3</f>
        <v>-1.0092167316553857</v>
      </c>
      <c r="S1858" s="3">
        <f>(Таблица1[Кредитный рейтинг]-$AA$7)/($AA$8-$AA$7)</f>
        <v>0.92143808255659121</v>
      </c>
      <c r="T1858" s="3">
        <f>(Таблица1[Срок с последнего нарушения кредитного договора (мес,)]-$AA$12)/($AA$13-$AA$12)</f>
        <v>0.40074137090909095</v>
      </c>
      <c r="U1858" s="3">
        <f>(Таблица1[Количество кредитных карт]-$AA$18)/($AA$19-$AA$18)</f>
        <v>0.14285714285714285</v>
      </c>
      <c r="V1858" s="3">
        <f>(Таблица1[Число нарушений кредитных договоров]-$AA$23)/($AA$24-$AA$23)</f>
        <v>0</v>
      </c>
      <c r="W1858" s="3">
        <f>Таблица1[[#This Row],[Годовой доход]]/12</f>
        <v>63491.666666666664</v>
      </c>
      <c r="X1858" s="3">
        <f>Таблица1[[#This Row],[Ежемесячный платеж]]/Таблица1[[#This Row],[Ежем доход]]</f>
        <v>0.16899950124688279</v>
      </c>
      <c r="Y1858" s="3"/>
      <c r="Z1858" s="3"/>
      <c r="AA1858" s="3"/>
      <c r="AB1858" s="3"/>
    </row>
    <row r="1859" spans="1:28" x14ac:dyDescent="0.2">
      <c r="A1859">
        <v>1861</v>
      </c>
      <c r="B1859" t="s">
        <v>1898</v>
      </c>
      <c r="C1859" t="s">
        <v>18</v>
      </c>
      <c r="D1859" t="s">
        <v>29</v>
      </c>
      <c r="E1859" t="s">
        <v>30</v>
      </c>
      <c r="F1859" t="s">
        <v>33</v>
      </c>
      <c r="G1859" t="s">
        <v>25</v>
      </c>
      <c r="H1859" s="1">
        <v>219648</v>
      </c>
      <c r="I1859" s="3">
        <v>681</v>
      </c>
      <c r="J1859" s="3">
        <v>777822</v>
      </c>
      <c r="K1859" s="3">
        <v>8232.1299999999992</v>
      </c>
      <c r="L1859" s="2">
        <v>14</v>
      </c>
      <c r="M1859" s="11">
        <v>35.265240640000002</v>
      </c>
      <c r="N1859" s="3">
        <v>5</v>
      </c>
      <c r="O1859" s="3">
        <v>43833</v>
      </c>
      <c r="P1859" s="3">
        <v>131846</v>
      </c>
      <c r="Q1859" s="10">
        <v>0</v>
      </c>
      <c r="R1859" s="3">
        <f>(Таблица1[Размер кредита]-$AA$2)/$AA$3</f>
        <v>-0.51209082977443476</v>
      </c>
      <c r="S1859" s="3">
        <f>(Таблица1[Кредитный рейтинг]-$AA$7)/($AA$8-$AA$7)</f>
        <v>0.90679094540612515</v>
      </c>
      <c r="T1859" s="3">
        <f>(Таблица1[Срок с последнего нарушения кредитного договора (мес,)]-$AA$12)/($AA$13-$AA$12)</f>
        <v>0.40074137090909095</v>
      </c>
      <c r="U1859" s="3">
        <f>(Таблица1[Количество кредитных карт]-$AA$18)/($AA$19-$AA$18)</f>
        <v>9.5238095238095233E-2</v>
      </c>
      <c r="V1859" s="3">
        <f>(Таблица1[Число нарушений кредитных договоров]-$AA$23)/($AA$24-$AA$23)</f>
        <v>0</v>
      </c>
      <c r="W1859" s="3">
        <f>Таблица1[[#This Row],[Годовой доход]]/12</f>
        <v>64818.5</v>
      </c>
      <c r="X1859" s="3">
        <f>Таблица1[[#This Row],[Ежемесячный платеж]]/Таблица1[[#This Row],[Ежем доход]]</f>
        <v>0.12700278469881282</v>
      </c>
      <c r="Y1859" s="3"/>
      <c r="Z1859" s="3"/>
      <c r="AA1859" s="3"/>
      <c r="AB1859" s="3"/>
    </row>
    <row r="1860" spans="1:28" x14ac:dyDescent="0.2">
      <c r="A1860">
        <v>801</v>
      </c>
      <c r="B1860" t="s">
        <v>842</v>
      </c>
      <c r="C1860" t="s">
        <v>35</v>
      </c>
      <c r="D1860" t="s">
        <v>29</v>
      </c>
      <c r="E1860" t="s">
        <v>52</v>
      </c>
      <c r="F1860" t="s">
        <v>33</v>
      </c>
      <c r="G1860" t="s">
        <v>25</v>
      </c>
      <c r="H1860" s="1">
        <v>247500</v>
      </c>
      <c r="I1860" s="3">
        <v>664</v>
      </c>
      <c r="J1860" s="3">
        <v>1347955</v>
      </c>
      <c r="K1860" s="3">
        <v>2976.73</v>
      </c>
      <c r="L1860" s="2">
        <v>10.6</v>
      </c>
      <c r="M1860" s="11">
        <v>35.265240640000002</v>
      </c>
      <c r="N1860" s="3">
        <v>4</v>
      </c>
      <c r="O1860" s="3">
        <v>98534</v>
      </c>
      <c r="P1860" s="3">
        <v>131604</v>
      </c>
      <c r="Q1860" s="10">
        <v>0</v>
      </c>
      <c r="R1860" s="3">
        <f>(Таблица1[Размер кредита]-$AA$2)/$AA$3</f>
        <v>-0.3535215700663763</v>
      </c>
      <c r="S1860" s="3">
        <f>(Таблица1[Кредитный рейтинг]-$AA$7)/($AA$8-$AA$7)</f>
        <v>0.88415446071904125</v>
      </c>
      <c r="T1860" s="3">
        <f>(Таблица1[Срок с последнего нарушения кредитного договора (мес,)]-$AA$12)/($AA$13-$AA$12)</f>
        <v>0.40074137090909095</v>
      </c>
      <c r="U1860" s="3">
        <f>(Таблица1[Количество кредитных карт]-$AA$18)/($AA$19-$AA$18)</f>
        <v>7.1428571428571425E-2</v>
      </c>
      <c r="V1860" s="3">
        <f>(Таблица1[Число нарушений кредитных договоров]-$AA$23)/($AA$24-$AA$23)</f>
        <v>0</v>
      </c>
      <c r="W1860" s="3">
        <f>Таблица1[[#This Row],[Годовой доход]]/12</f>
        <v>112329.58333333333</v>
      </c>
      <c r="X1860" s="3">
        <f>Таблица1[[#This Row],[Ежемесячный платеж]]/Таблица1[[#This Row],[Ежем доход]]</f>
        <v>2.6499964761434916E-2</v>
      </c>
      <c r="Y1860" s="3"/>
      <c r="Z1860" s="3"/>
      <c r="AA1860" s="3"/>
      <c r="AB1860" s="3"/>
    </row>
    <row r="1861" spans="1:28" x14ac:dyDescent="0.2">
      <c r="A1861">
        <v>1603</v>
      </c>
      <c r="B1861" t="s">
        <v>1642</v>
      </c>
      <c r="C1861" t="s">
        <v>18</v>
      </c>
      <c r="D1861" t="s">
        <v>19</v>
      </c>
      <c r="E1861" t="s">
        <v>52</v>
      </c>
      <c r="F1861" t="s">
        <v>27</v>
      </c>
      <c r="G1861" t="s">
        <v>67</v>
      </c>
      <c r="H1861" s="1">
        <v>43824</v>
      </c>
      <c r="I1861" s="3">
        <v>0</v>
      </c>
      <c r="J1861" s="3">
        <v>1168044</v>
      </c>
      <c r="K1861" s="3">
        <v>12111.36</v>
      </c>
      <c r="L1861" s="2">
        <v>16.600000000000001</v>
      </c>
      <c r="M1861" s="11">
        <v>80</v>
      </c>
      <c r="N1861" s="3">
        <v>4</v>
      </c>
      <c r="O1861" s="3">
        <v>102106</v>
      </c>
      <c r="P1861" s="3">
        <v>131516</v>
      </c>
      <c r="Q1861" s="10">
        <v>0</v>
      </c>
      <c r="R1861" s="3">
        <f>(Таблица1[Размер кредита]-$AA$2)/$AA$3</f>
        <v>-1.5131062512490026</v>
      </c>
      <c r="S1861" s="3">
        <f>(Таблица1[Кредитный рейтинг]-$AA$7)/($AA$8-$AA$7)</f>
        <v>0</v>
      </c>
      <c r="T1861" s="3">
        <f>(Таблица1[Срок с последнего нарушения кредитного договора (мес,)]-$AA$12)/($AA$13-$AA$12)</f>
        <v>0.90909090909090906</v>
      </c>
      <c r="U1861" s="3">
        <f>(Таблица1[Количество кредитных карт]-$AA$18)/($AA$19-$AA$18)</f>
        <v>7.1428571428571425E-2</v>
      </c>
      <c r="V1861" s="3">
        <f>(Таблица1[Число нарушений кредитных договоров]-$AA$23)/($AA$24-$AA$23)</f>
        <v>0</v>
      </c>
      <c r="W1861" s="3">
        <f>Таблица1[[#This Row],[Годовой доход]]/12</f>
        <v>97337</v>
      </c>
      <c r="X1861" s="3">
        <f>Таблица1[[#This Row],[Ежемесячный платеж]]/Таблица1[[#This Row],[Ежем доход]]</f>
        <v>0.12442709349990241</v>
      </c>
      <c r="Y1861" s="3"/>
      <c r="Z1861" s="3"/>
      <c r="AA1861" s="3"/>
      <c r="AB1861" s="3"/>
    </row>
    <row r="1862" spans="1:28" x14ac:dyDescent="0.2">
      <c r="A1862">
        <v>1770</v>
      </c>
      <c r="B1862" t="s">
        <v>1808</v>
      </c>
      <c r="C1862" t="s">
        <v>18</v>
      </c>
      <c r="D1862" t="s">
        <v>19</v>
      </c>
      <c r="E1862" t="s">
        <v>24</v>
      </c>
      <c r="F1862" t="s">
        <v>21</v>
      </c>
      <c r="G1862" t="s">
        <v>67</v>
      </c>
      <c r="H1862" s="1">
        <v>151272</v>
      </c>
      <c r="I1862" s="3">
        <v>698</v>
      </c>
      <c r="J1862" s="3">
        <v>1022846</v>
      </c>
      <c r="K1862" s="3">
        <v>4185.13</v>
      </c>
      <c r="L1862" s="2">
        <v>10.3</v>
      </c>
      <c r="M1862" s="11">
        <v>35.265240640000002</v>
      </c>
      <c r="N1862" s="3">
        <v>6</v>
      </c>
      <c r="O1862" s="3">
        <v>101422</v>
      </c>
      <c r="P1862" s="3">
        <v>131384</v>
      </c>
      <c r="Q1862" s="10">
        <v>0</v>
      </c>
      <c r="R1862" s="3">
        <f>(Таблица1[Размер кредита]-$AA$2)/$AA$3</f>
        <v>-0.90137460479232223</v>
      </c>
      <c r="S1862" s="3">
        <f>(Таблица1[Кредитный рейтинг]-$AA$7)/($AA$8-$AA$7)</f>
        <v>0.92942743009320905</v>
      </c>
      <c r="T1862" s="3">
        <f>(Таблица1[Срок с последнего нарушения кредитного договора (мес,)]-$AA$12)/($AA$13-$AA$12)</f>
        <v>0.40074137090909095</v>
      </c>
      <c r="U1862" s="3">
        <f>(Таблица1[Количество кредитных карт]-$AA$18)/($AA$19-$AA$18)</f>
        <v>0.11904761904761904</v>
      </c>
      <c r="V1862" s="3">
        <f>(Таблица1[Число нарушений кредитных договоров]-$AA$23)/($AA$24-$AA$23)</f>
        <v>0</v>
      </c>
      <c r="W1862" s="3">
        <f>Таблица1[[#This Row],[Годовой доход]]/12</f>
        <v>85237.166666666672</v>
      </c>
      <c r="X1862" s="3">
        <f>Таблица1[[#This Row],[Ежемесячный платеж]]/Таблица1[[#This Row],[Ежем доход]]</f>
        <v>4.9099825389159267E-2</v>
      </c>
      <c r="Y1862" s="3"/>
      <c r="Z1862" s="3"/>
      <c r="AA1862" s="3"/>
      <c r="AB1862" s="3"/>
    </row>
    <row r="1863" spans="1:28" x14ac:dyDescent="0.2">
      <c r="A1863">
        <v>1406</v>
      </c>
      <c r="B1863" t="s">
        <v>1445</v>
      </c>
      <c r="C1863" t="s">
        <v>18</v>
      </c>
      <c r="D1863" t="s">
        <v>19</v>
      </c>
      <c r="E1863" t="s">
        <v>69</v>
      </c>
      <c r="F1863" t="s">
        <v>27</v>
      </c>
      <c r="G1863" t="s">
        <v>102</v>
      </c>
      <c r="H1863" s="1">
        <v>167772</v>
      </c>
      <c r="I1863" s="3">
        <v>719</v>
      </c>
      <c r="J1863" s="3">
        <v>835943</v>
      </c>
      <c r="K1863" s="3">
        <v>11981.78</v>
      </c>
      <c r="L1863" s="2">
        <v>26.1</v>
      </c>
      <c r="M1863" s="11">
        <v>35.265240640000002</v>
      </c>
      <c r="N1863" s="3">
        <v>6</v>
      </c>
      <c r="O1863" s="3">
        <v>45239</v>
      </c>
      <c r="P1863" s="3">
        <v>131274</v>
      </c>
      <c r="Q1863" s="10">
        <v>1</v>
      </c>
      <c r="R1863" s="3">
        <f>(Таблица1[Размер кредита]-$AA$2)/$AA$3</f>
        <v>-0.80743546989418336</v>
      </c>
      <c r="S1863" s="3">
        <f>(Таблица1[Кредитный рейтинг]-$AA$7)/($AA$8-$AA$7)</f>
        <v>0.95739014647137155</v>
      </c>
      <c r="T1863" s="3">
        <f>(Таблица1[Срок с последнего нарушения кредитного договора (мес,)]-$AA$12)/($AA$13-$AA$12)</f>
        <v>0.40074137090909095</v>
      </c>
      <c r="U1863" s="3">
        <f>(Таблица1[Количество кредитных карт]-$AA$18)/($AA$19-$AA$18)</f>
        <v>0.11904761904761904</v>
      </c>
      <c r="V1863" s="3">
        <f>(Таблица1[Число нарушений кредитных договоров]-$AA$23)/($AA$24-$AA$23)</f>
        <v>0.14285714285714285</v>
      </c>
      <c r="W1863" s="3">
        <f>Таблица1[[#This Row],[Годовой доход]]/12</f>
        <v>69661.916666666672</v>
      </c>
      <c r="X1863" s="3">
        <f>Таблица1[[#This Row],[Ежемесячный платеж]]/Таблица1[[#This Row],[Ежем доход]]</f>
        <v>0.17199899993181353</v>
      </c>
      <c r="Y1863" s="3"/>
      <c r="Z1863" s="3"/>
      <c r="AA1863" s="3"/>
      <c r="AB1863" s="3"/>
    </row>
    <row r="1864" spans="1:28" x14ac:dyDescent="0.2">
      <c r="A1864">
        <v>1439</v>
      </c>
      <c r="B1864" t="s">
        <v>1478</v>
      </c>
      <c r="C1864" t="s">
        <v>35</v>
      </c>
      <c r="D1864" t="s">
        <v>19</v>
      </c>
      <c r="E1864" t="s">
        <v>24</v>
      </c>
      <c r="F1864" t="s">
        <v>33</v>
      </c>
      <c r="G1864" t="s">
        <v>25</v>
      </c>
      <c r="H1864" s="1">
        <v>185306</v>
      </c>
      <c r="I1864" s="3">
        <v>716</v>
      </c>
      <c r="J1864" s="3">
        <v>1223771</v>
      </c>
      <c r="K1864" s="3">
        <v>17948.349999999999</v>
      </c>
      <c r="L1864" s="2">
        <v>16.100000000000001</v>
      </c>
      <c r="M1864" s="11">
        <v>32</v>
      </c>
      <c r="N1864" s="3">
        <v>19</v>
      </c>
      <c r="O1864" s="3">
        <v>109896</v>
      </c>
      <c r="P1864" s="3">
        <v>130768</v>
      </c>
      <c r="Q1864" s="10">
        <v>0</v>
      </c>
      <c r="R1864" s="3">
        <f>(Таблица1[Размер кредита]-$AA$2)/$AA$3</f>
        <v>-0.70760948254242784</v>
      </c>
      <c r="S1864" s="3">
        <f>(Таблица1[Кредитный рейтинг]-$AA$7)/($AA$8-$AA$7)</f>
        <v>0.95339547270306257</v>
      </c>
      <c r="T1864" s="3">
        <f>(Таблица1[Срок с последнего нарушения кредитного договора (мес,)]-$AA$12)/($AA$13-$AA$12)</f>
        <v>0.36363636363636365</v>
      </c>
      <c r="U1864" s="3">
        <f>(Таблица1[Количество кредитных карт]-$AA$18)/($AA$19-$AA$18)</f>
        <v>0.42857142857142855</v>
      </c>
      <c r="V1864" s="3">
        <f>(Таблица1[Число нарушений кредитных договоров]-$AA$23)/($AA$24-$AA$23)</f>
        <v>0</v>
      </c>
      <c r="W1864" s="3">
        <f>Таблица1[[#This Row],[Годовой доход]]/12</f>
        <v>101980.91666666667</v>
      </c>
      <c r="X1864" s="3">
        <f>Таблица1[[#This Row],[Ежемесячный платеж]]/Таблица1[[#This Row],[Ежем доход]]</f>
        <v>0.17599714325637719</v>
      </c>
      <c r="Y1864" s="3"/>
      <c r="Z1864" s="3"/>
      <c r="AA1864" s="3"/>
      <c r="AB1864" s="3"/>
    </row>
    <row r="1865" spans="1:28" x14ac:dyDescent="0.2">
      <c r="A1865">
        <v>1321</v>
      </c>
      <c r="B1865" t="s">
        <v>1360</v>
      </c>
      <c r="C1865" t="s">
        <v>18</v>
      </c>
      <c r="D1865" t="s">
        <v>19</v>
      </c>
      <c r="E1865" t="s">
        <v>20</v>
      </c>
      <c r="F1865" t="s">
        <v>21</v>
      </c>
      <c r="G1865" t="s">
        <v>25</v>
      </c>
      <c r="H1865" s="1">
        <v>67562</v>
      </c>
      <c r="I1865" s="3">
        <v>719</v>
      </c>
      <c r="J1865" s="3">
        <v>1264279</v>
      </c>
      <c r="K1865" s="3">
        <v>19490.77</v>
      </c>
      <c r="L1865" s="2">
        <v>12.5</v>
      </c>
      <c r="M1865" s="11">
        <v>78</v>
      </c>
      <c r="N1865" s="3">
        <v>8</v>
      </c>
      <c r="O1865" s="3">
        <v>112385</v>
      </c>
      <c r="P1865" s="3">
        <v>130636</v>
      </c>
      <c r="Q1865" s="10">
        <v>0</v>
      </c>
      <c r="R1865" s="3">
        <f>(Таблица1[Размер кредита]-$AA$2)/$AA$3</f>
        <v>-1.3779591491755467</v>
      </c>
      <c r="S1865" s="3">
        <f>(Таблица1[Кредитный рейтинг]-$AA$7)/($AA$8-$AA$7)</f>
        <v>0.95739014647137155</v>
      </c>
      <c r="T1865" s="3">
        <f>(Таблица1[Срок с последнего нарушения кредитного договора (мес,)]-$AA$12)/($AA$13-$AA$12)</f>
        <v>0.88636363636363635</v>
      </c>
      <c r="U1865" s="3">
        <f>(Таблица1[Количество кредитных карт]-$AA$18)/($AA$19-$AA$18)</f>
        <v>0.16666666666666666</v>
      </c>
      <c r="V1865" s="3">
        <f>(Таблица1[Число нарушений кредитных договоров]-$AA$23)/($AA$24-$AA$23)</f>
        <v>0</v>
      </c>
      <c r="W1865" s="3">
        <f>Таблица1[[#This Row],[Годовой доход]]/12</f>
        <v>105356.58333333333</v>
      </c>
      <c r="X1865" s="3">
        <f>Таблица1[[#This Row],[Ежемесячный платеж]]/Таблица1[[#This Row],[Ежем доход]]</f>
        <v>0.18499812145895014</v>
      </c>
      <c r="Y1865" s="3"/>
      <c r="Z1865" s="3"/>
      <c r="AA1865" s="3"/>
      <c r="AB1865" s="3"/>
    </row>
    <row r="1866" spans="1:28" x14ac:dyDescent="0.2">
      <c r="A1866">
        <v>1041</v>
      </c>
      <c r="B1866" t="s">
        <v>1080</v>
      </c>
      <c r="C1866" t="s">
        <v>18</v>
      </c>
      <c r="D1866" t="s">
        <v>19</v>
      </c>
      <c r="E1866" t="s">
        <v>24</v>
      </c>
      <c r="F1866" t="s">
        <v>21</v>
      </c>
      <c r="G1866" t="s">
        <v>25</v>
      </c>
      <c r="H1866" s="1">
        <v>154594</v>
      </c>
      <c r="I1866" s="3">
        <v>722</v>
      </c>
      <c r="J1866" s="3">
        <v>434853</v>
      </c>
      <c r="K1866" s="3">
        <v>2290.2600000000002</v>
      </c>
      <c r="L1866" s="2">
        <v>33.700000000000003</v>
      </c>
      <c r="M1866" s="11">
        <v>23</v>
      </c>
      <c r="N1866" s="3">
        <v>8</v>
      </c>
      <c r="O1866" s="3">
        <v>67792</v>
      </c>
      <c r="P1866" s="3">
        <v>130372</v>
      </c>
      <c r="Q1866" s="10">
        <v>2</v>
      </c>
      <c r="R1866" s="3">
        <f>(Таблица1[Размер кредита]-$AA$2)/$AA$3</f>
        <v>-0.88246152563283031</v>
      </c>
      <c r="S1866" s="3">
        <f>(Таблица1[Кредитный рейтинг]-$AA$7)/($AA$8-$AA$7)</f>
        <v>0.96138482023968042</v>
      </c>
      <c r="T1866" s="3">
        <f>(Таблица1[Срок с последнего нарушения кредитного договора (мес,)]-$AA$12)/($AA$13-$AA$12)</f>
        <v>0.26136363636363635</v>
      </c>
      <c r="U1866" s="3">
        <f>(Таблица1[Количество кредитных карт]-$AA$18)/($AA$19-$AA$18)</f>
        <v>0.16666666666666666</v>
      </c>
      <c r="V1866" s="3">
        <f>(Таблица1[Число нарушений кредитных договоров]-$AA$23)/($AA$24-$AA$23)</f>
        <v>0.2857142857142857</v>
      </c>
      <c r="W1866" s="3">
        <f>Таблица1[[#This Row],[Годовой доход]]/12</f>
        <v>36237.75</v>
      </c>
      <c r="X1866" s="3">
        <f>Таблица1[[#This Row],[Ежемесячный платеж]]/Таблица1[[#This Row],[Ежем доход]]</f>
        <v>6.3200943767204101E-2</v>
      </c>
      <c r="Y1866" s="3"/>
      <c r="Z1866" s="3"/>
      <c r="AA1866" s="3"/>
      <c r="AB1866" s="3"/>
    </row>
    <row r="1867" spans="1:28" x14ac:dyDescent="0.2">
      <c r="A1867">
        <v>444</v>
      </c>
      <c r="B1867" t="s">
        <v>485</v>
      </c>
      <c r="C1867" t="s">
        <v>18</v>
      </c>
      <c r="D1867" t="s">
        <v>19</v>
      </c>
      <c r="E1867" t="s">
        <v>24</v>
      </c>
      <c r="F1867" t="s">
        <v>33</v>
      </c>
      <c r="G1867" t="s">
        <v>25</v>
      </c>
      <c r="H1867" s="1">
        <v>134794</v>
      </c>
      <c r="I1867" s="3">
        <v>736</v>
      </c>
      <c r="J1867" s="3">
        <v>927523</v>
      </c>
      <c r="K1867" s="3">
        <v>11439.33</v>
      </c>
      <c r="L1867" s="2">
        <v>16.8</v>
      </c>
      <c r="M1867" s="11">
        <v>49</v>
      </c>
      <c r="N1867" s="3">
        <v>7</v>
      </c>
      <c r="O1867" s="3">
        <v>72371</v>
      </c>
      <c r="P1867" s="3">
        <v>130306</v>
      </c>
      <c r="Q1867" s="10">
        <v>1</v>
      </c>
      <c r="R1867" s="3">
        <f>(Таблица1[Размер кредита]-$AA$2)/$AA$3</f>
        <v>-0.99518848751059696</v>
      </c>
      <c r="S1867" s="3">
        <f>(Таблица1[Кредитный рейтинг]-$AA$7)/($AA$8-$AA$7)</f>
        <v>0.98002663115845534</v>
      </c>
      <c r="T1867" s="3">
        <f>(Таблица1[Срок с последнего нарушения кредитного договора (мес,)]-$AA$12)/($AA$13-$AA$12)</f>
        <v>0.55681818181818177</v>
      </c>
      <c r="U1867" s="3">
        <f>(Таблица1[Количество кредитных карт]-$AA$18)/($AA$19-$AA$18)</f>
        <v>0.14285714285714285</v>
      </c>
      <c r="V1867" s="3">
        <f>(Таблица1[Число нарушений кредитных договоров]-$AA$23)/($AA$24-$AA$23)</f>
        <v>0.14285714285714285</v>
      </c>
      <c r="W1867" s="3">
        <f>Таблица1[[#This Row],[Годовой доход]]/12</f>
        <v>77293.583333333328</v>
      </c>
      <c r="X1867" s="3">
        <f>Таблица1[[#This Row],[Ежемесячный платеж]]/Таблица1[[#This Row],[Ежем доход]]</f>
        <v>0.14799844316529079</v>
      </c>
      <c r="Y1867" s="3"/>
      <c r="Z1867" s="3"/>
      <c r="AA1867" s="3"/>
      <c r="AB1867" s="3"/>
    </row>
    <row r="1868" spans="1:28" x14ac:dyDescent="0.2">
      <c r="A1868">
        <v>504</v>
      </c>
      <c r="B1868" t="s">
        <v>545</v>
      </c>
      <c r="C1868" t="s">
        <v>35</v>
      </c>
      <c r="D1868" t="s">
        <v>19</v>
      </c>
      <c r="E1868" t="s">
        <v>50</v>
      </c>
      <c r="F1868" t="s">
        <v>21</v>
      </c>
      <c r="G1868" t="s">
        <v>25</v>
      </c>
      <c r="H1868" s="1">
        <v>219054</v>
      </c>
      <c r="I1868" s="3">
        <v>723</v>
      </c>
      <c r="J1868" s="3">
        <v>1067154</v>
      </c>
      <c r="K1868" s="3">
        <v>24455.66</v>
      </c>
      <c r="L1868" s="2">
        <v>15.4</v>
      </c>
      <c r="M1868" s="11">
        <v>29</v>
      </c>
      <c r="N1868" s="3">
        <v>8</v>
      </c>
      <c r="O1868" s="3">
        <v>100814</v>
      </c>
      <c r="P1868" s="3">
        <v>130284</v>
      </c>
      <c r="Q1868" s="10">
        <v>0</v>
      </c>
      <c r="R1868" s="3">
        <f>(Таблица1[Размер кредита]-$AA$2)/$AA$3</f>
        <v>-0.51547263863076775</v>
      </c>
      <c r="S1868" s="3">
        <f>(Таблица1[Кредитный рейтинг]-$AA$7)/($AA$8-$AA$7)</f>
        <v>0.96271637816245004</v>
      </c>
      <c r="T1868" s="3">
        <f>(Таблица1[Срок с последнего нарушения кредитного договора (мес,)]-$AA$12)/($AA$13-$AA$12)</f>
        <v>0.32954545454545453</v>
      </c>
      <c r="U1868" s="3">
        <f>(Таблица1[Количество кредитных карт]-$AA$18)/($AA$19-$AA$18)</f>
        <v>0.16666666666666666</v>
      </c>
      <c r="V1868" s="3">
        <f>(Таблица1[Число нарушений кредитных договоров]-$AA$23)/($AA$24-$AA$23)</f>
        <v>0</v>
      </c>
      <c r="W1868" s="3">
        <f>Таблица1[[#This Row],[Годовой доход]]/12</f>
        <v>88929.5</v>
      </c>
      <c r="X1868" s="3">
        <f>Таблица1[[#This Row],[Ежемесячный платеж]]/Таблица1[[#This Row],[Ежем доход]]</f>
        <v>0.27500053413096892</v>
      </c>
      <c r="Y1868" s="3"/>
      <c r="Z1868" s="3"/>
      <c r="AA1868" s="3"/>
      <c r="AB1868" s="3"/>
    </row>
    <row r="1869" spans="1:28" x14ac:dyDescent="0.2">
      <c r="A1869">
        <v>646</v>
      </c>
      <c r="B1869" t="s">
        <v>687</v>
      </c>
      <c r="C1869" t="s">
        <v>35</v>
      </c>
      <c r="D1869" t="s">
        <v>19</v>
      </c>
      <c r="E1869" t="s">
        <v>24</v>
      </c>
      <c r="F1869" t="s">
        <v>21</v>
      </c>
      <c r="G1869" t="s">
        <v>25</v>
      </c>
      <c r="H1869" s="1">
        <v>353782</v>
      </c>
      <c r="I1869" s="3">
        <v>646</v>
      </c>
      <c r="J1869" s="3">
        <v>1524313</v>
      </c>
      <c r="K1869" s="3">
        <v>19816.05</v>
      </c>
      <c r="L1869" s="2">
        <v>31.8</v>
      </c>
      <c r="M1869" s="11">
        <v>42</v>
      </c>
      <c r="N1869" s="3">
        <v>7</v>
      </c>
      <c r="O1869" s="3">
        <v>114399</v>
      </c>
      <c r="P1869" s="3">
        <v>129976</v>
      </c>
      <c r="Q1869" s="10">
        <v>0</v>
      </c>
      <c r="R1869" s="3">
        <f>(Таблица1[Размер кредита]-$AA$2)/$AA$3</f>
        <v>0.25157171085750218</v>
      </c>
      <c r="S1869" s="3">
        <f>(Таблица1[Кредитный рейтинг]-$AA$7)/($AA$8-$AA$7)</f>
        <v>0.86018641810918772</v>
      </c>
      <c r="T1869" s="3">
        <f>(Таблица1[Срок с последнего нарушения кредитного договора (мес,)]-$AA$12)/($AA$13-$AA$12)</f>
        <v>0.47727272727272729</v>
      </c>
      <c r="U1869" s="3">
        <f>(Таблица1[Количество кредитных карт]-$AA$18)/($AA$19-$AA$18)</f>
        <v>0.14285714285714285</v>
      </c>
      <c r="V1869" s="3">
        <f>(Таблица1[Число нарушений кредитных договоров]-$AA$23)/($AA$24-$AA$23)</f>
        <v>0</v>
      </c>
      <c r="W1869" s="3">
        <f>Таблица1[[#This Row],[Годовой доход]]/12</f>
        <v>127026.08333333333</v>
      </c>
      <c r="X1869" s="3">
        <f>Таблица1[[#This Row],[Ежемесячный платеж]]/Таблица1[[#This Row],[Ежем доход]]</f>
        <v>0.15599985042442072</v>
      </c>
      <c r="Y1869" s="3"/>
      <c r="Z1869" s="3"/>
      <c r="AA1869" s="3"/>
      <c r="AB1869" s="3"/>
    </row>
    <row r="1870" spans="1:28" x14ac:dyDescent="0.2">
      <c r="A1870">
        <v>100</v>
      </c>
      <c r="B1870" t="s">
        <v>142</v>
      </c>
      <c r="C1870" t="s">
        <v>18</v>
      </c>
      <c r="D1870" t="s">
        <v>19</v>
      </c>
      <c r="E1870" t="s">
        <v>24</v>
      </c>
      <c r="F1870" t="s">
        <v>33</v>
      </c>
      <c r="G1870" t="s">
        <v>25</v>
      </c>
      <c r="H1870" s="1">
        <v>595672</v>
      </c>
      <c r="I1870" s="3">
        <v>685</v>
      </c>
      <c r="J1870" s="3">
        <v>1305927</v>
      </c>
      <c r="K1870" s="3">
        <v>13603.43</v>
      </c>
      <c r="L1870" s="2">
        <v>25.9</v>
      </c>
      <c r="M1870" s="11">
        <v>35.265240640000002</v>
      </c>
      <c r="N1870" s="3">
        <v>8</v>
      </c>
      <c r="O1870" s="3">
        <v>108148</v>
      </c>
      <c r="P1870" s="3">
        <v>129624</v>
      </c>
      <c r="Q1870" s="10">
        <v>0</v>
      </c>
      <c r="R1870" s="3">
        <f>(Таблица1[Размер кредита]-$AA$2)/$AA$3</f>
        <v>1.6287194284642181</v>
      </c>
      <c r="S1870" s="3">
        <f>(Таблица1[Кредитный рейтинг]-$AA$7)/($AA$8-$AA$7)</f>
        <v>0.91211717709720375</v>
      </c>
      <c r="T1870" s="3">
        <f>(Таблица1[Срок с последнего нарушения кредитного договора (мес,)]-$AA$12)/($AA$13-$AA$12)</f>
        <v>0.40074137090909095</v>
      </c>
      <c r="U1870" s="3">
        <f>(Таблица1[Количество кредитных карт]-$AA$18)/($AA$19-$AA$18)</f>
        <v>0.16666666666666666</v>
      </c>
      <c r="V1870" s="3">
        <f>(Таблица1[Число нарушений кредитных договоров]-$AA$23)/($AA$24-$AA$23)</f>
        <v>0</v>
      </c>
      <c r="W1870" s="3">
        <f>Таблица1[[#This Row],[Годовой доход]]/12</f>
        <v>108827.25</v>
      </c>
      <c r="X1870" s="3">
        <f>Таблица1[[#This Row],[Ежемесячный платеж]]/Таблица1[[#This Row],[Ежем доход]]</f>
        <v>0.12500021823578195</v>
      </c>
      <c r="Y1870" s="3"/>
      <c r="Z1870" s="3"/>
      <c r="AA1870" s="3"/>
      <c r="AB1870" s="3"/>
    </row>
    <row r="1871" spans="1:28" x14ac:dyDescent="0.2">
      <c r="A1871">
        <v>290</v>
      </c>
      <c r="B1871" t="s">
        <v>332</v>
      </c>
      <c r="C1871" t="s">
        <v>18</v>
      </c>
      <c r="D1871" t="s">
        <v>19</v>
      </c>
      <c r="E1871" t="s">
        <v>24</v>
      </c>
      <c r="F1871" t="s">
        <v>33</v>
      </c>
      <c r="G1871" t="s">
        <v>25</v>
      </c>
      <c r="H1871" s="1">
        <v>277948</v>
      </c>
      <c r="I1871" s="3">
        <v>707</v>
      </c>
      <c r="J1871" s="3">
        <v>1118948</v>
      </c>
      <c r="K1871" s="3">
        <v>29465.58</v>
      </c>
      <c r="L1871" s="2">
        <v>15.7</v>
      </c>
      <c r="M1871" s="11">
        <v>63</v>
      </c>
      <c r="N1871" s="3">
        <v>11</v>
      </c>
      <c r="O1871" s="3">
        <v>66994</v>
      </c>
      <c r="P1871" s="3">
        <v>129294</v>
      </c>
      <c r="Q1871" s="10">
        <v>1</v>
      </c>
      <c r="R1871" s="3">
        <f>(Таблица1[Размер кредита]-$AA$2)/$AA$3</f>
        <v>-0.18017255313434405</v>
      </c>
      <c r="S1871" s="3">
        <f>(Таблица1[Кредитный рейтинг]-$AA$7)/($AA$8-$AA$7)</f>
        <v>0.94141145139813587</v>
      </c>
      <c r="T1871" s="3">
        <f>(Таблица1[Срок с последнего нарушения кредитного договора (мес,)]-$AA$12)/($AA$13-$AA$12)</f>
        <v>0.71590909090909094</v>
      </c>
      <c r="U1871" s="3">
        <f>(Таблица1[Количество кредитных карт]-$AA$18)/($AA$19-$AA$18)</f>
        <v>0.23809523809523808</v>
      </c>
      <c r="V1871" s="3">
        <f>(Таблица1[Число нарушений кредитных договоров]-$AA$23)/($AA$24-$AA$23)</f>
        <v>0.14285714285714285</v>
      </c>
      <c r="W1871" s="3">
        <f>Таблица1[[#This Row],[Годовой доход]]/12</f>
        <v>93245.666666666672</v>
      </c>
      <c r="X1871" s="3">
        <f>Таблица1[[#This Row],[Ежемесячный платеж]]/Таблица1[[#This Row],[Ежем доход]]</f>
        <v>0.3159994566324798</v>
      </c>
      <c r="Y1871" s="3"/>
      <c r="Z1871" s="3"/>
      <c r="AA1871" s="3"/>
      <c r="AB1871" s="3"/>
    </row>
    <row r="1872" spans="1:28" x14ac:dyDescent="0.2">
      <c r="A1872">
        <v>1719</v>
      </c>
      <c r="B1872" t="s">
        <v>1757</v>
      </c>
      <c r="C1872" t="s">
        <v>18</v>
      </c>
      <c r="D1872" t="s">
        <v>19</v>
      </c>
      <c r="E1872" t="s">
        <v>41</v>
      </c>
      <c r="F1872" t="s">
        <v>21</v>
      </c>
      <c r="G1872" t="s">
        <v>25</v>
      </c>
      <c r="H1872" s="1">
        <v>182776</v>
      </c>
      <c r="I1872" s="3">
        <v>0</v>
      </c>
      <c r="J1872" s="3">
        <v>1168044</v>
      </c>
      <c r="K1872" s="3">
        <v>4698.32</v>
      </c>
      <c r="L1872" s="2">
        <v>16.600000000000001</v>
      </c>
      <c r="M1872" s="11">
        <v>40</v>
      </c>
      <c r="N1872" s="3">
        <v>9</v>
      </c>
      <c r="O1872" s="3">
        <v>62833</v>
      </c>
      <c r="P1872" s="3">
        <v>128964</v>
      </c>
      <c r="Q1872" s="10">
        <v>0</v>
      </c>
      <c r="R1872" s="3">
        <f>(Таблица1[Размер кредита]-$AA$2)/$AA$3</f>
        <v>-0.72201348322680903</v>
      </c>
      <c r="S1872" s="3">
        <f>(Таблица1[Кредитный рейтинг]-$AA$7)/($AA$8-$AA$7)</f>
        <v>0</v>
      </c>
      <c r="T1872" s="3">
        <f>(Таблица1[Срок с последнего нарушения кредитного договора (мес,)]-$AA$12)/($AA$13-$AA$12)</f>
        <v>0.45454545454545453</v>
      </c>
      <c r="U1872" s="3">
        <f>(Таблица1[Количество кредитных карт]-$AA$18)/($AA$19-$AA$18)</f>
        <v>0.19047619047619047</v>
      </c>
      <c r="V1872" s="3">
        <f>(Таблица1[Число нарушений кредитных договоров]-$AA$23)/($AA$24-$AA$23)</f>
        <v>0</v>
      </c>
      <c r="W1872" s="3">
        <f>Таблица1[[#This Row],[Годовой доход]]/12</f>
        <v>97337</v>
      </c>
      <c r="X1872" s="3">
        <f>Таблица1[[#This Row],[Ежемесячный платеж]]/Таблица1[[#This Row],[Ежем доход]]</f>
        <v>4.8268592621510828E-2</v>
      </c>
      <c r="Y1872" s="3"/>
      <c r="Z1872" s="3"/>
      <c r="AA1872" s="3"/>
      <c r="AB1872" s="3"/>
    </row>
    <row r="1873" spans="1:28" x14ac:dyDescent="0.2">
      <c r="A1873">
        <v>60</v>
      </c>
      <c r="B1873" t="s">
        <v>101</v>
      </c>
      <c r="C1873" t="s">
        <v>18</v>
      </c>
      <c r="D1873" t="s">
        <v>19</v>
      </c>
      <c r="E1873" t="s">
        <v>69</v>
      </c>
      <c r="F1873" t="s">
        <v>33</v>
      </c>
      <c r="G1873" t="s">
        <v>102</v>
      </c>
      <c r="H1873" s="1">
        <v>174548</v>
      </c>
      <c r="I1873" s="3">
        <v>721</v>
      </c>
      <c r="J1873" s="3">
        <v>1620681</v>
      </c>
      <c r="K1873" s="3">
        <v>30522.74</v>
      </c>
      <c r="L1873" s="2">
        <v>15</v>
      </c>
      <c r="M1873" s="11">
        <v>27</v>
      </c>
      <c r="N1873" s="3">
        <v>7</v>
      </c>
      <c r="O1873" s="3">
        <v>40489</v>
      </c>
      <c r="P1873" s="3">
        <v>128832</v>
      </c>
      <c r="Q1873" s="10">
        <v>0</v>
      </c>
      <c r="R1873" s="3">
        <f>(Таблица1[Размер кредита]-$AA$2)/$AA$3</f>
        <v>-0.76885779849601432</v>
      </c>
      <c r="S1873" s="3">
        <f>(Таблица1[Кредитный рейтинг]-$AA$7)/($AA$8-$AA$7)</f>
        <v>0.96005326231691079</v>
      </c>
      <c r="T1873" s="3">
        <f>(Таблица1[Срок с последнего нарушения кредитного договора (мес,)]-$AA$12)/($AA$13-$AA$12)</f>
        <v>0.30681818181818182</v>
      </c>
      <c r="U1873" s="3">
        <f>(Таблица1[Количество кредитных карт]-$AA$18)/($AA$19-$AA$18)</f>
        <v>0.14285714285714285</v>
      </c>
      <c r="V1873" s="3">
        <f>(Таблица1[Число нарушений кредитных договоров]-$AA$23)/($AA$24-$AA$23)</f>
        <v>0</v>
      </c>
      <c r="W1873" s="3">
        <f>Таблица1[[#This Row],[Годовой доход]]/12</f>
        <v>135056.75</v>
      </c>
      <c r="X1873" s="3">
        <f>Таблица1[[#This Row],[Ежемесячный платеж]]/Таблица1[[#This Row],[Ежем доход]]</f>
        <v>0.22599936693278938</v>
      </c>
      <c r="Y1873" s="3"/>
      <c r="Z1873" s="3"/>
      <c r="AA1873" s="3"/>
      <c r="AB1873" s="3"/>
    </row>
    <row r="1874" spans="1:28" x14ac:dyDescent="0.2">
      <c r="A1874">
        <v>1340</v>
      </c>
      <c r="B1874" t="s">
        <v>1379</v>
      </c>
      <c r="C1874" t="s">
        <v>18</v>
      </c>
      <c r="D1874" t="s">
        <v>19</v>
      </c>
      <c r="E1874" t="s">
        <v>30</v>
      </c>
      <c r="F1874" t="s">
        <v>33</v>
      </c>
      <c r="G1874" t="s">
        <v>75</v>
      </c>
      <c r="H1874" s="1">
        <v>118514</v>
      </c>
      <c r="I1874" s="3">
        <v>0</v>
      </c>
      <c r="J1874" s="3">
        <v>1168044</v>
      </c>
      <c r="K1874" s="3">
        <v>2289.12</v>
      </c>
      <c r="L1874" s="2">
        <v>9.5</v>
      </c>
      <c r="M1874" s="11">
        <v>35.265240640000002</v>
      </c>
      <c r="N1874" s="3">
        <v>4</v>
      </c>
      <c r="O1874" s="3">
        <v>47462</v>
      </c>
      <c r="P1874" s="3">
        <v>127226</v>
      </c>
      <c r="Q1874" s="10">
        <v>0</v>
      </c>
      <c r="R1874" s="3">
        <f>(Таблица1[Размер кредита]-$AA$2)/$AA$3</f>
        <v>-1.087875100610094</v>
      </c>
      <c r="S1874" s="3">
        <f>(Таблица1[Кредитный рейтинг]-$AA$7)/($AA$8-$AA$7)</f>
        <v>0</v>
      </c>
      <c r="T1874" s="3">
        <f>(Таблица1[Срок с последнего нарушения кредитного договора (мес,)]-$AA$12)/($AA$13-$AA$12)</f>
        <v>0.40074137090909095</v>
      </c>
      <c r="U1874" s="3">
        <f>(Таблица1[Количество кредитных карт]-$AA$18)/($AA$19-$AA$18)</f>
        <v>7.1428571428571425E-2</v>
      </c>
      <c r="V1874" s="3">
        <f>(Таблица1[Число нарушений кредитных договоров]-$AA$23)/($AA$24-$AA$23)</f>
        <v>0</v>
      </c>
      <c r="W1874" s="3">
        <f>Таблица1[[#This Row],[Годовой доход]]/12</f>
        <v>97337</v>
      </c>
      <c r="X1874" s="3">
        <f>Таблица1[[#This Row],[Ежемесячный платеж]]/Таблица1[[#This Row],[Ежем доход]]</f>
        <v>2.3517470232285769E-2</v>
      </c>
      <c r="Y1874" s="3"/>
      <c r="Z1874" s="3"/>
      <c r="AA1874" s="3"/>
      <c r="AB1874" s="3"/>
    </row>
    <row r="1875" spans="1:28" x14ac:dyDescent="0.2">
      <c r="A1875">
        <v>21</v>
      </c>
      <c r="B1875" t="s">
        <v>56</v>
      </c>
      <c r="C1875" t="s">
        <v>35</v>
      </c>
      <c r="D1875" t="s">
        <v>29</v>
      </c>
      <c r="E1875" t="s">
        <v>20</v>
      </c>
      <c r="F1875" t="s">
        <v>33</v>
      </c>
      <c r="G1875" t="s">
        <v>25</v>
      </c>
      <c r="H1875" s="1">
        <v>317108</v>
      </c>
      <c r="I1875" s="3">
        <v>687</v>
      </c>
      <c r="J1875" s="3">
        <v>1133274</v>
      </c>
      <c r="K1875" s="3">
        <v>9632.81</v>
      </c>
      <c r="L1875" s="2">
        <v>17.399999999999999</v>
      </c>
      <c r="M1875" s="11">
        <v>53</v>
      </c>
      <c r="N1875" s="3">
        <v>4</v>
      </c>
      <c r="O1875" s="3">
        <v>60287</v>
      </c>
      <c r="P1875" s="3">
        <v>126940</v>
      </c>
      <c r="Q1875" s="10">
        <v>0</v>
      </c>
      <c r="R1875" s="3">
        <f>(Таблица1[Размер кредита]-$AA$2)/$AA$3</f>
        <v>4.2776327023905533E-2</v>
      </c>
      <c r="S1875" s="3">
        <f>(Таблица1[Кредитный рейтинг]-$AA$7)/($AA$8-$AA$7)</f>
        <v>0.91478029294274299</v>
      </c>
      <c r="T1875" s="3">
        <f>(Таблица1[Срок с последнего нарушения кредитного договора (мес,)]-$AA$12)/($AA$13-$AA$12)</f>
        <v>0.60227272727272729</v>
      </c>
      <c r="U1875" s="3">
        <f>(Таблица1[Количество кредитных карт]-$AA$18)/($AA$19-$AA$18)</f>
        <v>7.1428571428571425E-2</v>
      </c>
      <c r="V1875" s="3">
        <f>(Таблица1[Число нарушений кредитных договоров]-$AA$23)/($AA$24-$AA$23)</f>
        <v>0</v>
      </c>
      <c r="W1875" s="3">
        <f>Таблица1[[#This Row],[Годовой доход]]/12</f>
        <v>94439.5</v>
      </c>
      <c r="X1875" s="3">
        <f>Таблица1[[#This Row],[Ежемесячный платеж]]/Таблица1[[#This Row],[Ежем доход]]</f>
        <v>0.10199979881299667</v>
      </c>
      <c r="Y1875" s="3"/>
      <c r="Z1875" s="3"/>
      <c r="AA1875" s="3"/>
      <c r="AB1875" s="3"/>
    </row>
    <row r="1876" spans="1:28" x14ac:dyDescent="0.2">
      <c r="A1876">
        <v>773</v>
      </c>
      <c r="B1876" t="s">
        <v>814</v>
      </c>
      <c r="C1876" t="s">
        <v>18</v>
      </c>
      <c r="D1876" t="s">
        <v>19</v>
      </c>
      <c r="E1876" t="s">
        <v>47</v>
      </c>
      <c r="F1876" t="s">
        <v>33</v>
      </c>
      <c r="G1876" t="s">
        <v>25</v>
      </c>
      <c r="H1876" s="1">
        <v>131274</v>
      </c>
      <c r="I1876" s="3">
        <v>723</v>
      </c>
      <c r="J1876" s="3">
        <v>543837</v>
      </c>
      <c r="K1876" s="3">
        <v>10378.18</v>
      </c>
      <c r="L1876" s="2">
        <v>14.3</v>
      </c>
      <c r="M1876" s="11">
        <v>35.265240640000002</v>
      </c>
      <c r="N1876" s="3">
        <v>4</v>
      </c>
      <c r="O1876" s="3">
        <v>83942</v>
      </c>
      <c r="P1876" s="3">
        <v>126390</v>
      </c>
      <c r="Q1876" s="10">
        <v>0</v>
      </c>
      <c r="R1876" s="3">
        <f>(Таблица1[Размер кредита]-$AA$2)/$AA$3</f>
        <v>-1.0152288362888666</v>
      </c>
      <c r="S1876" s="3">
        <f>(Таблица1[Кредитный рейтинг]-$AA$7)/($AA$8-$AA$7)</f>
        <v>0.96271637816245004</v>
      </c>
      <c r="T1876" s="3">
        <f>(Таблица1[Срок с последнего нарушения кредитного договора (мес,)]-$AA$12)/($AA$13-$AA$12)</f>
        <v>0.40074137090909095</v>
      </c>
      <c r="U1876" s="3">
        <f>(Таблица1[Количество кредитных карт]-$AA$18)/($AA$19-$AA$18)</f>
        <v>7.1428571428571425E-2</v>
      </c>
      <c r="V1876" s="3">
        <f>(Таблица1[Число нарушений кредитных договоров]-$AA$23)/($AA$24-$AA$23)</f>
        <v>0</v>
      </c>
      <c r="W1876" s="3">
        <f>Таблица1[[#This Row],[Годовой доход]]/12</f>
        <v>45319.75</v>
      </c>
      <c r="X1876" s="3">
        <f>Таблица1[[#This Row],[Ежемесячный платеж]]/Таблица1[[#This Row],[Ежем доход]]</f>
        <v>0.22899905670265172</v>
      </c>
      <c r="Y1876" s="3"/>
      <c r="Z1876" s="3"/>
      <c r="AA1876" s="3"/>
      <c r="AB1876" s="3"/>
    </row>
    <row r="1877" spans="1:28" x14ac:dyDescent="0.2">
      <c r="A1877">
        <v>1606</v>
      </c>
      <c r="B1877" t="s">
        <v>1645</v>
      </c>
      <c r="C1877" t="s">
        <v>35</v>
      </c>
      <c r="D1877" t="s">
        <v>19</v>
      </c>
      <c r="E1877" t="s">
        <v>24</v>
      </c>
      <c r="F1877" t="s">
        <v>33</v>
      </c>
      <c r="G1877" t="s">
        <v>25</v>
      </c>
      <c r="H1877" s="1">
        <v>64460</v>
      </c>
      <c r="I1877" s="3">
        <v>725</v>
      </c>
      <c r="J1877" s="3">
        <v>280706</v>
      </c>
      <c r="K1877" s="3">
        <v>3508.73</v>
      </c>
      <c r="L1877" s="2">
        <v>7</v>
      </c>
      <c r="M1877" s="11">
        <v>35.265240640000002</v>
      </c>
      <c r="N1877" s="3">
        <v>6</v>
      </c>
      <c r="O1877" s="3">
        <v>69597</v>
      </c>
      <c r="P1877" s="3">
        <v>125906</v>
      </c>
      <c r="Q1877" s="10">
        <v>0</v>
      </c>
      <c r="R1877" s="3">
        <f>(Таблица1[Размер кредита]-$AA$2)/$AA$3</f>
        <v>-1.3956197065363969</v>
      </c>
      <c r="S1877" s="3">
        <f>(Таблица1[Кредитный рейтинг]-$AA$7)/($AA$8-$AA$7)</f>
        <v>0.96537949400798939</v>
      </c>
      <c r="T1877" s="3">
        <f>(Таблица1[Срок с последнего нарушения кредитного договора (мес,)]-$AA$12)/($AA$13-$AA$12)</f>
        <v>0.40074137090909095</v>
      </c>
      <c r="U1877" s="3">
        <f>(Таблица1[Количество кредитных карт]-$AA$18)/($AA$19-$AA$18)</f>
        <v>0.11904761904761904</v>
      </c>
      <c r="V1877" s="3">
        <f>(Таблица1[Число нарушений кредитных договоров]-$AA$23)/($AA$24-$AA$23)</f>
        <v>0</v>
      </c>
      <c r="W1877" s="3">
        <f>Таблица1[[#This Row],[Годовой доход]]/12</f>
        <v>23392.166666666668</v>
      </c>
      <c r="X1877" s="3">
        <f>Таблица1[[#This Row],[Ежемесячный платеж]]/Таблица1[[#This Row],[Ежем доход]]</f>
        <v>0.14999593881142548</v>
      </c>
      <c r="Y1877" s="3"/>
      <c r="Z1877" s="3"/>
      <c r="AA1877" s="3"/>
      <c r="AB1877" s="3"/>
    </row>
    <row r="1878" spans="1:28" x14ac:dyDescent="0.2">
      <c r="A1878">
        <v>683</v>
      </c>
      <c r="B1878" t="s">
        <v>724</v>
      </c>
      <c r="C1878" t="s">
        <v>18</v>
      </c>
      <c r="D1878" t="s">
        <v>19</v>
      </c>
      <c r="E1878" t="s">
        <v>41</v>
      </c>
      <c r="F1878" t="s">
        <v>33</v>
      </c>
      <c r="G1878" t="s">
        <v>70</v>
      </c>
      <c r="H1878" s="1">
        <v>68112</v>
      </c>
      <c r="I1878" s="3">
        <v>0</v>
      </c>
      <c r="J1878" s="3">
        <v>1168044</v>
      </c>
      <c r="K1878" s="3">
        <v>956.46</v>
      </c>
      <c r="L1878" s="2">
        <v>8</v>
      </c>
      <c r="M1878" s="11">
        <v>35.265240640000002</v>
      </c>
      <c r="N1878" s="3">
        <v>4</v>
      </c>
      <c r="O1878" s="3">
        <v>18734</v>
      </c>
      <c r="P1878" s="3">
        <v>123904</v>
      </c>
      <c r="Q1878" s="10">
        <v>0</v>
      </c>
      <c r="R1878" s="3">
        <f>(Таблица1[Размер кредита]-$AA$2)/$AA$3</f>
        <v>-1.3748278446789421</v>
      </c>
      <c r="S1878" s="3">
        <f>(Таблица1[Кредитный рейтинг]-$AA$7)/($AA$8-$AA$7)</f>
        <v>0</v>
      </c>
      <c r="T1878" s="3">
        <f>(Таблица1[Срок с последнего нарушения кредитного договора (мес,)]-$AA$12)/($AA$13-$AA$12)</f>
        <v>0.40074137090909095</v>
      </c>
      <c r="U1878" s="3">
        <f>(Таблица1[Количество кредитных карт]-$AA$18)/($AA$19-$AA$18)</f>
        <v>7.1428571428571425E-2</v>
      </c>
      <c r="V1878" s="3">
        <f>(Таблица1[Число нарушений кредитных договоров]-$AA$23)/($AA$24-$AA$23)</f>
        <v>0</v>
      </c>
      <c r="W1878" s="3">
        <f>Таблица1[[#This Row],[Годовой доход]]/12</f>
        <v>97337</v>
      </c>
      <c r="X1878" s="3">
        <f>Таблица1[[#This Row],[Ежемесячный платеж]]/Таблица1[[#This Row],[Ежем доход]]</f>
        <v>9.8262736677727901E-3</v>
      </c>
      <c r="Y1878" s="3"/>
      <c r="Z1878" s="3"/>
      <c r="AA1878" s="3"/>
      <c r="AB1878" s="3"/>
    </row>
    <row r="1879" spans="1:28" x14ac:dyDescent="0.2">
      <c r="A1879">
        <v>525</v>
      </c>
      <c r="B1879" t="s">
        <v>566</v>
      </c>
      <c r="C1879" t="s">
        <v>18</v>
      </c>
      <c r="D1879" t="s">
        <v>19</v>
      </c>
      <c r="E1879" t="s">
        <v>41</v>
      </c>
      <c r="F1879" t="s">
        <v>33</v>
      </c>
      <c r="G1879" t="s">
        <v>25</v>
      </c>
      <c r="H1879" s="1">
        <v>234762</v>
      </c>
      <c r="I1879" s="3">
        <v>731</v>
      </c>
      <c r="J1879" s="3">
        <v>784833</v>
      </c>
      <c r="K1879" s="3">
        <v>5958.21</v>
      </c>
      <c r="L1879" s="2">
        <v>14.1</v>
      </c>
      <c r="M1879" s="11">
        <v>35.265240640000002</v>
      </c>
      <c r="N1879" s="3">
        <v>4</v>
      </c>
      <c r="O1879" s="3">
        <v>88122</v>
      </c>
      <c r="P1879" s="3">
        <v>123398</v>
      </c>
      <c r="Q1879" s="10">
        <v>1</v>
      </c>
      <c r="R1879" s="3">
        <f>(Таблица1[Размер кредита]-$AA$2)/$AA$3</f>
        <v>-0.42604258220773955</v>
      </c>
      <c r="S1879" s="3">
        <f>(Таблица1[Кредитный рейтинг]-$AA$7)/($AA$8-$AA$7)</f>
        <v>0.97336884154460723</v>
      </c>
      <c r="T1879" s="3">
        <f>(Таблица1[Срок с последнего нарушения кредитного договора (мес,)]-$AA$12)/($AA$13-$AA$12)</f>
        <v>0.40074137090909095</v>
      </c>
      <c r="U1879" s="3">
        <f>(Таблица1[Количество кредитных карт]-$AA$18)/($AA$19-$AA$18)</f>
        <v>7.1428571428571425E-2</v>
      </c>
      <c r="V1879" s="3">
        <f>(Таблица1[Число нарушений кредитных договоров]-$AA$23)/($AA$24-$AA$23)</f>
        <v>0.14285714285714285</v>
      </c>
      <c r="W1879" s="3">
        <f>Таблица1[[#This Row],[Годовой доход]]/12</f>
        <v>65402.75</v>
      </c>
      <c r="X1879" s="3">
        <f>Таблица1[[#This Row],[Ежемесячный платеж]]/Таблица1[[#This Row],[Ежем доход]]</f>
        <v>9.1100297770353694E-2</v>
      </c>
      <c r="Y1879" s="3"/>
      <c r="Z1879" s="3"/>
      <c r="AA1879" s="3"/>
      <c r="AB1879" s="3"/>
    </row>
    <row r="1880" spans="1:28" x14ac:dyDescent="0.2">
      <c r="A1880">
        <v>782</v>
      </c>
      <c r="B1880" t="s">
        <v>823</v>
      </c>
      <c r="C1880" t="s">
        <v>18</v>
      </c>
      <c r="D1880" t="s">
        <v>29</v>
      </c>
      <c r="E1880" t="s">
        <v>24</v>
      </c>
      <c r="F1880" t="s">
        <v>21</v>
      </c>
      <c r="G1880" t="s">
        <v>25</v>
      </c>
      <c r="H1880" s="1">
        <v>346060</v>
      </c>
      <c r="I1880" s="3">
        <v>711</v>
      </c>
      <c r="J1880" s="3">
        <v>765833</v>
      </c>
      <c r="K1880" s="3">
        <v>13402.03</v>
      </c>
      <c r="L1880" s="2">
        <v>21.1</v>
      </c>
      <c r="M1880" s="11">
        <v>16</v>
      </c>
      <c r="N1880" s="3">
        <v>9</v>
      </c>
      <c r="O1880" s="3">
        <v>61788</v>
      </c>
      <c r="P1880" s="3">
        <v>123354</v>
      </c>
      <c r="Q1880" s="10">
        <v>1</v>
      </c>
      <c r="R1880" s="3">
        <f>(Таблица1[Размер кредита]-$AA$2)/$AA$3</f>
        <v>0.20760819572517322</v>
      </c>
      <c r="S1880" s="3">
        <f>(Таблица1[Кредитный рейтинг]-$AA$7)/($AA$8-$AA$7)</f>
        <v>0.94673768308921435</v>
      </c>
      <c r="T1880" s="3">
        <f>(Таблица1[Срок с последнего нарушения кредитного договора (мес,)]-$AA$12)/($AA$13-$AA$12)</f>
        <v>0.18181818181818182</v>
      </c>
      <c r="U1880" s="3">
        <f>(Таблица1[Количество кредитных карт]-$AA$18)/($AA$19-$AA$18)</f>
        <v>0.19047619047619047</v>
      </c>
      <c r="V1880" s="3">
        <f>(Таблица1[Число нарушений кредитных договоров]-$AA$23)/($AA$24-$AA$23)</f>
        <v>0.14285714285714285</v>
      </c>
      <c r="W1880" s="3">
        <f>Таблица1[[#This Row],[Годовой доход]]/12</f>
        <v>63819.416666666664</v>
      </c>
      <c r="X1880" s="3">
        <f>Таблица1[[#This Row],[Ежемесячный платеж]]/Таблица1[[#This Row],[Ежем доход]]</f>
        <v>0.2099992557124073</v>
      </c>
      <c r="Y1880" s="3"/>
      <c r="Z1880" s="3"/>
      <c r="AA1880" s="3"/>
      <c r="AB1880" s="3"/>
    </row>
    <row r="1881" spans="1:28" x14ac:dyDescent="0.2">
      <c r="A1881">
        <v>316</v>
      </c>
      <c r="B1881" t="s">
        <v>358</v>
      </c>
      <c r="C1881" t="s">
        <v>18</v>
      </c>
      <c r="D1881" t="s">
        <v>19</v>
      </c>
      <c r="E1881" t="s">
        <v>37</v>
      </c>
      <c r="F1881" t="s">
        <v>33</v>
      </c>
      <c r="G1881" t="s">
        <v>25</v>
      </c>
      <c r="H1881" s="1">
        <v>309594.52439999999</v>
      </c>
      <c r="I1881" s="3">
        <v>728</v>
      </c>
      <c r="J1881" s="3">
        <v>311372</v>
      </c>
      <c r="K1881" s="3">
        <v>1873.4</v>
      </c>
      <c r="L1881" s="2">
        <v>10.5</v>
      </c>
      <c r="M1881" s="11">
        <v>35.265240640000002</v>
      </c>
      <c r="N1881" s="3">
        <v>3</v>
      </c>
      <c r="O1881" s="3">
        <v>92378</v>
      </c>
      <c r="P1881" s="3">
        <v>122958</v>
      </c>
      <c r="Q1881" s="10">
        <v>0</v>
      </c>
      <c r="R1881" s="3">
        <f>(Таблица1[Размер кредита]-$AA$2)/$AA$3</f>
        <v>-1.2411115481956205E-10</v>
      </c>
      <c r="S1881" s="3">
        <f>(Таблица1[Кредитный рейтинг]-$AA$7)/($AA$8-$AA$7)</f>
        <v>0.96937416777629826</v>
      </c>
      <c r="T1881" s="3">
        <f>(Таблица1[Срок с последнего нарушения кредитного договора (мес,)]-$AA$12)/($AA$13-$AA$12)</f>
        <v>0.40074137090909095</v>
      </c>
      <c r="U1881" s="3">
        <f>(Таблица1[Количество кредитных карт]-$AA$18)/($AA$19-$AA$18)</f>
        <v>4.7619047619047616E-2</v>
      </c>
      <c r="V1881" s="3">
        <f>(Таблица1[Число нарушений кредитных договоров]-$AA$23)/($AA$24-$AA$23)</f>
        <v>0</v>
      </c>
      <c r="W1881" s="3">
        <f>Таблица1[[#This Row],[Годовой доход]]/12</f>
        <v>25947.666666666668</v>
      </c>
      <c r="X1881" s="3">
        <f>Таблица1[[#This Row],[Ежемесячный платеж]]/Таблица1[[#This Row],[Ежем доход]]</f>
        <v>7.2199170124481321E-2</v>
      </c>
      <c r="Y1881" s="3"/>
      <c r="Z1881" s="3"/>
      <c r="AA1881" s="3"/>
      <c r="AB1881" s="3"/>
    </row>
    <row r="1882" spans="1:28" x14ac:dyDescent="0.2">
      <c r="A1882">
        <v>1567</v>
      </c>
      <c r="B1882" t="s">
        <v>1606</v>
      </c>
      <c r="C1882" t="s">
        <v>18</v>
      </c>
      <c r="D1882" t="s">
        <v>19</v>
      </c>
      <c r="E1882" t="s">
        <v>32</v>
      </c>
      <c r="F1882" t="s">
        <v>21</v>
      </c>
      <c r="G1882" t="s">
        <v>25</v>
      </c>
      <c r="H1882" s="1">
        <v>112904</v>
      </c>
      <c r="I1882" s="3">
        <v>749</v>
      </c>
      <c r="J1882" s="3">
        <v>1337353</v>
      </c>
      <c r="K1882" s="3">
        <v>12259.18</v>
      </c>
      <c r="L1882" s="2">
        <v>11.5</v>
      </c>
      <c r="M1882" s="11">
        <v>35.265240640000002</v>
      </c>
      <c r="N1882" s="3">
        <v>5</v>
      </c>
      <c r="O1882" s="3">
        <v>67735</v>
      </c>
      <c r="P1882" s="3">
        <v>122540</v>
      </c>
      <c r="Q1882" s="10">
        <v>0</v>
      </c>
      <c r="R1882" s="3">
        <f>(Таблица1[Размер кредита]-$AA$2)/$AA$3</f>
        <v>-1.1198144064754612</v>
      </c>
      <c r="S1882" s="3">
        <f>(Таблица1[Кредитный рейтинг]-$AA$7)/($AA$8-$AA$7)</f>
        <v>0.99733688415446076</v>
      </c>
      <c r="T1882" s="3">
        <f>(Таблица1[Срок с последнего нарушения кредитного договора (мес,)]-$AA$12)/($AA$13-$AA$12)</f>
        <v>0.40074137090909095</v>
      </c>
      <c r="U1882" s="3">
        <f>(Таблица1[Количество кредитных карт]-$AA$18)/($AA$19-$AA$18)</f>
        <v>9.5238095238095233E-2</v>
      </c>
      <c r="V1882" s="3">
        <f>(Таблица1[Число нарушений кредитных договоров]-$AA$23)/($AA$24-$AA$23)</f>
        <v>0</v>
      </c>
      <c r="W1882" s="3">
        <f>Таблица1[[#This Row],[Годовой доход]]/12</f>
        <v>111446.08333333333</v>
      </c>
      <c r="X1882" s="3">
        <f>Таблица1[[#This Row],[Ежемесячный платеж]]/Таблица1[[#This Row],[Ежем доход]]</f>
        <v>0.11000099450182563</v>
      </c>
      <c r="Y1882" s="3"/>
      <c r="Z1882" s="3"/>
      <c r="AA1882" s="3"/>
      <c r="AB1882" s="3"/>
    </row>
    <row r="1883" spans="1:28" x14ac:dyDescent="0.2">
      <c r="A1883">
        <v>286</v>
      </c>
      <c r="B1883" t="s">
        <v>328</v>
      </c>
      <c r="C1883" t="s">
        <v>18</v>
      </c>
      <c r="D1883" t="s">
        <v>19</v>
      </c>
      <c r="E1883" t="s">
        <v>52</v>
      </c>
      <c r="F1883" t="s">
        <v>33</v>
      </c>
      <c r="G1883" t="s">
        <v>25</v>
      </c>
      <c r="H1883" s="1">
        <v>309594.52439999999</v>
      </c>
      <c r="I1883" s="3">
        <v>713</v>
      </c>
      <c r="J1883" s="3">
        <v>606290</v>
      </c>
      <c r="K1883" s="3">
        <v>9145.08</v>
      </c>
      <c r="L1883" s="2">
        <v>14.7</v>
      </c>
      <c r="M1883" s="11">
        <v>35.265240640000002</v>
      </c>
      <c r="N1883" s="3">
        <v>11</v>
      </c>
      <c r="O1883" s="3">
        <v>39026</v>
      </c>
      <c r="P1883" s="3">
        <v>122144</v>
      </c>
      <c r="Q1883" s="10">
        <v>1</v>
      </c>
      <c r="R1883" s="3">
        <f>(Таблица1[Размер кредита]-$AA$2)/$AA$3</f>
        <v>-1.2411115481956205E-10</v>
      </c>
      <c r="S1883" s="3">
        <f>(Таблица1[Кредитный рейтинг]-$AA$7)/($AA$8-$AA$7)</f>
        <v>0.94940079893475371</v>
      </c>
      <c r="T1883" s="3">
        <f>(Таблица1[Срок с последнего нарушения кредитного договора (мес,)]-$AA$12)/($AA$13-$AA$12)</f>
        <v>0.40074137090909095</v>
      </c>
      <c r="U1883" s="3">
        <f>(Таблица1[Количество кредитных карт]-$AA$18)/($AA$19-$AA$18)</f>
        <v>0.23809523809523808</v>
      </c>
      <c r="V1883" s="3">
        <f>(Таблица1[Число нарушений кредитных договоров]-$AA$23)/($AA$24-$AA$23)</f>
        <v>0.14285714285714285</v>
      </c>
      <c r="W1883" s="3">
        <f>Таблица1[[#This Row],[Годовой доход]]/12</f>
        <v>50524.166666666664</v>
      </c>
      <c r="X1883" s="3">
        <f>Таблица1[[#This Row],[Ежемесячный платеж]]/Таблица1[[#This Row],[Ежем доход]]</f>
        <v>0.18100407395800691</v>
      </c>
      <c r="Y1883" s="3"/>
      <c r="Z1883" s="3"/>
      <c r="AA1883" s="3"/>
      <c r="AB1883" s="3"/>
    </row>
    <row r="1884" spans="1:28" x14ac:dyDescent="0.2">
      <c r="A1884">
        <v>715</v>
      </c>
      <c r="B1884" t="s">
        <v>756</v>
      </c>
      <c r="C1884" t="s">
        <v>18</v>
      </c>
      <c r="D1884" t="s">
        <v>19</v>
      </c>
      <c r="E1884" t="s">
        <v>24</v>
      </c>
      <c r="F1884" t="s">
        <v>21</v>
      </c>
      <c r="G1884" t="s">
        <v>25</v>
      </c>
      <c r="H1884" s="1">
        <v>128942</v>
      </c>
      <c r="I1884" s="3">
        <v>712</v>
      </c>
      <c r="J1884" s="3">
        <v>1633202</v>
      </c>
      <c r="K1884" s="3">
        <v>44505.03</v>
      </c>
      <c r="L1884" s="2">
        <v>21.2</v>
      </c>
      <c r="M1884" s="11">
        <v>9</v>
      </c>
      <c r="N1884" s="3">
        <v>13</v>
      </c>
      <c r="O1884" s="3">
        <v>72884</v>
      </c>
      <c r="P1884" s="3">
        <v>120384</v>
      </c>
      <c r="Q1884" s="10">
        <v>0</v>
      </c>
      <c r="R1884" s="3">
        <f>(Таблица1[Размер кредита]-$AA$2)/$AA$3</f>
        <v>-1.0285055673544701</v>
      </c>
      <c r="S1884" s="3">
        <f>(Таблица1[Кредитный рейтинг]-$AA$7)/($AA$8-$AA$7)</f>
        <v>0.94806924101198398</v>
      </c>
      <c r="T1884" s="3">
        <f>(Таблица1[Срок с последнего нарушения кредитного договора (мес,)]-$AA$12)/($AA$13-$AA$12)</f>
        <v>0.10227272727272728</v>
      </c>
      <c r="U1884" s="3">
        <f>(Таблица1[Количество кредитных карт]-$AA$18)/($AA$19-$AA$18)</f>
        <v>0.2857142857142857</v>
      </c>
      <c r="V1884" s="3">
        <f>(Таблица1[Число нарушений кредитных договоров]-$AA$23)/($AA$24-$AA$23)</f>
        <v>0</v>
      </c>
      <c r="W1884" s="3">
        <f>Таблица1[[#This Row],[Годовой доход]]/12</f>
        <v>136100.16666666666</v>
      </c>
      <c r="X1884" s="3">
        <f>Таблица1[[#This Row],[Ежемесячный платеж]]/Таблица1[[#This Row],[Ежем доход]]</f>
        <v>0.32700202424439845</v>
      </c>
      <c r="Y1884" s="3"/>
      <c r="Z1884" s="3"/>
      <c r="AA1884" s="3"/>
      <c r="AB1884" s="3"/>
    </row>
    <row r="1885" spans="1:28" x14ac:dyDescent="0.2">
      <c r="A1885">
        <v>662</v>
      </c>
      <c r="B1885" t="s">
        <v>703</v>
      </c>
      <c r="C1885" t="s">
        <v>18</v>
      </c>
      <c r="D1885" t="s">
        <v>19</v>
      </c>
      <c r="E1885" t="s">
        <v>47</v>
      </c>
      <c r="F1885" t="s">
        <v>33</v>
      </c>
      <c r="G1885" t="s">
        <v>67</v>
      </c>
      <c r="H1885" s="1">
        <v>65714</v>
      </c>
      <c r="I1885" s="3">
        <v>0</v>
      </c>
      <c r="J1885" s="3">
        <v>1168044</v>
      </c>
      <c r="K1885" s="3">
        <v>1704.87</v>
      </c>
      <c r="L1885" s="2">
        <v>14.9</v>
      </c>
      <c r="M1885" s="11">
        <v>50</v>
      </c>
      <c r="N1885" s="3">
        <v>3</v>
      </c>
      <c r="O1885" s="3">
        <v>33250</v>
      </c>
      <c r="P1885" s="3">
        <v>120340</v>
      </c>
      <c r="Q1885" s="10">
        <v>0</v>
      </c>
      <c r="R1885" s="3">
        <f>(Таблица1[Размер кредита]-$AA$2)/$AA$3</f>
        <v>-1.3884803322841384</v>
      </c>
      <c r="S1885" s="3">
        <f>(Таблица1[Кредитный рейтинг]-$AA$7)/($AA$8-$AA$7)</f>
        <v>0</v>
      </c>
      <c r="T1885" s="3">
        <f>(Таблица1[Срок с последнего нарушения кредитного договора (мес,)]-$AA$12)/($AA$13-$AA$12)</f>
        <v>0.56818181818181823</v>
      </c>
      <c r="U1885" s="3">
        <f>(Таблица1[Количество кредитных карт]-$AA$18)/($AA$19-$AA$18)</f>
        <v>4.7619047619047616E-2</v>
      </c>
      <c r="V1885" s="3">
        <f>(Таблица1[Число нарушений кредитных договоров]-$AA$23)/($AA$24-$AA$23)</f>
        <v>0</v>
      </c>
      <c r="W1885" s="3">
        <f>Таблица1[[#This Row],[Годовой доход]]/12</f>
        <v>97337</v>
      </c>
      <c r="X1885" s="3">
        <f>Таблица1[[#This Row],[Ежемесячный платеж]]/Таблица1[[#This Row],[Ежем доход]]</f>
        <v>1.7515127854772591E-2</v>
      </c>
      <c r="Y1885" s="3"/>
      <c r="Z1885" s="3"/>
      <c r="AA1885" s="3"/>
      <c r="AB1885" s="3"/>
    </row>
    <row r="1886" spans="1:28" x14ac:dyDescent="0.2">
      <c r="A1886">
        <v>264</v>
      </c>
      <c r="B1886" t="s">
        <v>306</v>
      </c>
      <c r="C1886" t="s">
        <v>35</v>
      </c>
      <c r="D1886" t="s">
        <v>19</v>
      </c>
      <c r="E1886" t="s">
        <v>37</v>
      </c>
      <c r="F1886" t="s">
        <v>33</v>
      </c>
      <c r="G1886" t="s">
        <v>25</v>
      </c>
      <c r="H1886" s="1">
        <v>63140</v>
      </c>
      <c r="I1886" s="3">
        <v>733</v>
      </c>
      <c r="J1886" s="3">
        <v>233681</v>
      </c>
      <c r="K1886" s="3">
        <v>2122.4899999999998</v>
      </c>
      <c r="L1886" s="2">
        <v>14.9</v>
      </c>
      <c r="M1886" s="11">
        <v>35.265240640000002</v>
      </c>
      <c r="N1886" s="3">
        <v>3</v>
      </c>
      <c r="O1886" s="3">
        <v>58463</v>
      </c>
      <c r="P1886" s="3">
        <v>119592</v>
      </c>
      <c r="Q1886" s="10">
        <v>0</v>
      </c>
      <c r="R1886" s="3">
        <f>(Таблица1[Размер кредита]-$AA$2)/$AA$3</f>
        <v>-1.403134837328248</v>
      </c>
      <c r="S1886" s="3">
        <f>(Таблица1[Кредитный рейтинг]-$AA$7)/($AA$8-$AA$7)</f>
        <v>0.97603195739014648</v>
      </c>
      <c r="T1886" s="3">
        <f>(Таблица1[Срок с последнего нарушения кредитного договора (мес,)]-$AA$12)/($AA$13-$AA$12)</f>
        <v>0.40074137090909095</v>
      </c>
      <c r="U1886" s="3">
        <f>(Таблица1[Количество кредитных карт]-$AA$18)/($AA$19-$AA$18)</f>
        <v>4.7619047619047616E-2</v>
      </c>
      <c r="V1886" s="3">
        <f>(Таблица1[Число нарушений кредитных договоров]-$AA$23)/($AA$24-$AA$23)</f>
        <v>0</v>
      </c>
      <c r="W1886" s="3">
        <f>Таблица1[[#This Row],[Годовой доход]]/12</f>
        <v>19473.416666666668</v>
      </c>
      <c r="X1886" s="3">
        <f>Таблица1[[#This Row],[Ежемесячный платеж]]/Таблица1[[#This Row],[Ежем доход]]</f>
        <v>0.10899422717294087</v>
      </c>
      <c r="Y1886" s="3"/>
      <c r="Z1886" s="3"/>
      <c r="AA1886" s="3"/>
      <c r="AB1886" s="3"/>
    </row>
    <row r="1887" spans="1:28" x14ac:dyDescent="0.2">
      <c r="A1887">
        <v>260</v>
      </c>
      <c r="B1887" t="s">
        <v>302</v>
      </c>
      <c r="C1887" t="s">
        <v>18</v>
      </c>
      <c r="D1887" t="s">
        <v>19</v>
      </c>
      <c r="E1887" t="s">
        <v>24</v>
      </c>
      <c r="F1887" t="s">
        <v>21</v>
      </c>
      <c r="G1887" t="s">
        <v>25</v>
      </c>
      <c r="H1887" s="1">
        <v>337656</v>
      </c>
      <c r="I1887" s="3">
        <v>744</v>
      </c>
      <c r="J1887" s="3">
        <v>1205322</v>
      </c>
      <c r="K1887" s="3">
        <v>12254.05</v>
      </c>
      <c r="L1887" s="2">
        <v>11.4</v>
      </c>
      <c r="M1887" s="11">
        <v>35.265240640000002</v>
      </c>
      <c r="N1887" s="3">
        <v>6</v>
      </c>
      <c r="O1887" s="3">
        <v>41876</v>
      </c>
      <c r="P1887" s="3">
        <v>119416</v>
      </c>
      <c r="Q1887" s="10">
        <v>0</v>
      </c>
      <c r="R1887" s="3">
        <f>(Таблица1[Размер кредита]-$AA$2)/$AA$3</f>
        <v>0.15976186301705447</v>
      </c>
      <c r="S1887" s="3">
        <f>(Таблица1[Кредитный рейтинг]-$AA$7)/($AA$8-$AA$7)</f>
        <v>0.99067909454061254</v>
      </c>
      <c r="T1887" s="3">
        <f>(Таблица1[Срок с последнего нарушения кредитного договора (мес,)]-$AA$12)/($AA$13-$AA$12)</f>
        <v>0.40074137090909095</v>
      </c>
      <c r="U1887" s="3">
        <f>(Таблица1[Количество кредитных карт]-$AA$18)/($AA$19-$AA$18)</f>
        <v>0.11904761904761904</v>
      </c>
      <c r="V1887" s="3">
        <f>(Таблица1[Число нарушений кредитных договоров]-$AA$23)/($AA$24-$AA$23)</f>
        <v>0</v>
      </c>
      <c r="W1887" s="3">
        <f>Таблица1[[#This Row],[Годовой доход]]/12</f>
        <v>100443.5</v>
      </c>
      <c r="X1887" s="3">
        <f>Таблица1[[#This Row],[Ежемесячный платеж]]/Таблица1[[#This Row],[Ежем доход]]</f>
        <v>0.12199943251678803</v>
      </c>
      <c r="Y1887" s="3"/>
      <c r="Z1887" s="3"/>
      <c r="AA1887" s="3"/>
      <c r="AB1887" s="3"/>
    </row>
    <row r="1888" spans="1:28" x14ac:dyDescent="0.2">
      <c r="A1888">
        <v>990</v>
      </c>
      <c r="B1888" t="s">
        <v>1030</v>
      </c>
      <c r="C1888" t="s">
        <v>18</v>
      </c>
      <c r="D1888" t="s">
        <v>19</v>
      </c>
      <c r="E1888" t="s">
        <v>47</v>
      </c>
      <c r="F1888" t="s">
        <v>33</v>
      </c>
      <c r="G1888" t="s">
        <v>25</v>
      </c>
      <c r="H1888" s="1">
        <v>151822</v>
      </c>
      <c r="I1888" s="3">
        <v>723</v>
      </c>
      <c r="J1888" s="3">
        <v>936605</v>
      </c>
      <c r="K1888" s="3">
        <v>7625.46</v>
      </c>
      <c r="L1888" s="2">
        <v>12.1</v>
      </c>
      <c r="M1888" s="11">
        <v>28</v>
      </c>
      <c r="N1888" s="3">
        <v>3</v>
      </c>
      <c r="O1888" s="3">
        <v>49495</v>
      </c>
      <c r="P1888" s="3">
        <v>119372</v>
      </c>
      <c r="Q1888" s="10">
        <v>0</v>
      </c>
      <c r="R1888" s="3">
        <f>(Таблица1[Размер кредита]-$AA$2)/$AA$3</f>
        <v>-0.89824330029571764</v>
      </c>
      <c r="S1888" s="3">
        <f>(Таблица1[Кредитный рейтинг]-$AA$7)/($AA$8-$AA$7)</f>
        <v>0.96271637816245004</v>
      </c>
      <c r="T1888" s="3">
        <f>(Таблица1[Срок с последнего нарушения кредитного договора (мес,)]-$AA$12)/($AA$13-$AA$12)</f>
        <v>0.31818181818181818</v>
      </c>
      <c r="U1888" s="3">
        <f>(Таблица1[Количество кредитных карт]-$AA$18)/($AA$19-$AA$18)</f>
        <v>4.7619047619047616E-2</v>
      </c>
      <c r="V1888" s="3">
        <f>(Таблица1[Число нарушений кредитных договоров]-$AA$23)/($AA$24-$AA$23)</f>
        <v>0</v>
      </c>
      <c r="W1888" s="3">
        <f>Таблица1[[#This Row],[Годовой доход]]/12</f>
        <v>78050.416666666672</v>
      </c>
      <c r="X1888" s="3">
        <f>Таблица1[[#This Row],[Ежемесячный платеж]]/Таблица1[[#This Row],[Ежем доход]]</f>
        <v>9.7699158129627747E-2</v>
      </c>
      <c r="Y1888" s="3"/>
      <c r="Z1888" s="3"/>
      <c r="AA1888" s="3"/>
      <c r="AB1888" s="3"/>
    </row>
    <row r="1889" spans="1:28" x14ac:dyDescent="0.2">
      <c r="A1889">
        <v>1272</v>
      </c>
      <c r="B1889" t="s">
        <v>1311</v>
      </c>
      <c r="C1889" t="s">
        <v>18</v>
      </c>
      <c r="D1889" t="s">
        <v>19</v>
      </c>
      <c r="E1889" t="s">
        <v>24</v>
      </c>
      <c r="F1889" t="s">
        <v>21</v>
      </c>
      <c r="G1889" t="s">
        <v>22</v>
      </c>
      <c r="H1889" s="1">
        <v>130064</v>
      </c>
      <c r="I1889" s="3">
        <v>738</v>
      </c>
      <c r="J1889" s="3">
        <v>936130</v>
      </c>
      <c r="K1889" s="3">
        <v>11389.55</v>
      </c>
      <c r="L1889" s="2">
        <v>25.9</v>
      </c>
      <c r="M1889" s="11">
        <v>77</v>
      </c>
      <c r="N1889" s="3">
        <v>8</v>
      </c>
      <c r="O1889" s="3">
        <v>53656</v>
      </c>
      <c r="P1889" s="3">
        <v>119262</v>
      </c>
      <c r="Q1889" s="10">
        <v>1</v>
      </c>
      <c r="R1889" s="3">
        <f>(Таблица1[Размер кредита]-$AA$2)/$AA$3</f>
        <v>-1.0221177061813966</v>
      </c>
      <c r="S1889" s="3">
        <f>(Таблица1[Кредитный рейтинг]-$AA$7)/($AA$8-$AA$7)</f>
        <v>0.9826897470039947</v>
      </c>
      <c r="T1889" s="3">
        <f>(Таблица1[Срок с последнего нарушения кредитного договора (мес,)]-$AA$12)/($AA$13-$AA$12)</f>
        <v>0.875</v>
      </c>
      <c r="U1889" s="3">
        <f>(Таблица1[Количество кредитных карт]-$AA$18)/($AA$19-$AA$18)</f>
        <v>0.16666666666666666</v>
      </c>
      <c r="V1889" s="3">
        <f>(Таблица1[Число нарушений кредитных договоров]-$AA$23)/($AA$24-$AA$23)</f>
        <v>0.14285714285714285</v>
      </c>
      <c r="W1889" s="3">
        <f>Таблица1[[#This Row],[Годовой доход]]/12</f>
        <v>78010.833333333328</v>
      </c>
      <c r="X1889" s="3">
        <f>Таблица1[[#This Row],[Ежемесячный платеж]]/Таблица1[[#This Row],[Ежем доход]]</f>
        <v>0.14599959407347271</v>
      </c>
      <c r="Y1889" s="3"/>
      <c r="Z1889" s="3"/>
      <c r="AA1889" s="3"/>
      <c r="AB1889" s="3"/>
    </row>
    <row r="1890" spans="1:28" x14ac:dyDescent="0.2">
      <c r="A1890">
        <v>1716</v>
      </c>
      <c r="B1890" t="s">
        <v>1754</v>
      </c>
      <c r="C1890" t="s">
        <v>18</v>
      </c>
      <c r="D1890" t="s">
        <v>19</v>
      </c>
      <c r="E1890" t="s">
        <v>69</v>
      </c>
      <c r="F1890" t="s">
        <v>33</v>
      </c>
      <c r="G1890" t="s">
        <v>25</v>
      </c>
      <c r="H1890" s="1">
        <v>171820</v>
      </c>
      <c r="I1890" s="3">
        <v>719</v>
      </c>
      <c r="J1890" s="3">
        <v>649249</v>
      </c>
      <c r="K1890" s="3">
        <v>3468.07</v>
      </c>
      <c r="L1890" s="2">
        <v>20.5</v>
      </c>
      <c r="M1890" s="11">
        <v>35.265240640000002</v>
      </c>
      <c r="N1890" s="3">
        <v>3</v>
      </c>
      <c r="O1890" s="3">
        <v>97755</v>
      </c>
      <c r="P1890" s="3">
        <v>118162</v>
      </c>
      <c r="Q1890" s="10">
        <v>0</v>
      </c>
      <c r="R1890" s="3">
        <f>(Таблица1[Размер кредита]-$AA$2)/$AA$3</f>
        <v>-0.78438906879917325</v>
      </c>
      <c r="S1890" s="3">
        <f>(Таблица1[Кредитный рейтинг]-$AA$7)/($AA$8-$AA$7)</f>
        <v>0.95739014647137155</v>
      </c>
      <c r="T1890" s="3">
        <f>(Таблица1[Срок с последнего нарушения кредитного договора (мес,)]-$AA$12)/($AA$13-$AA$12)</f>
        <v>0.40074137090909095</v>
      </c>
      <c r="U1890" s="3">
        <f>(Таблица1[Количество кредитных карт]-$AA$18)/($AA$19-$AA$18)</f>
        <v>4.7619047619047616E-2</v>
      </c>
      <c r="V1890" s="3">
        <f>(Таблица1[Число нарушений кредитных договоров]-$AA$23)/($AA$24-$AA$23)</f>
        <v>0</v>
      </c>
      <c r="W1890" s="3">
        <f>Таблица1[[#This Row],[Годовой доход]]/12</f>
        <v>54104.083333333336</v>
      </c>
      <c r="X1890" s="3">
        <f>Таблица1[[#This Row],[Ежемесячный платеж]]/Таблица1[[#This Row],[Ежем доход]]</f>
        <v>6.4099967808960809E-2</v>
      </c>
      <c r="Y1890" s="3"/>
      <c r="Z1890" s="3"/>
      <c r="AA1890" s="3"/>
      <c r="AB1890" s="3"/>
    </row>
    <row r="1891" spans="1:28" x14ac:dyDescent="0.2">
      <c r="A1891">
        <v>1726</v>
      </c>
      <c r="B1891" t="s">
        <v>1764</v>
      </c>
      <c r="C1891" t="s">
        <v>18</v>
      </c>
      <c r="D1891" t="s">
        <v>29</v>
      </c>
      <c r="E1891" t="s">
        <v>24</v>
      </c>
      <c r="F1891" t="s">
        <v>21</v>
      </c>
      <c r="G1891" t="s">
        <v>22</v>
      </c>
      <c r="H1891" s="1">
        <v>309594.52439999999</v>
      </c>
      <c r="I1891" s="3">
        <v>603</v>
      </c>
      <c r="J1891" s="3">
        <v>982167</v>
      </c>
      <c r="K1891" s="3">
        <v>3339.44</v>
      </c>
      <c r="L1891" s="2">
        <v>14.8</v>
      </c>
      <c r="M1891" s="11">
        <v>35.265240640000002</v>
      </c>
      <c r="N1891" s="3">
        <v>4</v>
      </c>
      <c r="O1891" s="3">
        <v>64980</v>
      </c>
      <c r="P1891" s="3">
        <v>118096</v>
      </c>
      <c r="Q1891" s="10">
        <v>0</v>
      </c>
      <c r="R1891" s="3">
        <f>(Таблица1[Размер кредита]-$AA$2)/$AA$3</f>
        <v>-1.2411115481956205E-10</v>
      </c>
      <c r="S1891" s="3">
        <f>(Таблица1[Кредитный рейтинг]-$AA$7)/($AA$8-$AA$7)</f>
        <v>0.80292942743009321</v>
      </c>
      <c r="T1891" s="3">
        <f>(Таблица1[Срок с последнего нарушения кредитного договора (мес,)]-$AA$12)/($AA$13-$AA$12)</f>
        <v>0.40074137090909095</v>
      </c>
      <c r="U1891" s="3">
        <f>(Таблица1[Количество кредитных карт]-$AA$18)/($AA$19-$AA$18)</f>
        <v>7.1428571428571425E-2</v>
      </c>
      <c r="V1891" s="3">
        <f>(Таблица1[Число нарушений кредитных договоров]-$AA$23)/($AA$24-$AA$23)</f>
        <v>0</v>
      </c>
      <c r="W1891" s="3">
        <f>Таблица1[[#This Row],[Годовой доход]]/12</f>
        <v>81847.25</v>
      </c>
      <c r="X1891" s="3">
        <f>Таблица1[[#This Row],[Ежемесячный платеж]]/Таблица1[[#This Row],[Ежем доход]]</f>
        <v>4.0800882131042888E-2</v>
      </c>
      <c r="Y1891" s="3"/>
      <c r="Z1891" s="3"/>
      <c r="AA1891" s="3"/>
      <c r="AB1891" s="3"/>
    </row>
    <row r="1892" spans="1:28" x14ac:dyDescent="0.2">
      <c r="A1892">
        <v>489</v>
      </c>
      <c r="B1892" t="s">
        <v>530</v>
      </c>
      <c r="C1892" t="s">
        <v>18</v>
      </c>
      <c r="D1892" t="s">
        <v>19</v>
      </c>
      <c r="E1892" t="s">
        <v>63</v>
      </c>
      <c r="F1892" t="s">
        <v>33</v>
      </c>
      <c r="G1892" t="s">
        <v>25</v>
      </c>
      <c r="H1892" s="1">
        <v>171776</v>
      </c>
      <c r="I1892" s="3">
        <v>747</v>
      </c>
      <c r="J1892" s="3">
        <v>1168272</v>
      </c>
      <c r="K1892" s="3">
        <v>11293.22</v>
      </c>
      <c r="L1892" s="2">
        <v>11.4</v>
      </c>
      <c r="M1892" s="11">
        <v>35.265240640000002</v>
      </c>
      <c r="N1892" s="3">
        <v>4</v>
      </c>
      <c r="O1892" s="3">
        <v>82270</v>
      </c>
      <c r="P1892" s="3">
        <v>118030</v>
      </c>
      <c r="Q1892" s="10">
        <v>0</v>
      </c>
      <c r="R1892" s="3">
        <f>(Таблица1[Размер кредита]-$AA$2)/$AA$3</f>
        <v>-0.78463957315890165</v>
      </c>
      <c r="S1892" s="3">
        <f>(Таблица1[Кредитный рейтинг]-$AA$7)/($AA$8-$AA$7)</f>
        <v>0.9946737683089214</v>
      </c>
      <c r="T1892" s="3">
        <f>(Таблица1[Срок с последнего нарушения кредитного договора (мес,)]-$AA$12)/($AA$13-$AA$12)</f>
        <v>0.40074137090909095</v>
      </c>
      <c r="U1892" s="3">
        <f>(Таблица1[Количество кредитных карт]-$AA$18)/($AA$19-$AA$18)</f>
        <v>7.1428571428571425E-2</v>
      </c>
      <c r="V1892" s="3">
        <f>(Таблица1[Число нарушений кредитных договоров]-$AA$23)/($AA$24-$AA$23)</f>
        <v>0</v>
      </c>
      <c r="W1892" s="3">
        <f>Таблица1[[#This Row],[Годовой доход]]/12</f>
        <v>97356</v>
      </c>
      <c r="X1892" s="3">
        <f>Таблица1[[#This Row],[Ежемесячный платеж]]/Таблица1[[#This Row],[Ежем доход]]</f>
        <v>0.11599921935987509</v>
      </c>
      <c r="Y1892" s="3"/>
      <c r="Z1892" s="3"/>
      <c r="AA1892" s="3"/>
      <c r="AB1892" s="3"/>
    </row>
    <row r="1893" spans="1:28" x14ac:dyDescent="0.2">
      <c r="A1893">
        <v>154</v>
      </c>
      <c r="B1893" t="s">
        <v>196</v>
      </c>
      <c r="C1893" t="s">
        <v>18</v>
      </c>
      <c r="D1893" t="s">
        <v>19</v>
      </c>
      <c r="E1893" t="s">
        <v>63</v>
      </c>
      <c r="F1893" t="s">
        <v>33</v>
      </c>
      <c r="G1893" t="s">
        <v>25</v>
      </c>
      <c r="H1893" s="1">
        <v>190498</v>
      </c>
      <c r="I1893" s="3">
        <v>706</v>
      </c>
      <c r="J1893" s="3">
        <v>892164</v>
      </c>
      <c r="K1893" s="3">
        <v>8996.1200000000008</v>
      </c>
      <c r="L1893" s="2">
        <v>13.2</v>
      </c>
      <c r="M1893" s="11">
        <v>64</v>
      </c>
      <c r="N1893" s="3">
        <v>6</v>
      </c>
      <c r="O1893" s="3">
        <v>88160</v>
      </c>
      <c r="P1893" s="3">
        <v>117744</v>
      </c>
      <c r="Q1893" s="10">
        <v>0</v>
      </c>
      <c r="R1893" s="3">
        <f>(Таблица1[Размер кредита]-$AA$2)/$AA$3</f>
        <v>-0.67804996809448004</v>
      </c>
      <c r="S1893" s="3">
        <f>(Таблица1[Кредитный рейтинг]-$AA$7)/($AA$8-$AA$7)</f>
        <v>0.94007989347536614</v>
      </c>
      <c r="T1893" s="3">
        <f>(Таблица1[Срок с последнего нарушения кредитного договора (мес,)]-$AA$12)/($AA$13-$AA$12)</f>
        <v>0.72727272727272729</v>
      </c>
      <c r="U1893" s="3">
        <f>(Таблица1[Количество кредитных карт]-$AA$18)/($AA$19-$AA$18)</f>
        <v>0.11904761904761904</v>
      </c>
      <c r="V1893" s="3">
        <f>(Таблица1[Число нарушений кредитных договоров]-$AA$23)/($AA$24-$AA$23)</f>
        <v>0</v>
      </c>
      <c r="W1893" s="3">
        <f>Таблица1[[#This Row],[Годовой доход]]/12</f>
        <v>74347</v>
      </c>
      <c r="X1893" s="3">
        <f>Таблица1[[#This Row],[Ежемесячный платеж]]/Таблица1[[#This Row],[Ежем доход]]</f>
        <v>0.12100178890876566</v>
      </c>
      <c r="Y1893" s="3"/>
      <c r="Z1893" s="3"/>
      <c r="AA1893" s="3"/>
      <c r="AB1893" s="3"/>
    </row>
    <row r="1894" spans="1:28" x14ac:dyDescent="0.2">
      <c r="A1894">
        <v>165</v>
      </c>
      <c r="B1894" t="s">
        <v>207</v>
      </c>
      <c r="C1894" t="s">
        <v>18</v>
      </c>
      <c r="D1894" t="s">
        <v>19</v>
      </c>
      <c r="E1894" t="s">
        <v>41</v>
      </c>
      <c r="F1894" t="s">
        <v>21</v>
      </c>
      <c r="G1894" t="s">
        <v>25</v>
      </c>
      <c r="H1894" s="1">
        <v>309594.52439999999</v>
      </c>
      <c r="I1894" s="3">
        <v>741</v>
      </c>
      <c r="J1894" s="3">
        <v>1288523</v>
      </c>
      <c r="K1894" s="3">
        <v>9041.34</v>
      </c>
      <c r="L1894" s="2">
        <v>16.2</v>
      </c>
      <c r="M1894" s="11">
        <v>35.265240640000002</v>
      </c>
      <c r="N1894" s="3">
        <v>4</v>
      </c>
      <c r="O1894" s="3">
        <v>95855</v>
      </c>
      <c r="P1894" s="3">
        <v>116468</v>
      </c>
      <c r="Q1894" s="10">
        <v>0</v>
      </c>
      <c r="R1894" s="3">
        <f>(Таблица1[Размер кредита]-$AA$2)/$AA$3</f>
        <v>-1.2411115481956205E-10</v>
      </c>
      <c r="S1894" s="3">
        <f>(Таблица1[Кредитный рейтинг]-$AA$7)/($AA$8-$AA$7)</f>
        <v>0.98668442077230356</v>
      </c>
      <c r="T1894" s="3">
        <f>(Таблица1[Срок с последнего нарушения кредитного договора (мес,)]-$AA$12)/($AA$13-$AA$12)</f>
        <v>0.40074137090909095</v>
      </c>
      <c r="U1894" s="3">
        <f>(Таблица1[Количество кредитных карт]-$AA$18)/($AA$19-$AA$18)</f>
        <v>7.1428571428571425E-2</v>
      </c>
      <c r="V1894" s="3">
        <f>(Таблица1[Число нарушений кредитных договоров]-$AA$23)/($AA$24-$AA$23)</f>
        <v>0</v>
      </c>
      <c r="W1894" s="3">
        <f>Таблица1[[#This Row],[Годовой доход]]/12</f>
        <v>107376.91666666667</v>
      </c>
      <c r="X1894" s="3">
        <f>Таблица1[[#This Row],[Ежемесячный платеж]]/Таблица1[[#This Row],[Ежем доход]]</f>
        <v>8.4201896279693877E-2</v>
      </c>
      <c r="Y1894" s="3"/>
      <c r="Z1894" s="3"/>
      <c r="AA1894" s="3"/>
      <c r="AB1894" s="3"/>
    </row>
    <row r="1895" spans="1:28" x14ac:dyDescent="0.2">
      <c r="A1895">
        <v>1175</v>
      </c>
      <c r="B1895" t="s">
        <v>1214</v>
      </c>
      <c r="C1895" t="s">
        <v>18</v>
      </c>
      <c r="D1895" t="s">
        <v>19</v>
      </c>
      <c r="E1895" t="s">
        <v>41</v>
      </c>
      <c r="F1895" t="s">
        <v>33</v>
      </c>
      <c r="G1895" t="s">
        <v>67</v>
      </c>
      <c r="H1895" s="1">
        <v>158136</v>
      </c>
      <c r="I1895" s="3">
        <v>690</v>
      </c>
      <c r="J1895" s="3">
        <v>866476</v>
      </c>
      <c r="K1895" s="3">
        <v>2729.35</v>
      </c>
      <c r="L1895" s="2">
        <v>14.1</v>
      </c>
      <c r="M1895" s="11">
        <v>36</v>
      </c>
      <c r="N1895" s="3">
        <v>15</v>
      </c>
      <c r="O1895" s="3">
        <v>63156</v>
      </c>
      <c r="P1895" s="3">
        <v>115522</v>
      </c>
      <c r="Q1895" s="10">
        <v>0</v>
      </c>
      <c r="R1895" s="3">
        <f>(Таблица1[Размер кредита]-$AA$2)/$AA$3</f>
        <v>-0.86229592467469651</v>
      </c>
      <c r="S1895" s="3">
        <f>(Таблица1[Кредитный рейтинг]-$AA$7)/($AA$8-$AA$7)</f>
        <v>0.91877496671105197</v>
      </c>
      <c r="T1895" s="3">
        <f>(Таблица1[Срок с последнего нарушения кредитного договора (мес,)]-$AA$12)/($AA$13-$AA$12)</f>
        <v>0.40909090909090912</v>
      </c>
      <c r="U1895" s="3">
        <f>(Таблица1[Количество кредитных карт]-$AA$18)/($AA$19-$AA$18)</f>
        <v>0.33333333333333331</v>
      </c>
      <c r="V1895" s="3">
        <f>(Таблица1[Число нарушений кредитных договоров]-$AA$23)/($AA$24-$AA$23)</f>
        <v>0</v>
      </c>
      <c r="W1895" s="3">
        <f>Таблица1[[#This Row],[Годовой доход]]/12</f>
        <v>72206.333333333328</v>
      </c>
      <c r="X1895" s="3">
        <f>Таблица1[[#This Row],[Ежемесячный платеж]]/Таблица1[[#This Row],[Ежем доход]]</f>
        <v>3.7799315849486891E-2</v>
      </c>
      <c r="Y1895" s="3"/>
      <c r="Z1895" s="3"/>
      <c r="AA1895" s="3"/>
      <c r="AB1895" s="3"/>
    </row>
    <row r="1896" spans="1:28" x14ac:dyDescent="0.2">
      <c r="A1896">
        <v>1690</v>
      </c>
      <c r="B1896" t="s">
        <v>1728</v>
      </c>
      <c r="C1896" t="s">
        <v>18</v>
      </c>
      <c r="D1896" t="s">
        <v>19</v>
      </c>
      <c r="E1896" t="s">
        <v>32</v>
      </c>
      <c r="F1896" t="s">
        <v>21</v>
      </c>
      <c r="G1896" t="s">
        <v>25</v>
      </c>
      <c r="H1896" s="1">
        <v>157410</v>
      </c>
      <c r="I1896" s="3">
        <v>743</v>
      </c>
      <c r="J1896" s="3">
        <v>699124</v>
      </c>
      <c r="K1896" s="3">
        <v>8739.0499999999993</v>
      </c>
      <c r="L1896" s="2">
        <v>9.6999999999999993</v>
      </c>
      <c r="M1896" s="11">
        <v>35.265240640000002</v>
      </c>
      <c r="N1896" s="3">
        <v>6</v>
      </c>
      <c r="O1896" s="3">
        <v>60306</v>
      </c>
      <c r="P1896" s="3">
        <v>114664</v>
      </c>
      <c r="Q1896" s="10">
        <v>0</v>
      </c>
      <c r="R1896" s="3">
        <f>(Таблица1[Размер кредита]-$AA$2)/$AA$3</f>
        <v>-0.86642924661021459</v>
      </c>
      <c r="S1896" s="3">
        <f>(Таблица1[Кредитный рейтинг]-$AA$7)/($AA$8-$AA$7)</f>
        <v>0.98934753661784292</v>
      </c>
      <c r="T1896" s="3">
        <f>(Таблица1[Срок с последнего нарушения кредитного договора (мес,)]-$AA$12)/($AA$13-$AA$12)</f>
        <v>0.40074137090909095</v>
      </c>
      <c r="U1896" s="3">
        <f>(Таблица1[Количество кредитных карт]-$AA$18)/($AA$19-$AA$18)</f>
        <v>0.11904761904761904</v>
      </c>
      <c r="V1896" s="3">
        <f>(Таблица1[Число нарушений кредитных договоров]-$AA$23)/($AA$24-$AA$23)</f>
        <v>0</v>
      </c>
      <c r="W1896" s="3">
        <f>Таблица1[[#This Row],[Годовой доход]]/12</f>
        <v>58260.333333333336</v>
      </c>
      <c r="X1896" s="3">
        <f>Таблица1[[#This Row],[Ежемесячный платеж]]/Таблица1[[#This Row],[Ежем доход]]</f>
        <v>0.15</v>
      </c>
      <c r="Y1896" s="3"/>
      <c r="Z1896" s="3"/>
      <c r="AA1896" s="3"/>
      <c r="AB1896" s="3"/>
    </row>
    <row r="1897" spans="1:28" x14ac:dyDescent="0.2">
      <c r="A1897">
        <v>231</v>
      </c>
      <c r="B1897" t="s">
        <v>273</v>
      </c>
      <c r="C1897" t="s">
        <v>35</v>
      </c>
      <c r="D1897" t="s">
        <v>19</v>
      </c>
      <c r="E1897" t="s">
        <v>24</v>
      </c>
      <c r="F1897" t="s">
        <v>21</v>
      </c>
      <c r="G1897" t="s">
        <v>25</v>
      </c>
      <c r="H1897" s="1">
        <v>142846</v>
      </c>
      <c r="I1897" s="3">
        <v>750</v>
      </c>
      <c r="J1897" s="3">
        <v>654227</v>
      </c>
      <c r="K1897" s="3">
        <v>16246.71</v>
      </c>
      <c r="L1897" s="2">
        <v>17.2</v>
      </c>
      <c r="M1897" s="11">
        <v>16</v>
      </c>
      <c r="N1897" s="3">
        <v>9</v>
      </c>
      <c r="O1897" s="3">
        <v>53694</v>
      </c>
      <c r="P1897" s="3">
        <v>112662</v>
      </c>
      <c r="Q1897" s="10">
        <v>0</v>
      </c>
      <c r="R1897" s="3">
        <f>(Таблица1[Размер кредита]-$AA$2)/$AA$3</f>
        <v>-0.94934618968030515</v>
      </c>
      <c r="S1897" s="3">
        <f>(Таблица1[Кредитный рейтинг]-$AA$7)/($AA$8-$AA$7)</f>
        <v>0.99866844207723038</v>
      </c>
      <c r="T1897" s="3">
        <f>(Таблица1[Срок с последнего нарушения кредитного договора (мес,)]-$AA$12)/($AA$13-$AA$12)</f>
        <v>0.18181818181818182</v>
      </c>
      <c r="U1897" s="3">
        <f>(Таблица1[Количество кредитных карт]-$AA$18)/($AA$19-$AA$18)</f>
        <v>0.19047619047619047</v>
      </c>
      <c r="V1897" s="3">
        <f>(Таблица1[Число нарушений кредитных договоров]-$AA$23)/($AA$24-$AA$23)</f>
        <v>0</v>
      </c>
      <c r="W1897" s="3">
        <f>Таблица1[[#This Row],[Годовой доход]]/12</f>
        <v>54518.916666666664</v>
      </c>
      <c r="X1897" s="3">
        <f>Таблица1[[#This Row],[Ежемесячный платеж]]/Таблица1[[#This Row],[Ежем доход]]</f>
        <v>0.29800133592774375</v>
      </c>
      <c r="Y1897" s="3"/>
      <c r="Z1897" s="3"/>
      <c r="AA1897" s="3"/>
      <c r="AB1897" s="3"/>
    </row>
    <row r="1898" spans="1:28" x14ac:dyDescent="0.2">
      <c r="A1898">
        <v>218</v>
      </c>
      <c r="B1898" t="s">
        <v>260</v>
      </c>
      <c r="C1898" t="s">
        <v>18</v>
      </c>
      <c r="D1898" t="s">
        <v>19</v>
      </c>
      <c r="E1898" t="s">
        <v>52</v>
      </c>
      <c r="F1898" t="s">
        <v>21</v>
      </c>
      <c r="G1898" t="s">
        <v>22</v>
      </c>
      <c r="H1898" s="1">
        <v>149116</v>
      </c>
      <c r="I1898" s="3">
        <v>700</v>
      </c>
      <c r="J1898" s="3">
        <v>1380160</v>
      </c>
      <c r="K1898" s="3">
        <v>18171.98</v>
      </c>
      <c r="L1898" s="2">
        <v>10.8</v>
      </c>
      <c r="M1898" s="11">
        <v>35.265240640000002</v>
      </c>
      <c r="N1898" s="3">
        <v>5</v>
      </c>
      <c r="O1898" s="3">
        <v>95171</v>
      </c>
      <c r="P1898" s="3">
        <v>112574</v>
      </c>
      <c r="Q1898" s="10">
        <v>0</v>
      </c>
      <c r="R1898" s="3">
        <f>(Таблица1[Размер кредита]-$AA$2)/$AA$3</f>
        <v>-0.91364931841901242</v>
      </c>
      <c r="S1898" s="3">
        <f>(Таблица1[Кредитный рейтинг]-$AA$7)/($AA$8-$AA$7)</f>
        <v>0.93209054593874829</v>
      </c>
      <c r="T1898" s="3">
        <f>(Таблица1[Срок с последнего нарушения кредитного договора (мес,)]-$AA$12)/($AA$13-$AA$12)</f>
        <v>0.40074137090909095</v>
      </c>
      <c r="U1898" s="3">
        <f>(Таблица1[Количество кредитных карт]-$AA$18)/($AA$19-$AA$18)</f>
        <v>9.5238095238095233E-2</v>
      </c>
      <c r="V1898" s="3">
        <f>(Таблица1[Число нарушений кредитных договоров]-$AA$23)/($AA$24-$AA$23)</f>
        <v>0</v>
      </c>
      <c r="W1898" s="3">
        <f>Таблица1[[#This Row],[Годовой доход]]/12</f>
        <v>115013.33333333333</v>
      </c>
      <c r="X1898" s="3">
        <f>Таблица1[[#This Row],[Ежемесячный платеж]]/Таблица1[[#This Row],[Ежем доход]]</f>
        <v>0.1579988986784141</v>
      </c>
      <c r="Y1898" s="3"/>
      <c r="Z1898" s="3"/>
      <c r="AA1898" s="3"/>
      <c r="AB1898" s="3"/>
    </row>
    <row r="1899" spans="1:28" x14ac:dyDescent="0.2">
      <c r="A1899">
        <v>776</v>
      </c>
      <c r="B1899" t="s">
        <v>817</v>
      </c>
      <c r="C1899" t="s">
        <v>18</v>
      </c>
      <c r="D1899" t="s">
        <v>19</v>
      </c>
      <c r="E1899" t="s">
        <v>24</v>
      </c>
      <c r="F1899" t="s">
        <v>33</v>
      </c>
      <c r="G1899" t="s">
        <v>25</v>
      </c>
      <c r="H1899" s="1">
        <v>67496</v>
      </c>
      <c r="I1899" s="3">
        <v>725</v>
      </c>
      <c r="J1899" s="3">
        <v>582825</v>
      </c>
      <c r="K1899" s="3">
        <v>5925.34</v>
      </c>
      <c r="L1899" s="2">
        <v>5.5</v>
      </c>
      <c r="M1899" s="11">
        <v>35.265240640000002</v>
      </c>
      <c r="N1899" s="3">
        <v>5</v>
      </c>
      <c r="O1899" s="3">
        <v>33706</v>
      </c>
      <c r="P1899" s="3">
        <v>112486</v>
      </c>
      <c r="Q1899" s="10">
        <v>0</v>
      </c>
      <c r="R1899" s="3">
        <f>(Таблица1[Размер кредита]-$AA$2)/$AA$3</f>
        <v>-1.3783349057151393</v>
      </c>
      <c r="S1899" s="3">
        <f>(Таблица1[Кредитный рейтинг]-$AA$7)/($AA$8-$AA$7)</f>
        <v>0.96537949400798939</v>
      </c>
      <c r="T1899" s="3">
        <f>(Таблица1[Срок с последнего нарушения кредитного договора (мес,)]-$AA$12)/($AA$13-$AA$12)</f>
        <v>0.40074137090909095</v>
      </c>
      <c r="U1899" s="3">
        <f>(Таблица1[Количество кредитных карт]-$AA$18)/($AA$19-$AA$18)</f>
        <v>9.5238095238095233E-2</v>
      </c>
      <c r="V1899" s="3">
        <f>(Таблица1[Число нарушений кредитных договоров]-$AA$23)/($AA$24-$AA$23)</f>
        <v>0</v>
      </c>
      <c r="W1899" s="3">
        <f>Таблица1[[#This Row],[Годовой доход]]/12</f>
        <v>48568.75</v>
      </c>
      <c r="X1899" s="3">
        <f>Таблица1[[#This Row],[Ежемесячный платеж]]/Таблица1[[#This Row],[Ежем доход]]</f>
        <v>0.12199902200488998</v>
      </c>
      <c r="Y1899" s="3"/>
      <c r="Z1899" s="3"/>
      <c r="AA1899" s="3"/>
      <c r="AB1899" s="3"/>
    </row>
    <row r="1900" spans="1:28" x14ac:dyDescent="0.2">
      <c r="A1900">
        <v>895</v>
      </c>
      <c r="B1900" t="s">
        <v>936</v>
      </c>
      <c r="C1900" t="s">
        <v>18</v>
      </c>
      <c r="D1900" t="s">
        <v>19</v>
      </c>
      <c r="E1900" t="s">
        <v>63</v>
      </c>
      <c r="F1900" t="s">
        <v>33</v>
      </c>
      <c r="G1900" t="s">
        <v>25</v>
      </c>
      <c r="H1900" s="1">
        <v>110242</v>
      </c>
      <c r="I1900" s="3">
        <v>716</v>
      </c>
      <c r="J1900" s="3">
        <v>914014</v>
      </c>
      <c r="K1900" s="3">
        <v>13481.64</v>
      </c>
      <c r="L1900" s="2">
        <v>15</v>
      </c>
      <c r="M1900" s="11">
        <v>60</v>
      </c>
      <c r="N1900" s="3">
        <v>11</v>
      </c>
      <c r="O1900" s="3">
        <v>62833</v>
      </c>
      <c r="P1900" s="3">
        <v>112442</v>
      </c>
      <c r="Q1900" s="10">
        <v>0</v>
      </c>
      <c r="R1900" s="3">
        <f>(Таблица1[Размер кредита]-$AA$2)/$AA$3</f>
        <v>-1.1349699202390275</v>
      </c>
      <c r="S1900" s="3">
        <f>(Таблица1[Кредитный рейтинг]-$AA$7)/($AA$8-$AA$7)</f>
        <v>0.95339547270306257</v>
      </c>
      <c r="T1900" s="3">
        <f>(Таблица1[Срок с последнего нарушения кредитного договора (мес,)]-$AA$12)/($AA$13-$AA$12)</f>
        <v>0.68181818181818177</v>
      </c>
      <c r="U1900" s="3">
        <f>(Таблица1[Количество кредитных карт]-$AA$18)/($AA$19-$AA$18)</f>
        <v>0.23809523809523808</v>
      </c>
      <c r="V1900" s="3">
        <f>(Таблица1[Число нарушений кредитных договоров]-$AA$23)/($AA$24-$AA$23)</f>
        <v>0</v>
      </c>
      <c r="W1900" s="3">
        <f>Таблица1[[#This Row],[Годовой доход]]/12</f>
        <v>76167.833333333328</v>
      </c>
      <c r="X1900" s="3">
        <f>Таблица1[[#This Row],[Ежемесячный платеж]]/Таблица1[[#This Row],[Ежем доход]]</f>
        <v>0.17699912692803393</v>
      </c>
      <c r="Y1900" s="3"/>
      <c r="Z1900" s="3"/>
      <c r="AA1900" s="3"/>
      <c r="AB1900" s="3"/>
    </row>
    <row r="1901" spans="1:28" x14ac:dyDescent="0.2">
      <c r="A1901">
        <v>1421</v>
      </c>
      <c r="B1901" t="s">
        <v>1460</v>
      </c>
      <c r="C1901" t="s">
        <v>18</v>
      </c>
      <c r="D1901" t="s">
        <v>19</v>
      </c>
      <c r="E1901" t="s">
        <v>69</v>
      </c>
      <c r="F1901" t="s">
        <v>33</v>
      </c>
      <c r="G1901" t="s">
        <v>25</v>
      </c>
      <c r="H1901" s="1">
        <v>198308</v>
      </c>
      <c r="I1901" s="3">
        <v>706</v>
      </c>
      <c r="J1901" s="3">
        <v>846431</v>
      </c>
      <c r="K1901" s="3">
        <v>4753.99</v>
      </c>
      <c r="L1901" s="2">
        <v>16.399999999999999</v>
      </c>
      <c r="M1901" s="11">
        <v>31</v>
      </c>
      <c r="N1901" s="3">
        <v>8</v>
      </c>
      <c r="O1901" s="3">
        <v>58881</v>
      </c>
      <c r="P1901" s="3">
        <v>112310</v>
      </c>
      <c r="Q1901" s="10">
        <v>0</v>
      </c>
      <c r="R1901" s="3">
        <f>(Таблица1[Размер кредита]-$AA$2)/$AA$3</f>
        <v>-0.63358544424269436</v>
      </c>
      <c r="S1901" s="3">
        <f>(Таблица1[Кредитный рейтинг]-$AA$7)/($AA$8-$AA$7)</f>
        <v>0.94007989347536614</v>
      </c>
      <c r="T1901" s="3">
        <f>(Таблица1[Срок с последнего нарушения кредитного договора (мес,)]-$AA$12)/($AA$13-$AA$12)</f>
        <v>0.35227272727272729</v>
      </c>
      <c r="U1901" s="3">
        <f>(Таблица1[Количество кредитных карт]-$AA$18)/($AA$19-$AA$18)</f>
        <v>0.16666666666666666</v>
      </c>
      <c r="V1901" s="3">
        <f>(Таблица1[Число нарушений кредитных договоров]-$AA$23)/($AA$24-$AA$23)</f>
        <v>0</v>
      </c>
      <c r="W1901" s="3">
        <f>Таблица1[[#This Row],[Годовой доход]]/12</f>
        <v>70535.916666666672</v>
      </c>
      <c r="X1901" s="3">
        <f>Таблица1[[#This Row],[Ежемесячный платеж]]/Таблица1[[#This Row],[Ежем доход]]</f>
        <v>6.7398145861859965E-2</v>
      </c>
      <c r="Y1901" s="3"/>
      <c r="Z1901" s="3"/>
      <c r="AA1901" s="3"/>
      <c r="AB1901" s="3"/>
    </row>
    <row r="1902" spans="1:28" x14ac:dyDescent="0.2">
      <c r="A1902">
        <v>1574</v>
      </c>
      <c r="B1902" t="s">
        <v>1613</v>
      </c>
      <c r="C1902" t="s">
        <v>35</v>
      </c>
      <c r="D1902" t="s">
        <v>19</v>
      </c>
      <c r="E1902" t="s">
        <v>52</v>
      </c>
      <c r="F1902" t="s">
        <v>33</v>
      </c>
      <c r="G1902" t="s">
        <v>67</v>
      </c>
      <c r="H1902" s="1">
        <v>67320</v>
      </c>
      <c r="I1902" s="3">
        <v>0</v>
      </c>
      <c r="J1902" s="3">
        <v>1168044</v>
      </c>
      <c r="K1902" s="3">
        <v>7031.9</v>
      </c>
      <c r="L1902" s="2">
        <v>16.7</v>
      </c>
      <c r="M1902" s="11">
        <v>35.265240640000002</v>
      </c>
      <c r="N1902" s="3">
        <v>8</v>
      </c>
      <c r="O1902" s="3">
        <v>95</v>
      </c>
      <c r="P1902" s="3">
        <v>112222</v>
      </c>
      <c r="Q1902" s="10">
        <v>1</v>
      </c>
      <c r="R1902" s="3">
        <f>(Таблица1[Размер кредита]-$AA$2)/$AA$3</f>
        <v>-1.3793369231540529</v>
      </c>
      <c r="S1902" s="3">
        <f>(Таблица1[Кредитный рейтинг]-$AA$7)/($AA$8-$AA$7)</f>
        <v>0</v>
      </c>
      <c r="T1902" s="3">
        <f>(Таблица1[Срок с последнего нарушения кредитного договора (мес,)]-$AA$12)/($AA$13-$AA$12)</f>
        <v>0.40074137090909095</v>
      </c>
      <c r="U1902" s="3">
        <f>(Таблица1[Количество кредитных карт]-$AA$18)/($AA$19-$AA$18)</f>
        <v>0.16666666666666666</v>
      </c>
      <c r="V1902" s="3">
        <f>(Таблица1[Число нарушений кредитных договоров]-$AA$23)/($AA$24-$AA$23)</f>
        <v>0.14285714285714285</v>
      </c>
      <c r="W1902" s="3">
        <f>Таблица1[[#This Row],[Годовой доход]]/12</f>
        <v>97337</v>
      </c>
      <c r="X1902" s="3">
        <f>Таблица1[[#This Row],[Ежемесячный платеж]]/Таблица1[[#This Row],[Ежем доход]]</f>
        <v>7.2242826468865901E-2</v>
      </c>
      <c r="Y1902" s="3"/>
      <c r="Z1902" s="3"/>
      <c r="AA1902" s="3"/>
      <c r="AB1902" s="3"/>
    </row>
    <row r="1903" spans="1:28" x14ac:dyDescent="0.2">
      <c r="A1903">
        <v>1374</v>
      </c>
      <c r="B1903" t="s">
        <v>1413</v>
      </c>
      <c r="C1903" t="s">
        <v>35</v>
      </c>
      <c r="D1903" t="s">
        <v>19</v>
      </c>
      <c r="E1903" t="s">
        <v>47</v>
      </c>
      <c r="F1903" t="s">
        <v>33</v>
      </c>
      <c r="G1903" t="s">
        <v>67</v>
      </c>
      <c r="H1903" s="1">
        <v>107492</v>
      </c>
      <c r="I1903" s="3">
        <v>681</v>
      </c>
      <c r="J1903" s="3">
        <v>807576</v>
      </c>
      <c r="K1903" s="3">
        <v>3936.8</v>
      </c>
      <c r="L1903" s="2">
        <v>9.1</v>
      </c>
      <c r="M1903" s="11">
        <v>16</v>
      </c>
      <c r="N1903" s="3">
        <v>5</v>
      </c>
      <c r="O1903" s="3">
        <v>43833</v>
      </c>
      <c r="P1903" s="3">
        <v>111782</v>
      </c>
      <c r="Q1903" s="10">
        <v>0</v>
      </c>
      <c r="R1903" s="3">
        <f>(Таблица1[Размер кредита]-$AA$2)/$AA$3</f>
        <v>-1.1506264427220507</v>
      </c>
      <c r="S1903" s="3">
        <f>(Таблица1[Кредитный рейтинг]-$AA$7)/($AA$8-$AA$7)</f>
        <v>0.90679094540612515</v>
      </c>
      <c r="T1903" s="3">
        <f>(Таблица1[Срок с последнего нарушения кредитного договора (мес,)]-$AA$12)/($AA$13-$AA$12)</f>
        <v>0.18181818181818182</v>
      </c>
      <c r="U1903" s="3">
        <f>(Таблица1[Количество кредитных карт]-$AA$18)/($AA$19-$AA$18)</f>
        <v>9.5238095238095233E-2</v>
      </c>
      <c r="V1903" s="3">
        <f>(Таблица1[Число нарушений кредитных договоров]-$AA$23)/($AA$24-$AA$23)</f>
        <v>0</v>
      </c>
      <c r="W1903" s="3">
        <f>Таблица1[[#This Row],[Годовой доход]]/12</f>
        <v>67298</v>
      </c>
      <c r="X1903" s="3">
        <f>Таблица1[[#This Row],[Ежемесячный платеж]]/Таблица1[[#This Row],[Ежем доход]]</f>
        <v>5.8498023715415022E-2</v>
      </c>
      <c r="Y1903" s="3"/>
      <c r="Z1903" s="3"/>
      <c r="AA1903" s="3"/>
      <c r="AB1903" s="3"/>
    </row>
    <row r="1904" spans="1:28" x14ac:dyDescent="0.2">
      <c r="A1904">
        <v>205</v>
      </c>
      <c r="B1904" t="s">
        <v>247</v>
      </c>
      <c r="C1904" t="s">
        <v>18</v>
      </c>
      <c r="D1904" t="s">
        <v>29</v>
      </c>
      <c r="E1904" t="s">
        <v>37</v>
      </c>
      <c r="F1904" t="s">
        <v>21</v>
      </c>
      <c r="G1904" t="s">
        <v>25</v>
      </c>
      <c r="H1904" s="1">
        <v>341352</v>
      </c>
      <c r="I1904" s="3">
        <v>712</v>
      </c>
      <c r="J1904" s="3">
        <v>751108</v>
      </c>
      <c r="K1904" s="3">
        <v>10327.83</v>
      </c>
      <c r="L1904" s="2">
        <v>13.3</v>
      </c>
      <c r="M1904" s="11">
        <v>35.265240640000002</v>
      </c>
      <c r="N1904" s="3">
        <v>11</v>
      </c>
      <c r="O1904" s="3">
        <v>81377</v>
      </c>
      <c r="P1904" s="3">
        <v>110858</v>
      </c>
      <c r="Q1904" s="10">
        <v>0</v>
      </c>
      <c r="R1904" s="3">
        <f>(Таблица1[Размер кредита]-$AA$2)/$AA$3</f>
        <v>0.18080422923423758</v>
      </c>
      <c r="S1904" s="3">
        <f>(Таблица1[Кредитный рейтинг]-$AA$7)/($AA$8-$AA$7)</f>
        <v>0.94806924101198398</v>
      </c>
      <c r="T1904" s="3">
        <f>(Таблица1[Срок с последнего нарушения кредитного договора (мес,)]-$AA$12)/($AA$13-$AA$12)</f>
        <v>0.40074137090909095</v>
      </c>
      <c r="U1904" s="3">
        <f>(Таблица1[Количество кредитных карт]-$AA$18)/($AA$19-$AA$18)</f>
        <v>0.23809523809523808</v>
      </c>
      <c r="V1904" s="3">
        <f>(Таблица1[Число нарушений кредитных договоров]-$AA$23)/($AA$24-$AA$23)</f>
        <v>0</v>
      </c>
      <c r="W1904" s="3">
        <f>Таблица1[[#This Row],[Годовой доход]]/12</f>
        <v>62592.333333333336</v>
      </c>
      <c r="X1904" s="3">
        <f>Таблица1[[#This Row],[Ежемесячный платеж]]/Таблица1[[#This Row],[Ежем доход]]</f>
        <v>0.16500151775776586</v>
      </c>
      <c r="Y1904" s="3"/>
      <c r="Z1904" s="3"/>
      <c r="AA1904" s="3"/>
      <c r="AB1904" s="3"/>
    </row>
    <row r="1905" spans="1:28" x14ac:dyDescent="0.2">
      <c r="A1905">
        <v>1829</v>
      </c>
      <c r="B1905" t="s">
        <v>247</v>
      </c>
      <c r="C1905" t="s">
        <v>18</v>
      </c>
      <c r="D1905" t="s">
        <v>29</v>
      </c>
      <c r="E1905" t="s">
        <v>37</v>
      </c>
      <c r="F1905" t="s">
        <v>21</v>
      </c>
      <c r="G1905" t="s">
        <v>25</v>
      </c>
      <c r="H1905" s="1">
        <v>341352</v>
      </c>
      <c r="I1905" s="3">
        <v>712</v>
      </c>
      <c r="J1905" s="3">
        <v>751108</v>
      </c>
      <c r="K1905" s="3">
        <v>10327.83</v>
      </c>
      <c r="L1905" s="2">
        <v>13.3</v>
      </c>
      <c r="M1905" s="11">
        <v>35.265240640000002</v>
      </c>
      <c r="N1905" s="3">
        <v>11</v>
      </c>
      <c r="O1905" s="3">
        <v>81377</v>
      </c>
      <c r="P1905" s="3">
        <v>110858</v>
      </c>
      <c r="Q1905" s="10">
        <v>0</v>
      </c>
      <c r="R1905" s="3">
        <f>(Таблица1[Размер кредита]-$AA$2)/$AA$3</f>
        <v>0.18080422923423758</v>
      </c>
      <c r="S1905" s="3">
        <f>(Таблица1[Кредитный рейтинг]-$AA$7)/($AA$8-$AA$7)</f>
        <v>0.94806924101198398</v>
      </c>
      <c r="T1905" s="3">
        <f>(Таблица1[Срок с последнего нарушения кредитного договора (мес,)]-$AA$12)/($AA$13-$AA$12)</f>
        <v>0.40074137090909095</v>
      </c>
      <c r="U1905" s="3">
        <f>(Таблица1[Количество кредитных карт]-$AA$18)/($AA$19-$AA$18)</f>
        <v>0.23809523809523808</v>
      </c>
      <c r="V1905" s="3">
        <f>(Таблица1[Число нарушений кредитных договоров]-$AA$23)/($AA$24-$AA$23)</f>
        <v>0</v>
      </c>
      <c r="W1905" s="3">
        <f>Таблица1[[#This Row],[Годовой доход]]/12</f>
        <v>62592.333333333336</v>
      </c>
      <c r="X1905" s="3">
        <f>Таблица1[[#This Row],[Ежемесячный платеж]]/Таблица1[[#This Row],[Ежем доход]]</f>
        <v>0.16500151775776586</v>
      </c>
      <c r="Y1905" s="3"/>
      <c r="Z1905" s="3"/>
      <c r="AA1905" s="3"/>
      <c r="AB1905" s="3"/>
    </row>
    <row r="1906" spans="1:28" x14ac:dyDescent="0.2">
      <c r="A1906">
        <v>282</v>
      </c>
      <c r="B1906" t="s">
        <v>324</v>
      </c>
      <c r="C1906" t="s">
        <v>18</v>
      </c>
      <c r="D1906" t="s">
        <v>29</v>
      </c>
      <c r="E1906" t="s">
        <v>24</v>
      </c>
      <c r="F1906" t="s">
        <v>21</v>
      </c>
      <c r="G1906" t="s">
        <v>25</v>
      </c>
      <c r="H1906" s="1">
        <v>273482</v>
      </c>
      <c r="I1906" s="3">
        <v>693</v>
      </c>
      <c r="J1906" s="3">
        <v>1115699</v>
      </c>
      <c r="K1906" s="3">
        <v>13667.27</v>
      </c>
      <c r="L1906" s="2">
        <v>15.9</v>
      </c>
      <c r="M1906" s="11">
        <v>51</v>
      </c>
      <c r="N1906" s="3">
        <v>6</v>
      </c>
      <c r="O1906" s="3">
        <v>65683</v>
      </c>
      <c r="P1906" s="3">
        <v>109758</v>
      </c>
      <c r="Q1906" s="10">
        <v>0</v>
      </c>
      <c r="R1906" s="3">
        <f>(Таблица1[Размер кредита]-$AA$2)/$AA$3</f>
        <v>-0.20559874564677363</v>
      </c>
      <c r="S1906" s="3">
        <f>(Таблица1[Кредитный рейтинг]-$AA$7)/($AA$8-$AA$7)</f>
        <v>0.92276964047936083</v>
      </c>
      <c r="T1906" s="3">
        <f>(Таблица1[Срок с последнего нарушения кредитного договора (мес,)]-$AA$12)/($AA$13-$AA$12)</f>
        <v>0.57954545454545459</v>
      </c>
      <c r="U1906" s="3">
        <f>(Таблица1[Количество кредитных карт]-$AA$18)/($AA$19-$AA$18)</f>
        <v>0.11904761904761904</v>
      </c>
      <c r="V1906" s="3">
        <f>(Таблица1[Число нарушений кредитных договоров]-$AA$23)/($AA$24-$AA$23)</f>
        <v>0</v>
      </c>
      <c r="W1906" s="3">
        <f>Таблица1[[#This Row],[Годовой доход]]/12</f>
        <v>92974.916666666672</v>
      </c>
      <c r="X1906" s="3">
        <f>Таблица1[[#This Row],[Ежемесячный платеж]]/Таблица1[[#This Row],[Ежем доход]]</f>
        <v>0.14699954019856609</v>
      </c>
      <c r="Y1906" s="3"/>
      <c r="Z1906" s="3"/>
      <c r="AA1906" s="3"/>
      <c r="AB1906" s="3"/>
    </row>
    <row r="1907" spans="1:28" x14ac:dyDescent="0.2">
      <c r="A1907">
        <v>1969</v>
      </c>
      <c r="B1907" t="s">
        <v>2005</v>
      </c>
      <c r="C1907" t="s">
        <v>18</v>
      </c>
      <c r="D1907" t="s">
        <v>19</v>
      </c>
      <c r="E1907" t="s">
        <v>50</v>
      </c>
      <c r="F1907" t="s">
        <v>33</v>
      </c>
      <c r="G1907" t="s">
        <v>25</v>
      </c>
      <c r="H1907" s="1">
        <v>134288</v>
      </c>
      <c r="I1907" s="3">
        <v>721</v>
      </c>
      <c r="J1907" s="3">
        <v>1198387</v>
      </c>
      <c r="K1907" s="3">
        <v>10286.219999999999</v>
      </c>
      <c r="L1907" s="2">
        <v>23.6</v>
      </c>
      <c r="M1907" s="11">
        <v>28</v>
      </c>
      <c r="N1907" s="3">
        <v>8</v>
      </c>
      <c r="O1907" s="3">
        <v>93119</v>
      </c>
      <c r="P1907" s="3">
        <v>109692</v>
      </c>
      <c r="Q1907" s="10">
        <v>0</v>
      </c>
      <c r="R1907" s="3">
        <f>(Таблица1[Размер кредита]-$AA$2)/$AA$3</f>
        <v>-0.99806928764747316</v>
      </c>
      <c r="S1907" s="3">
        <f>(Таблица1[Кредитный рейтинг]-$AA$7)/($AA$8-$AA$7)</f>
        <v>0.96005326231691079</v>
      </c>
      <c r="T1907" s="3">
        <f>(Таблица1[Срок с последнего нарушения кредитного договора (мес,)]-$AA$12)/($AA$13-$AA$12)</f>
        <v>0.31818181818181818</v>
      </c>
      <c r="U1907" s="3">
        <f>(Таблица1[Количество кредитных карт]-$AA$18)/($AA$19-$AA$18)</f>
        <v>0.16666666666666666</v>
      </c>
      <c r="V1907" s="3">
        <f>(Таблица1[Число нарушений кредитных договоров]-$AA$23)/($AA$24-$AA$23)</f>
        <v>0</v>
      </c>
      <c r="W1907" s="3">
        <f>Таблица1[[#This Row],[Годовой доход]]/12</f>
        <v>99865.583333333328</v>
      </c>
      <c r="X1907" s="3">
        <f>Таблица1[[#This Row],[Ежемесячный платеж]]/Таблица1[[#This Row],[Ежем доход]]</f>
        <v>0.10300065004042934</v>
      </c>
      <c r="Y1907" s="3"/>
      <c r="Z1907" s="3"/>
      <c r="AA1907" s="3"/>
      <c r="AB1907" s="3"/>
    </row>
    <row r="1908" spans="1:28" x14ac:dyDescent="0.2">
      <c r="A1908">
        <v>1301</v>
      </c>
      <c r="B1908" t="s">
        <v>1340</v>
      </c>
      <c r="C1908" t="s">
        <v>18</v>
      </c>
      <c r="D1908" t="s">
        <v>19</v>
      </c>
      <c r="E1908" t="s">
        <v>30</v>
      </c>
      <c r="F1908" t="s">
        <v>21</v>
      </c>
      <c r="G1908" t="s">
        <v>25</v>
      </c>
      <c r="H1908" s="1">
        <v>198616</v>
      </c>
      <c r="I1908" s="3">
        <v>717</v>
      </c>
      <c r="J1908" s="3">
        <v>773072</v>
      </c>
      <c r="K1908" s="3">
        <v>16492.189999999999</v>
      </c>
      <c r="L1908" s="2">
        <v>13</v>
      </c>
      <c r="M1908" s="11">
        <v>69</v>
      </c>
      <c r="N1908" s="3">
        <v>13</v>
      </c>
      <c r="O1908" s="3">
        <v>74252</v>
      </c>
      <c r="P1908" s="3">
        <v>109670</v>
      </c>
      <c r="Q1908" s="10">
        <v>0</v>
      </c>
      <c r="R1908" s="3">
        <f>(Таблица1[Размер кредита]-$AA$2)/$AA$3</f>
        <v>-0.6318319137245958</v>
      </c>
      <c r="S1908" s="3">
        <f>(Таблица1[Кредитный рейтинг]-$AA$7)/($AA$8-$AA$7)</f>
        <v>0.9547270306258322</v>
      </c>
      <c r="T1908" s="3">
        <f>(Таблица1[Срок с последнего нарушения кредитного договора (мес,)]-$AA$12)/($AA$13-$AA$12)</f>
        <v>0.78409090909090906</v>
      </c>
      <c r="U1908" s="3">
        <f>(Таблица1[Количество кредитных карт]-$AA$18)/($AA$19-$AA$18)</f>
        <v>0.2857142857142857</v>
      </c>
      <c r="V1908" s="3">
        <f>(Таблица1[Число нарушений кредитных договоров]-$AA$23)/($AA$24-$AA$23)</f>
        <v>0</v>
      </c>
      <c r="W1908" s="3">
        <f>Таблица1[[#This Row],[Годовой доход]]/12</f>
        <v>64422.666666666664</v>
      </c>
      <c r="X1908" s="3">
        <f>Таблица1[[#This Row],[Ежемесячный платеж]]/Таблица1[[#This Row],[Ежем доход]]</f>
        <v>0.25599980338183248</v>
      </c>
      <c r="Y1908" s="3"/>
      <c r="Z1908" s="3"/>
      <c r="AA1908" s="3"/>
      <c r="AB1908" s="3"/>
    </row>
    <row r="1909" spans="1:28" x14ac:dyDescent="0.2">
      <c r="A1909">
        <v>1289</v>
      </c>
      <c r="B1909" t="s">
        <v>1328</v>
      </c>
      <c r="C1909" t="s">
        <v>35</v>
      </c>
      <c r="D1909" t="s">
        <v>19</v>
      </c>
      <c r="E1909" t="s">
        <v>24</v>
      </c>
      <c r="F1909" t="s">
        <v>27</v>
      </c>
      <c r="G1909" t="s">
        <v>25</v>
      </c>
      <c r="H1909" s="1">
        <v>226512</v>
      </c>
      <c r="I1909" s="3">
        <v>0</v>
      </c>
      <c r="J1909" s="3">
        <v>1168044</v>
      </c>
      <c r="K1909" s="3">
        <v>10180.77</v>
      </c>
      <c r="L1909" s="2">
        <v>14</v>
      </c>
      <c r="M1909" s="11">
        <v>80</v>
      </c>
      <c r="N1909" s="3">
        <v>6</v>
      </c>
      <c r="O1909" s="3">
        <v>45068</v>
      </c>
      <c r="P1909" s="3">
        <v>109648</v>
      </c>
      <c r="Q1909" s="10">
        <v>3</v>
      </c>
      <c r="R1909" s="3">
        <f>(Таблица1[Размер кредита]-$AA$2)/$AA$3</f>
        <v>-0.47301214965680899</v>
      </c>
      <c r="S1909" s="3">
        <f>(Таблица1[Кредитный рейтинг]-$AA$7)/($AA$8-$AA$7)</f>
        <v>0</v>
      </c>
      <c r="T1909" s="3">
        <f>(Таблица1[Срок с последнего нарушения кредитного договора (мес,)]-$AA$12)/($AA$13-$AA$12)</f>
        <v>0.90909090909090906</v>
      </c>
      <c r="U1909" s="3">
        <f>(Таблица1[Количество кредитных карт]-$AA$18)/($AA$19-$AA$18)</f>
        <v>0.11904761904761904</v>
      </c>
      <c r="V1909" s="3">
        <f>(Таблица1[Число нарушений кредитных договоров]-$AA$23)/($AA$24-$AA$23)</f>
        <v>0.42857142857142855</v>
      </c>
      <c r="W1909" s="3">
        <f>Таблица1[[#This Row],[Годовой доход]]/12</f>
        <v>97337</v>
      </c>
      <c r="X1909" s="3">
        <f>Таблица1[[#This Row],[Ежемесячный платеж]]/Таблица1[[#This Row],[Ежем доход]]</f>
        <v>0.1045930119070857</v>
      </c>
      <c r="Y1909" s="3"/>
      <c r="Z1909" s="3"/>
      <c r="AA1909" s="3"/>
      <c r="AB1909" s="3"/>
    </row>
    <row r="1910" spans="1:28" x14ac:dyDescent="0.2">
      <c r="A1910">
        <v>832</v>
      </c>
      <c r="B1910" t="s">
        <v>873</v>
      </c>
      <c r="C1910" t="s">
        <v>35</v>
      </c>
      <c r="D1910" t="s">
        <v>19</v>
      </c>
      <c r="E1910" t="s">
        <v>24</v>
      </c>
      <c r="F1910" t="s">
        <v>21</v>
      </c>
      <c r="G1910" t="s">
        <v>67</v>
      </c>
      <c r="H1910" s="1">
        <v>174438</v>
      </c>
      <c r="I1910" s="3">
        <v>0</v>
      </c>
      <c r="J1910" s="3">
        <v>1168044</v>
      </c>
      <c r="K1910" s="3">
        <v>9476.6299999999992</v>
      </c>
      <c r="L1910" s="2">
        <v>17</v>
      </c>
      <c r="M1910" s="11">
        <v>35.265240640000002</v>
      </c>
      <c r="N1910" s="3">
        <v>5</v>
      </c>
      <c r="O1910" s="3">
        <v>84265</v>
      </c>
      <c r="P1910" s="3">
        <v>109032</v>
      </c>
      <c r="Q1910" s="10">
        <v>0</v>
      </c>
      <c r="R1910" s="3">
        <f>(Таблица1[Размер кредита]-$AA$2)/$AA$3</f>
        <v>-0.76948405939533526</v>
      </c>
      <c r="S1910" s="3">
        <f>(Таблица1[Кредитный рейтинг]-$AA$7)/($AA$8-$AA$7)</f>
        <v>0</v>
      </c>
      <c r="T1910" s="3">
        <f>(Таблица1[Срок с последнего нарушения кредитного договора (мес,)]-$AA$12)/($AA$13-$AA$12)</f>
        <v>0.40074137090909095</v>
      </c>
      <c r="U1910" s="3">
        <f>(Таблица1[Количество кредитных карт]-$AA$18)/($AA$19-$AA$18)</f>
        <v>9.5238095238095233E-2</v>
      </c>
      <c r="V1910" s="3">
        <f>(Таблица1[Число нарушений кредитных договоров]-$AA$23)/($AA$24-$AA$23)</f>
        <v>0</v>
      </c>
      <c r="W1910" s="3">
        <f>Таблица1[[#This Row],[Годовой доход]]/12</f>
        <v>97337</v>
      </c>
      <c r="X1910" s="3">
        <f>Таблица1[[#This Row],[Ежемесячный платеж]]/Таблица1[[#This Row],[Ежем доход]]</f>
        <v>9.7358969353894195E-2</v>
      </c>
      <c r="Y1910" s="3"/>
      <c r="Z1910" s="3"/>
      <c r="AA1910" s="3"/>
      <c r="AB1910" s="3"/>
    </row>
    <row r="1911" spans="1:28" x14ac:dyDescent="0.2">
      <c r="A1911">
        <v>162</v>
      </c>
      <c r="B1911" t="s">
        <v>204</v>
      </c>
      <c r="C1911" t="s">
        <v>35</v>
      </c>
      <c r="D1911" t="s">
        <v>19</v>
      </c>
      <c r="E1911" t="s">
        <v>30</v>
      </c>
      <c r="F1911" t="s">
        <v>33</v>
      </c>
      <c r="G1911" t="s">
        <v>67</v>
      </c>
      <c r="H1911" s="1">
        <v>156178</v>
      </c>
      <c r="I1911" s="3">
        <v>716</v>
      </c>
      <c r="J1911" s="3">
        <v>1124040</v>
      </c>
      <c r="K1911" s="3">
        <v>8617.64</v>
      </c>
      <c r="L1911" s="2">
        <v>12</v>
      </c>
      <c r="M1911" s="11">
        <v>33</v>
      </c>
      <c r="N1911" s="3">
        <v>9</v>
      </c>
      <c r="O1911" s="3">
        <v>6194</v>
      </c>
      <c r="P1911" s="3">
        <v>108790</v>
      </c>
      <c r="Q1911" s="10">
        <v>5</v>
      </c>
      <c r="R1911" s="3">
        <f>(Таблица1[Размер кредита]-$AA$2)/$AA$3</f>
        <v>-0.87344336868260897</v>
      </c>
      <c r="S1911" s="3">
        <f>(Таблица1[Кредитный рейтинг]-$AA$7)/($AA$8-$AA$7)</f>
        <v>0.95339547270306257</v>
      </c>
      <c r="T1911" s="3">
        <f>(Таблица1[Срок с последнего нарушения кредитного договора (мес,)]-$AA$12)/($AA$13-$AA$12)</f>
        <v>0.375</v>
      </c>
      <c r="U1911" s="3">
        <f>(Таблица1[Количество кредитных карт]-$AA$18)/($AA$19-$AA$18)</f>
        <v>0.19047619047619047</v>
      </c>
      <c r="V1911" s="3">
        <f>(Таблица1[Число нарушений кредитных договоров]-$AA$23)/($AA$24-$AA$23)</f>
        <v>0.7142857142857143</v>
      </c>
      <c r="W1911" s="3">
        <f>Таблица1[[#This Row],[Годовой доход]]/12</f>
        <v>93670</v>
      </c>
      <c r="X1911" s="3">
        <f>Таблица1[[#This Row],[Ежемесячный платеж]]/Таблица1[[#This Row],[Ежем доход]]</f>
        <v>9.1999999999999998E-2</v>
      </c>
      <c r="Y1911" s="3"/>
      <c r="Z1911" s="3"/>
      <c r="AA1911" s="3"/>
      <c r="AB1911" s="3"/>
    </row>
    <row r="1912" spans="1:28" x14ac:dyDescent="0.2">
      <c r="A1912">
        <v>1617</v>
      </c>
      <c r="B1912" t="s">
        <v>1656</v>
      </c>
      <c r="C1912" t="s">
        <v>18</v>
      </c>
      <c r="D1912" t="s">
        <v>19</v>
      </c>
      <c r="E1912" t="s">
        <v>69</v>
      </c>
      <c r="F1912" t="s">
        <v>21</v>
      </c>
      <c r="G1912" t="s">
        <v>25</v>
      </c>
      <c r="H1912" s="1">
        <v>211508</v>
      </c>
      <c r="I1912" s="3">
        <v>722</v>
      </c>
      <c r="J1912" s="3">
        <v>908010</v>
      </c>
      <c r="K1912" s="3">
        <v>13090.62</v>
      </c>
      <c r="L1912" s="2">
        <v>12.5</v>
      </c>
      <c r="M1912" s="11">
        <v>18</v>
      </c>
      <c r="N1912" s="3">
        <v>13</v>
      </c>
      <c r="O1912" s="3">
        <v>68989</v>
      </c>
      <c r="P1912" s="3">
        <v>108526</v>
      </c>
      <c r="Q1912" s="10">
        <v>0</v>
      </c>
      <c r="R1912" s="3">
        <f>(Таблица1[Размер кредита]-$AA$2)/$AA$3</f>
        <v>-0.55843413632418326</v>
      </c>
      <c r="S1912" s="3">
        <f>(Таблица1[Кредитный рейтинг]-$AA$7)/($AA$8-$AA$7)</f>
        <v>0.96138482023968042</v>
      </c>
      <c r="T1912" s="3">
        <f>(Таблица1[Срок с последнего нарушения кредитного договора (мес,)]-$AA$12)/($AA$13-$AA$12)</f>
        <v>0.20454545454545456</v>
      </c>
      <c r="U1912" s="3">
        <f>(Таблица1[Количество кредитных карт]-$AA$18)/($AA$19-$AA$18)</f>
        <v>0.2857142857142857</v>
      </c>
      <c r="V1912" s="3">
        <f>(Таблица1[Число нарушений кредитных договоров]-$AA$23)/($AA$24-$AA$23)</f>
        <v>0</v>
      </c>
      <c r="W1912" s="3">
        <f>Таблица1[[#This Row],[Годовой доход]]/12</f>
        <v>75667.5</v>
      </c>
      <c r="X1912" s="3">
        <f>Таблица1[[#This Row],[Ежемесячный платеж]]/Таблица1[[#This Row],[Ежем доход]]</f>
        <v>0.17300188323917137</v>
      </c>
      <c r="Y1912" s="3"/>
      <c r="Z1912" s="3"/>
      <c r="AA1912" s="3"/>
      <c r="AB1912" s="3"/>
    </row>
    <row r="1913" spans="1:28" x14ac:dyDescent="0.2">
      <c r="A1913">
        <v>293</v>
      </c>
      <c r="B1913" t="s">
        <v>335</v>
      </c>
      <c r="C1913" t="s">
        <v>18</v>
      </c>
      <c r="D1913" t="s">
        <v>19</v>
      </c>
      <c r="E1913" t="s">
        <v>52</v>
      </c>
      <c r="F1913" t="s">
        <v>21</v>
      </c>
      <c r="G1913" t="s">
        <v>67</v>
      </c>
      <c r="H1913" s="1">
        <v>108526</v>
      </c>
      <c r="I1913" s="3">
        <v>743</v>
      </c>
      <c r="J1913" s="3">
        <v>1312045</v>
      </c>
      <c r="K1913" s="3">
        <v>7380.17</v>
      </c>
      <c r="L1913" s="2">
        <v>19</v>
      </c>
      <c r="M1913" s="11">
        <v>56</v>
      </c>
      <c r="N1913" s="3">
        <v>10</v>
      </c>
      <c r="O1913" s="3">
        <v>71953</v>
      </c>
      <c r="P1913" s="3">
        <v>108504</v>
      </c>
      <c r="Q1913" s="10">
        <v>1</v>
      </c>
      <c r="R1913" s="3">
        <f>(Таблица1[Размер кредита]-$AA$2)/$AA$3</f>
        <v>-1.1447395902684341</v>
      </c>
      <c r="S1913" s="3">
        <f>(Таблица1[Кредитный рейтинг]-$AA$7)/($AA$8-$AA$7)</f>
        <v>0.98934753661784292</v>
      </c>
      <c r="T1913" s="3">
        <f>(Таблица1[Срок с последнего нарушения кредитного договора (мес,)]-$AA$12)/($AA$13-$AA$12)</f>
        <v>0.63636363636363635</v>
      </c>
      <c r="U1913" s="3">
        <f>(Таблица1[Количество кредитных карт]-$AA$18)/($AA$19-$AA$18)</f>
        <v>0.21428571428571427</v>
      </c>
      <c r="V1913" s="3">
        <f>(Таблица1[Число нарушений кредитных договоров]-$AA$23)/($AA$24-$AA$23)</f>
        <v>0.14285714285714285</v>
      </c>
      <c r="W1913" s="3">
        <f>Таблица1[[#This Row],[Годовой доход]]/12</f>
        <v>109337.08333333333</v>
      </c>
      <c r="X1913" s="3">
        <f>Таблица1[[#This Row],[Ежемесячный платеж]]/Таблица1[[#This Row],[Ежем доход]]</f>
        <v>6.7499239736441966E-2</v>
      </c>
      <c r="Y1913" s="3"/>
      <c r="Z1913" s="3"/>
      <c r="AA1913" s="3"/>
      <c r="AB1913" s="3"/>
    </row>
    <row r="1914" spans="1:28" x14ac:dyDescent="0.2">
      <c r="A1914">
        <v>229</v>
      </c>
      <c r="B1914" t="s">
        <v>271</v>
      </c>
      <c r="C1914" t="s">
        <v>35</v>
      </c>
      <c r="D1914" t="s">
        <v>19</v>
      </c>
      <c r="E1914" t="s">
        <v>37</v>
      </c>
      <c r="F1914" t="s">
        <v>33</v>
      </c>
      <c r="G1914" t="s">
        <v>25</v>
      </c>
      <c r="H1914" s="1">
        <v>83864</v>
      </c>
      <c r="I1914" s="3">
        <v>699</v>
      </c>
      <c r="J1914" s="3">
        <v>564414</v>
      </c>
      <c r="K1914" s="3">
        <v>11711.6</v>
      </c>
      <c r="L1914" s="2">
        <v>11.9</v>
      </c>
      <c r="M1914" s="11">
        <v>53</v>
      </c>
      <c r="N1914" s="3">
        <v>12</v>
      </c>
      <c r="O1914" s="3">
        <v>18639</v>
      </c>
      <c r="P1914" s="3">
        <v>107932</v>
      </c>
      <c r="Q1914" s="10">
        <v>0</v>
      </c>
      <c r="R1914" s="3">
        <f>(Таблица1[Размер кредита]-$AA$2)/$AA$3</f>
        <v>-1.2851472838961855</v>
      </c>
      <c r="S1914" s="3">
        <f>(Таблица1[Кредитный рейтинг]-$AA$7)/($AA$8-$AA$7)</f>
        <v>0.93075898801597867</v>
      </c>
      <c r="T1914" s="3">
        <f>(Таблица1[Срок с последнего нарушения кредитного договора (мес,)]-$AA$12)/($AA$13-$AA$12)</f>
        <v>0.60227272727272729</v>
      </c>
      <c r="U1914" s="3">
        <f>(Таблица1[Количество кредитных карт]-$AA$18)/($AA$19-$AA$18)</f>
        <v>0.26190476190476192</v>
      </c>
      <c r="V1914" s="3">
        <f>(Таблица1[Число нарушений кредитных договоров]-$AA$23)/($AA$24-$AA$23)</f>
        <v>0</v>
      </c>
      <c r="W1914" s="3">
        <f>Таблица1[[#This Row],[Годовой доход]]/12</f>
        <v>47034.5</v>
      </c>
      <c r="X1914" s="3">
        <f>Таблица1[[#This Row],[Ежемесячный платеж]]/Таблица1[[#This Row],[Ежем доход]]</f>
        <v>0.24900020197939812</v>
      </c>
      <c r="Y1914" s="3"/>
      <c r="Z1914" s="3"/>
      <c r="AA1914" s="3"/>
      <c r="AB1914" s="3"/>
    </row>
    <row r="1915" spans="1:28" x14ac:dyDescent="0.2">
      <c r="A1915">
        <v>1237</v>
      </c>
      <c r="B1915" t="s">
        <v>1276</v>
      </c>
      <c r="C1915" t="s">
        <v>35</v>
      </c>
      <c r="D1915" t="s">
        <v>19</v>
      </c>
      <c r="E1915" t="s">
        <v>37</v>
      </c>
      <c r="F1915" t="s">
        <v>27</v>
      </c>
      <c r="G1915" t="s">
        <v>25</v>
      </c>
      <c r="H1915" s="1">
        <v>128986</v>
      </c>
      <c r="I1915" s="3">
        <v>747</v>
      </c>
      <c r="J1915" s="3">
        <v>1142622</v>
      </c>
      <c r="K1915" s="3">
        <v>16472.810000000001</v>
      </c>
      <c r="L1915" s="2">
        <v>11.4</v>
      </c>
      <c r="M1915" s="11">
        <v>35.265240640000002</v>
      </c>
      <c r="N1915" s="3">
        <v>10</v>
      </c>
      <c r="O1915" s="3">
        <v>28994</v>
      </c>
      <c r="P1915" s="3">
        <v>107910</v>
      </c>
      <c r="Q1915" s="10">
        <v>0</v>
      </c>
      <c r="R1915" s="3">
        <f>(Таблица1[Размер кредита]-$AA$2)/$AA$3</f>
        <v>-1.0282550629947418</v>
      </c>
      <c r="S1915" s="3">
        <f>(Таблица1[Кредитный рейтинг]-$AA$7)/($AA$8-$AA$7)</f>
        <v>0.9946737683089214</v>
      </c>
      <c r="T1915" s="3">
        <f>(Таблица1[Срок с последнего нарушения кредитного договора (мес,)]-$AA$12)/($AA$13-$AA$12)</f>
        <v>0.40074137090909095</v>
      </c>
      <c r="U1915" s="3">
        <f>(Таблица1[Количество кредитных карт]-$AA$18)/($AA$19-$AA$18)</f>
        <v>0.21428571428571427</v>
      </c>
      <c r="V1915" s="3">
        <f>(Таблица1[Число нарушений кредитных договоров]-$AA$23)/($AA$24-$AA$23)</f>
        <v>0</v>
      </c>
      <c r="W1915" s="3">
        <f>Таблица1[[#This Row],[Годовой доход]]/12</f>
        <v>95218.5</v>
      </c>
      <c r="X1915" s="3">
        <f>Таблица1[[#This Row],[Ежемесячный платеж]]/Таблица1[[#This Row],[Ежем доход]]</f>
        <v>0.1730000997705278</v>
      </c>
      <c r="Y1915" s="3"/>
      <c r="Z1915" s="3"/>
      <c r="AA1915" s="3"/>
      <c r="AB1915" s="3"/>
    </row>
    <row r="1916" spans="1:28" x14ac:dyDescent="0.2">
      <c r="A1916">
        <v>15</v>
      </c>
      <c r="B1916" t="s">
        <v>48</v>
      </c>
      <c r="C1916" t="s">
        <v>18</v>
      </c>
      <c r="D1916" t="s">
        <v>19</v>
      </c>
      <c r="E1916" t="s">
        <v>24</v>
      </c>
      <c r="F1916" t="s">
        <v>33</v>
      </c>
      <c r="G1916" t="s">
        <v>25</v>
      </c>
      <c r="H1916" s="1">
        <v>234124</v>
      </c>
      <c r="I1916" s="3">
        <v>727</v>
      </c>
      <c r="J1916" s="3">
        <v>693234</v>
      </c>
      <c r="K1916" s="3">
        <v>14211.24</v>
      </c>
      <c r="L1916" s="2">
        <v>24.7</v>
      </c>
      <c r="M1916" s="11">
        <v>46</v>
      </c>
      <c r="N1916" s="3">
        <v>10</v>
      </c>
      <c r="O1916" s="3">
        <v>28291</v>
      </c>
      <c r="P1916" s="3">
        <v>107052</v>
      </c>
      <c r="Q1916" s="10">
        <v>1</v>
      </c>
      <c r="R1916" s="3">
        <f>(Таблица1[Размер кредита]-$AA$2)/$AA$3</f>
        <v>-0.42967489542380088</v>
      </c>
      <c r="S1916" s="3">
        <f>(Таблица1[Кредитный рейтинг]-$AA$7)/($AA$8-$AA$7)</f>
        <v>0.96804260985352863</v>
      </c>
      <c r="T1916" s="3">
        <f>(Таблица1[Срок с последнего нарушения кредитного договора (мес,)]-$AA$12)/($AA$13-$AA$12)</f>
        <v>0.52272727272727271</v>
      </c>
      <c r="U1916" s="3">
        <f>(Таблица1[Количество кредитных карт]-$AA$18)/($AA$19-$AA$18)</f>
        <v>0.21428571428571427</v>
      </c>
      <c r="V1916" s="3">
        <f>(Таблица1[Число нарушений кредитных договоров]-$AA$23)/($AA$24-$AA$23)</f>
        <v>0.14285714285714285</v>
      </c>
      <c r="W1916" s="3">
        <f>Таблица1[[#This Row],[Годовой доход]]/12</f>
        <v>57769.5</v>
      </c>
      <c r="X1916" s="3">
        <f>Таблица1[[#This Row],[Ежемесячный платеж]]/Таблица1[[#This Row],[Ежем доход]]</f>
        <v>0.2459990133201776</v>
      </c>
      <c r="Y1916" s="3"/>
      <c r="Z1916" s="3"/>
      <c r="AA1916" s="3"/>
      <c r="AB1916" s="3"/>
    </row>
    <row r="1917" spans="1:28" x14ac:dyDescent="0.2">
      <c r="A1917">
        <v>1115</v>
      </c>
      <c r="B1917" t="s">
        <v>1154</v>
      </c>
      <c r="C1917" t="s">
        <v>18</v>
      </c>
      <c r="D1917" t="s">
        <v>19</v>
      </c>
      <c r="E1917" t="s">
        <v>32</v>
      </c>
      <c r="F1917" t="s">
        <v>21</v>
      </c>
      <c r="G1917" t="s">
        <v>25</v>
      </c>
      <c r="H1917" s="1">
        <v>130746</v>
      </c>
      <c r="I1917" s="3">
        <v>742</v>
      </c>
      <c r="J1917" s="3">
        <v>1674945</v>
      </c>
      <c r="K1917" s="3">
        <v>11780.38</v>
      </c>
      <c r="L1917" s="2">
        <v>14.2</v>
      </c>
      <c r="M1917" s="11">
        <v>10</v>
      </c>
      <c r="N1917" s="3">
        <v>6</v>
      </c>
      <c r="O1917" s="3">
        <v>54245</v>
      </c>
      <c r="P1917" s="3">
        <v>106788</v>
      </c>
      <c r="Q1917" s="10">
        <v>0</v>
      </c>
      <c r="R1917" s="3">
        <f>(Таблица1[Размер кредита]-$AA$2)/$AA$3</f>
        <v>-1.018234888605607</v>
      </c>
      <c r="S1917" s="3">
        <f>(Таблица1[Кредитный рейтинг]-$AA$7)/($AA$8-$AA$7)</f>
        <v>0.98801597869507318</v>
      </c>
      <c r="T1917" s="3">
        <f>(Таблица1[Срок с последнего нарушения кредитного договора (мес,)]-$AA$12)/($AA$13-$AA$12)</f>
        <v>0.11363636363636363</v>
      </c>
      <c r="U1917" s="3">
        <f>(Таблица1[Количество кредитных карт]-$AA$18)/($AA$19-$AA$18)</f>
        <v>0.11904761904761904</v>
      </c>
      <c r="V1917" s="3">
        <f>(Таблица1[Число нарушений кредитных договоров]-$AA$23)/($AA$24-$AA$23)</f>
        <v>0</v>
      </c>
      <c r="W1917" s="3">
        <f>Таблица1[[#This Row],[Годовой доход]]/12</f>
        <v>139578.75</v>
      </c>
      <c r="X1917" s="3">
        <f>Таблица1[[#This Row],[Ежемесячный платеж]]/Таблица1[[#This Row],[Ежем доход]]</f>
        <v>8.4399523566445464E-2</v>
      </c>
      <c r="Y1917" s="3"/>
      <c r="Z1917" s="3"/>
      <c r="AA1917" s="3"/>
      <c r="AB1917" s="3"/>
    </row>
    <row r="1918" spans="1:28" x14ac:dyDescent="0.2">
      <c r="A1918">
        <v>673</v>
      </c>
      <c r="B1918" t="s">
        <v>714</v>
      </c>
      <c r="C1918" t="s">
        <v>18</v>
      </c>
      <c r="D1918" t="s">
        <v>19</v>
      </c>
      <c r="E1918" t="s">
        <v>37</v>
      </c>
      <c r="F1918" t="s">
        <v>21</v>
      </c>
      <c r="G1918" t="s">
        <v>22</v>
      </c>
      <c r="H1918" s="1">
        <v>309594.52439999999</v>
      </c>
      <c r="I1918" s="3">
        <v>741</v>
      </c>
      <c r="J1918" s="3">
        <v>1839048</v>
      </c>
      <c r="K1918" s="3">
        <v>16245</v>
      </c>
      <c r="L1918" s="2">
        <v>19</v>
      </c>
      <c r="M1918" s="11">
        <v>35.265240640000002</v>
      </c>
      <c r="N1918" s="3">
        <v>7</v>
      </c>
      <c r="O1918" s="3">
        <v>68818</v>
      </c>
      <c r="P1918" s="3">
        <v>105424</v>
      </c>
      <c r="Q1918" s="10">
        <v>0</v>
      </c>
      <c r="R1918" s="3">
        <f>(Таблица1[Размер кредита]-$AA$2)/$AA$3</f>
        <v>-1.2411115481956205E-10</v>
      </c>
      <c r="S1918" s="3">
        <f>(Таблица1[Кредитный рейтинг]-$AA$7)/($AA$8-$AA$7)</f>
        <v>0.98668442077230356</v>
      </c>
      <c r="T1918" s="3">
        <f>(Таблица1[Срок с последнего нарушения кредитного договора (мес,)]-$AA$12)/($AA$13-$AA$12)</f>
        <v>0.40074137090909095</v>
      </c>
      <c r="U1918" s="3">
        <f>(Таблица1[Количество кредитных карт]-$AA$18)/($AA$19-$AA$18)</f>
        <v>0.14285714285714285</v>
      </c>
      <c r="V1918" s="3">
        <f>(Таблица1[Число нарушений кредитных договоров]-$AA$23)/($AA$24-$AA$23)</f>
        <v>0</v>
      </c>
      <c r="W1918" s="3">
        <f>Таблица1[[#This Row],[Годовой доход]]/12</f>
        <v>153254</v>
      </c>
      <c r="X1918" s="3">
        <f>Таблица1[[#This Row],[Ежемесячный платеж]]/Таблица1[[#This Row],[Ежем доход]]</f>
        <v>0.1060004959087528</v>
      </c>
      <c r="Y1918" s="3"/>
      <c r="Z1918" s="3"/>
      <c r="AA1918" s="3"/>
      <c r="AB1918" s="3"/>
    </row>
    <row r="1919" spans="1:28" x14ac:dyDescent="0.2">
      <c r="A1919">
        <v>1972</v>
      </c>
      <c r="B1919" t="s">
        <v>2008</v>
      </c>
      <c r="C1919" t="s">
        <v>18</v>
      </c>
      <c r="D1919" t="s">
        <v>19</v>
      </c>
      <c r="E1919" t="s">
        <v>41</v>
      </c>
      <c r="F1919" t="s">
        <v>27</v>
      </c>
      <c r="G1919" t="s">
        <v>25</v>
      </c>
      <c r="H1919" s="1">
        <v>37598</v>
      </c>
      <c r="I1919" s="3">
        <v>690</v>
      </c>
      <c r="J1919" s="3">
        <v>222718</v>
      </c>
      <c r="K1919" s="3">
        <v>3433.49</v>
      </c>
      <c r="L1919" s="2">
        <v>9</v>
      </c>
      <c r="M1919" s="11">
        <v>35.265240640000002</v>
      </c>
      <c r="N1919" s="3">
        <v>6</v>
      </c>
      <c r="O1919" s="3">
        <v>82194</v>
      </c>
      <c r="P1919" s="3">
        <v>105270</v>
      </c>
      <c r="Q1919" s="10">
        <v>0</v>
      </c>
      <c r="R1919" s="3">
        <f>(Таблица1[Размер кредита]-$AA$2)/$AA$3</f>
        <v>-1.5485526181505669</v>
      </c>
      <c r="S1919" s="3">
        <f>(Таблица1[Кредитный рейтинг]-$AA$7)/($AA$8-$AA$7)</f>
        <v>0.91877496671105197</v>
      </c>
      <c r="T1919" s="3">
        <f>(Таблица1[Срок с последнего нарушения кредитного договора (мес,)]-$AA$12)/($AA$13-$AA$12)</f>
        <v>0.40074137090909095</v>
      </c>
      <c r="U1919" s="3">
        <f>(Таблица1[Количество кредитных карт]-$AA$18)/($AA$19-$AA$18)</f>
        <v>0.11904761904761904</v>
      </c>
      <c r="V1919" s="3">
        <f>(Таблица1[Число нарушений кредитных договоров]-$AA$23)/($AA$24-$AA$23)</f>
        <v>0</v>
      </c>
      <c r="W1919" s="3">
        <f>Таблица1[[#This Row],[Годовой доход]]/12</f>
        <v>18559.833333333332</v>
      </c>
      <c r="X1919" s="3">
        <f>Таблица1[[#This Row],[Ежемесячный платеж]]/Таблица1[[#This Row],[Ежем доход]]</f>
        <v>0.18499573451629414</v>
      </c>
      <c r="Y1919" s="3"/>
      <c r="Z1919" s="3"/>
      <c r="AA1919" s="3"/>
      <c r="AB1919" s="3"/>
    </row>
    <row r="1920" spans="1:28" x14ac:dyDescent="0.2">
      <c r="A1920">
        <v>980</v>
      </c>
      <c r="B1920" t="s">
        <v>1020</v>
      </c>
      <c r="C1920" t="s">
        <v>35</v>
      </c>
      <c r="D1920" t="s">
        <v>19</v>
      </c>
      <c r="E1920" t="s">
        <v>52</v>
      </c>
      <c r="F1920" t="s">
        <v>33</v>
      </c>
      <c r="G1920" t="s">
        <v>25</v>
      </c>
      <c r="H1920" s="1">
        <v>222816</v>
      </c>
      <c r="I1920" s="3">
        <v>725</v>
      </c>
      <c r="J1920" s="3">
        <v>1520209</v>
      </c>
      <c r="K1920" s="3">
        <v>12491.17</v>
      </c>
      <c r="L1920" s="2">
        <v>17.5</v>
      </c>
      <c r="M1920" s="11">
        <v>28</v>
      </c>
      <c r="N1920" s="3">
        <v>7</v>
      </c>
      <c r="O1920" s="3">
        <v>71079</v>
      </c>
      <c r="P1920" s="3">
        <v>104720</v>
      </c>
      <c r="Q1920" s="10">
        <v>1</v>
      </c>
      <c r="R1920" s="3">
        <f>(Таблица1[Размер кредита]-$AA$2)/$AA$3</f>
        <v>-0.49405451587399207</v>
      </c>
      <c r="S1920" s="3">
        <f>(Таблица1[Кредитный рейтинг]-$AA$7)/($AA$8-$AA$7)</f>
        <v>0.96537949400798939</v>
      </c>
      <c r="T1920" s="3">
        <f>(Таблица1[Срок с последнего нарушения кредитного договора (мес,)]-$AA$12)/($AA$13-$AA$12)</f>
        <v>0.31818181818181818</v>
      </c>
      <c r="U1920" s="3">
        <f>(Таблица1[Количество кредитных карт]-$AA$18)/($AA$19-$AA$18)</f>
        <v>0.14285714285714285</v>
      </c>
      <c r="V1920" s="3">
        <f>(Таблица1[Число нарушений кредитных договоров]-$AA$23)/($AA$24-$AA$23)</f>
        <v>0.14285714285714285</v>
      </c>
      <c r="W1920" s="3">
        <f>Таблица1[[#This Row],[Годовой доход]]/12</f>
        <v>126684.08333333333</v>
      </c>
      <c r="X1920" s="3">
        <f>Таблица1[[#This Row],[Ежемесячный платеж]]/Таблица1[[#This Row],[Ежем доход]]</f>
        <v>9.8600942370424077E-2</v>
      </c>
      <c r="Y1920" s="3"/>
      <c r="Z1920" s="3"/>
      <c r="AA1920" s="3"/>
      <c r="AB1920" s="3"/>
    </row>
    <row r="1921" spans="1:28" x14ac:dyDescent="0.2">
      <c r="A1921">
        <v>103</v>
      </c>
      <c r="B1921" t="s">
        <v>145</v>
      </c>
      <c r="C1921" t="s">
        <v>35</v>
      </c>
      <c r="D1921" t="s">
        <v>19</v>
      </c>
      <c r="E1921" t="s">
        <v>41</v>
      </c>
      <c r="F1921" t="s">
        <v>21</v>
      </c>
      <c r="G1921" t="s">
        <v>39</v>
      </c>
      <c r="H1921" s="1">
        <v>119504</v>
      </c>
      <c r="I1921" s="3">
        <v>745</v>
      </c>
      <c r="J1921" s="3">
        <v>938315</v>
      </c>
      <c r="K1921" s="3">
        <v>11807.17</v>
      </c>
      <c r="L1921" s="2">
        <v>13</v>
      </c>
      <c r="M1921" s="11">
        <v>9</v>
      </c>
      <c r="N1921" s="3">
        <v>11</v>
      </c>
      <c r="O1921" s="3">
        <v>32300</v>
      </c>
      <c r="P1921" s="3">
        <v>104170</v>
      </c>
      <c r="Q1921" s="10">
        <v>0</v>
      </c>
      <c r="R1921" s="3">
        <f>(Таблица1[Размер кредита]-$AA$2)/$AA$3</f>
        <v>-1.0822387525162056</v>
      </c>
      <c r="S1921" s="3">
        <f>(Таблица1[Кредитный рейтинг]-$AA$7)/($AA$8-$AA$7)</f>
        <v>0.99201065246338216</v>
      </c>
      <c r="T1921" s="3">
        <f>(Таблица1[Срок с последнего нарушения кредитного договора (мес,)]-$AA$12)/($AA$13-$AA$12)</f>
        <v>0.10227272727272728</v>
      </c>
      <c r="U1921" s="3">
        <f>(Таблица1[Количество кредитных карт]-$AA$18)/($AA$19-$AA$18)</f>
        <v>0.23809523809523808</v>
      </c>
      <c r="V1921" s="3">
        <f>(Таблица1[Число нарушений кредитных договоров]-$AA$23)/($AA$24-$AA$23)</f>
        <v>0</v>
      </c>
      <c r="W1921" s="3">
        <f>Таблица1[[#This Row],[Годовой доход]]/12</f>
        <v>78192.916666666672</v>
      </c>
      <c r="X1921" s="3">
        <f>Таблица1[[#This Row],[Ежемесячный платеж]]/Таблица1[[#This Row],[Ежем доход]]</f>
        <v>0.15100050622658701</v>
      </c>
      <c r="Y1921" s="3"/>
      <c r="Z1921" s="3"/>
      <c r="AA1921" s="3"/>
      <c r="AB1921" s="3"/>
    </row>
    <row r="1922" spans="1:28" x14ac:dyDescent="0.2">
      <c r="A1922">
        <v>1957</v>
      </c>
      <c r="B1922" t="s">
        <v>1993</v>
      </c>
      <c r="C1922" t="s">
        <v>18</v>
      </c>
      <c r="D1922" t="s">
        <v>29</v>
      </c>
      <c r="E1922" t="s">
        <v>47</v>
      </c>
      <c r="F1922" t="s">
        <v>33</v>
      </c>
      <c r="G1922" t="s">
        <v>75</v>
      </c>
      <c r="H1922" s="1">
        <v>88352</v>
      </c>
      <c r="I1922" s="3">
        <v>696</v>
      </c>
      <c r="J1922" s="3">
        <v>992047</v>
      </c>
      <c r="K1922" s="3">
        <v>1777.45</v>
      </c>
      <c r="L1922" s="2">
        <v>20.5</v>
      </c>
      <c r="M1922" s="11">
        <v>37</v>
      </c>
      <c r="N1922" s="3">
        <v>6</v>
      </c>
      <c r="O1922" s="3">
        <v>67032</v>
      </c>
      <c r="P1922" s="3">
        <v>103774</v>
      </c>
      <c r="Q1922" s="10">
        <v>0</v>
      </c>
      <c r="R1922" s="3">
        <f>(Таблица1[Размер кредита]-$AA$2)/$AA$3</f>
        <v>-1.2595958392038917</v>
      </c>
      <c r="S1922" s="3">
        <f>(Таблица1[Кредитный рейтинг]-$AA$7)/($AA$8-$AA$7)</f>
        <v>0.92676431424766981</v>
      </c>
      <c r="T1922" s="3">
        <f>(Таблица1[Срок с последнего нарушения кредитного договора (мес,)]-$AA$12)/($AA$13-$AA$12)</f>
        <v>0.42045454545454547</v>
      </c>
      <c r="U1922" s="3">
        <f>(Таблица1[Количество кредитных карт]-$AA$18)/($AA$19-$AA$18)</f>
        <v>0.11904761904761904</v>
      </c>
      <c r="V1922" s="3">
        <f>(Таблица1[Число нарушений кредитных договоров]-$AA$23)/($AA$24-$AA$23)</f>
        <v>0</v>
      </c>
      <c r="W1922" s="3">
        <f>Таблица1[[#This Row],[Годовой доход]]/12</f>
        <v>82670.583333333328</v>
      </c>
      <c r="X1922" s="3">
        <f>Таблица1[[#This Row],[Ежемесячный платеж]]/Таблица1[[#This Row],[Ежем доход]]</f>
        <v>2.1500392622526957E-2</v>
      </c>
      <c r="Y1922" s="3"/>
      <c r="Z1922" s="3"/>
      <c r="AA1922" s="3"/>
      <c r="AB1922" s="3"/>
    </row>
    <row r="1923" spans="1:28" x14ac:dyDescent="0.2">
      <c r="A1923">
        <v>280</v>
      </c>
      <c r="B1923" t="s">
        <v>322</v>
      </c>
      <c r="C1923" t="s">
        <v>18</v>
      </c>
      <c r="D1923" t="s">
        <v>29</v>
      </c>
      <c r="E1923" t="s">
        <v>24</v>
      </c>
      <c r="F1923" t="s">
        <v>21</v>
      </c>
      <c r="G1923" t="s">
        <v>25</v>
      </c>
      <c r="H1923" s="1">
        <v>401852</v>
      </c>
      <c r="I1923" s="3">
        <v>725</v>
      </c>
      <c r="J1923" s="3">
        <v>1263785</v>
      </c>
      <c r="K1923" s="3">
        <v>15059.97</v>
      </c>
      <c r="L1923" s="2">
        <v>15.3</v>
      </c>
      <c r="M1923" s="11">
        <v>39</v>
      </c>
      <c r="N1923" s="3">
        <v>6</v>
      </c>
      <c r="O1923" s="3">
        <v>58482</v>
      </c>
      <c r="P1923" s="3">
        <v>101376</v>
      </c>
      <c r="Q1923" s="10">
        <v>1</v>
      </c>
      <c r="R1923" s="3">
        <f>(Таблица1[Размер кредита]-$AA$2)/$AA$3</f>
        <v>0.52524772386074681</v>
      </c>
      <c r="S1923" s="3">
        <f>(Таблица1[Кредитный рейтинг]-$AA$7)/($AA$8-$AA$7)</f>
        <v>0.96537949400798939</v>
      </c>
      <c r="T1923" s="3">
        <f>(Таблица1[Срок с последнего нарушения кредитного договора (мес,)]-$AA$12)/($AA$13-$AA$12)</f>
        <v>0.44318181818181818</v>
      </c>
      <c r="U1923" s="3">
        <f>(Таблица1[Количество кредитных карт]-$AA$18)/($AA$19-$AA$18)</f>
        <v>0.11904761904761904</v>
      </c>
      <c r="V1923" s="3">
        <f>(Таблица1[Число нарушений кредитных договоров]-$AA$23)/($AA$24-$AA$23)</f>
        <v>0.14285714285714285</v>
      </c>
      <c r="W1923" s="3">
        <f>Таблица1[[#This Row],[Годовой доход]]/12</f>
        <v>105315.41666666667</v>
      </c>
      <c r="X1923" s="3">
        <f>Таблица1[[#This Row],[Ежемесячный платеж]]/Таблица1[[#This Row],[Ежем доход]]</f>
        <v>0.14299872209276102</v>
      </c>
      <c r="Y1923" s="3"/>
      <c r="Z1923" s="3"/>
      <c r="AA1923" s="3"/>
      <c r="AB1923" s="3"/>
    </row>
    <row r="1924" spans="1:28" x14ac:dyDescent="0.2">
      <c r="A1924">
        <v>1095</v>
      </c>
      <c r="B1924" s="4" t="s">
        <v>1134</v>
      </c>
      <c r="C1924" t="s">
        <v>35</v>
      </c>
      <c r="D1924" t="s">
        <v>29</v>
      </c>
      <c r="E1924" t="s">
        <v>32</v>
      </c>
      <c r="F1924" t="s">
        <v>33</v>
      </c>
      <c r="G1924" t="s">
        <v>25</v>
      </c>
      <c r="H1924" s="1">
        <v>80982</v>
      </c>
      <c r="I1924" s="3">
        <v>701</v>
      </c>
      <c r="J1924" s="3">
        <v>738245</v>
      </c>
      <c r="K1924" s="3">
        <v>14082.23</v>
      </c>
      <c r="L1924" s="2">
        <v>12.3</v>
      </c>
      <c r="M1924" s="11">
        <v>40</v>
      </c>
      <c r="N1924" s="3">
        <v>7</v>
      </c>
      <c r="O1924" s="3">
        <v>52383</v>
      </c>
      <c r="P1924" s="3">
        <v>101288</v>
      </c>
      <c r="Q1924" s="10">
        <v>0</v>
      </c>
      <c r="R1924" s="3">
        <f>(Таблица1[Размер кредита]-$AA$2)/$AA$3</f>
        <v>-1.3015553194583938</v>
      </c>
      <c r="S1924" s="3">
        <f>(Таблица1[Кредитный рейтинг]-$AA$7)/($AA$8-$AA$7)</f>
        <v>0.93342210386151803</v>
      </c>
      <c r="T1924" s="3">
        <f>(Таблица1[Срок с последнего нарушения кредитного договора (мес,)]-$AA$12)/($AA$13-$AA$12)</f>
        <v>0.45454545454545453</v>
      </c>
      <c r="U1924" s="3">
        <f>(Таблица1[Количество кредитных карт]-$AA$18)/($AA$19-$AA$18)</f>
        <v>0.14285714285714285</v>
      </c>
      <c r="V1924" s="3">
        <f>(Таблица1[Число нарушений кредитных договоров]-$AA$23)/($AA$24-$AA$23)</f>
        <v>0</v>
      </c>
      <c r="W1924" s="3">
        <f>Таблица1[[#This Row],[Годовой доход]]/12</f>
        <v>61520.416666666664</v>
      </c>
      <c r="X1924" s="3">
        <f>Таблица1[[#This Row],[Ежемесячный платеж]]/Таблица1[[#This Row],[Ежем доход]]</f>
        <v>0.22890335864110153</v>
      </c>
      <c r="Y1924" s="3"/>
      <c r="Z1924" s="3"/>
      <c r="AA1924" s="3"/>
      <c r="AB1924" s="3"/>
    </row>
    <row r="1925" spans="1:28" x14ac:dyDescent="0.2">
      <c r="A1925">
        <v>1405</v>
      </c>
      <c r="B1925" t="s">
        <v>1444</v>
      </c>
      <c r="C1925" t="s">
        <v>18</v>
      </c>
      <c r="D1925" t="s">
        <v>19</v>
      </c>
      <c r="E1925" t="s">
        <v>24</v>
      </c>
      <c r="F1925" t="s">
        <v>21</v>
      </c>
      <c r="G1925" t="s">
        <v>67</v>
      </c>
      <c r="H1925" s="1">
        <v>116930</v>
      </c>
      <c r="I1925" s="3">
        <v>724</v>
      </c>
      <c r="J1925" s="3">
        <v>1320557</v>
      </c>
      <c r="K1925" s="3">
        <v>10366.4</v>
      </c>
      <c r="L1925" s="2">
        <v>16.2</v>
      </c>
      <c r="M1925" s="11">
        <v>35.265240640000002</v>
      </c>
      <c r="N1925" s="3">
        <v>5</v>
      </c>
      <c r="O1925" s="3">
        <v>63764</v>
      </c>
      <c r="P1925" s="3">
        <v>101112</v>
      </c>
      <c r="Q1925" s="10">
        <v>0</v>
      </c>
      <c r="R1925" s="3">
        <f>(Таблица1[Размер кредита]-$AA$2)/$AA$3</f>
        <v>-1.0968932575603152</v>
      </c>
      <c r="S1925" s="3">
        <f>(Таблица1[Кредитный рейтинг]-$AA$7)/($AA$8-$AA$7)</f>
        <v>0.96404793608521966</v>
      </c>
      <c r="T1925" s="3">
        <f>(Таблица1[Срок с последнего нарушения кредитного договора (мес,)]-$AA$12)/($AA$13-$AA$12)</f>
        <v>0.40074137090909095</v>
      </c>
      <c r="U1925" s="3">
        <f>(Таблица1[Количество кредитных карт]-$AA$18)/($AA$19-$AA$18)</f>
        <v>9.5238095238095233E-2</v>
      </c>
      <c r="V1925" s="3">
        <f>(Таблица1[Число нарушений кредитных договоров]-$AA$23)/($AA$24-$AA$23)</f>
        <v>0</v>
      </c>
      <c r="W1925" s="3">
        <f>Таблица1[[#This Row],[Годовой доход]]/12</f>
        <v>110046.41666666667</v>
      </c>
      <c r="X1925" s="3">
        <f>Таблица1[[#This Row],[Ежемесячный платеж]]/Таблица1[[#This Row],[Ежем доход]]</f>
        <v>9.4200250348905792E-2</v>
      </c>
      <c r="Y1925" s="3"/>
      <c r="Z1925" s="3"/>
      <c r="AA1925" s="3"/>
      <c r="AB1925" s="3"/>
    </row>
    <row r="1926" spans="1:28" x14ac:dyDescent="0.2">
      <c r="A1926">
        <v>485</v>
      </c>
      <c r="B1926" t="s">
        <v>526</v>
      </c>
      <c r="C1926" t="s">
        <v>18</v>
      </c>
      <c r="D1926" t="s">
        <v>19</v>
      </c>
      <c r="E1926" t="s">
        <v>24</v>
      </c>
      <c r="F1926" t="s">
        <v>21</v>
      </c>
      <c r="G1926" t="s">
        <v>25</v>
      </c>
      <c r="H1926" s="1">
        <v>309594.52439999999</v>
      </c>
      <c r="I1926" s="3">
        <v>727</v>
      </c>
      <c r="J1926" s="3">
        <v>2299836</v>
      </c>
      <c r="K1926" s="3">
        <v>34305.83</v>
      </c>
      <c r="L1926" s="2">
        <v>12.5</v>
      </c>
      <c r="M1926" s="11">
        <v>60</v>
      </c>
      <c r="N1926" s="3">
        <v>11</v>
      </c>
      <c r="O1926" s="3">
        <v>30932</v>
      </c>
      <c r="P1926" s="3">
        <v>99770</v>
      </c>
      <c r="Q1926" s="10">
        <v>1</v>
      </c>
      <c r="R1926" s="3">
        <f>(Таблица1[Размер кредита]-$AA$2)/$AA$3</f>
        <v>-1.2411115481956205E-10</v>
      </c>
      <c r="S1926" s="3">
        <f>(Таблица1[Кредитный рейтинг]-$AA$7)/($AA$8-$AA$7)</f>
        <v>0.96804260985352863</v>
      </c>
      <c r="T1926" s="3">
        <f>(Таблица1[Срок с последнего нарушения кредитного договора (мес,)]-$AA$12)/($AA$13-$AA$12)</f>
        <v>0.68181818181818177</v>
      </c>
      <c r="U1926" s="3">
        <f>(Таблица1[Количество кредитных карт]-$AA$18)/($AA$19-$AA$18)</f>
        <v>0.23809523809523808</v>
      </c>
      <c r="V1926" s="3">
        <f>(Таблица1[Число нарушений кредитных договоров]-$AA$23)/($AA$24-$AA$23)</f>
        <v>0.14285714285714285</v>
      </c>
      <c r="W1926" s="3">
        <f>Таблица1[[#This Row],[Годовой доход]]/12</f>
        <v>191653</v>
      </c>
      <c r="X1926" s="3">
        <f>Таблица1[[#This Row],[Ежемесячный платеж]]/Таблица1[[#This Row],[Ежем доход]]</f>
        <v>0.17899970258748885</v>
      </c>
      <c r="Y1926" s="3"/>
      <c r="Z1926" s="3"/>
      <c r="AA1926" s="3"/>
      <c r="AB1926" s="3"/>
    </row>
    <row r="1927" spans="1:28" x14ac:dyDescent="0.2">
      <c r="A1927">
        <v>1277</v>
      </c>
      <c r="B1927" t="s">
        <v>1316</v>
      </c>
      <c r="C1927" t="s">
        <v>18</v>
      </c>
      <c r="D1927" t="s">
        <v>19</v>
      </c>
      <c r="E1927" t="s">
        <v>41</v>
      </c>
      <c r="F1927" t="s">
        <v>21</v>
      </c>
      <c r="G1927" t="s">
        <v>25</v>
      </c>
      <c r="H1927" s="1">
        <v>219758</v>
      </c>
      <c r="I1927" s="3">
        <v>708</v>
      </c>
      <c r="J1927" s="3">
        <v>873031</v>
      </c>
      <c r="K1927" s="3">
        <v>17751.7</v>
      </c>
      <c r="L1927" s="2">
        <v>19.2</v>
      </c>
      <c r="M1927" s="11">
        <v>23</v>
      </c>
      <c r="N1927" s="3">
        <v>8</v>
      </c>
      <c r="O1927" s="3">
        <v>76114</v>
      </c>
      <c r="P1927" s="3">
        <v>98912</v>
      </c>
      <c r="Q1927" s="10">
        <v>0</v>
      </c>
      <c r="R1927" s="3">
        <f>(Таблица1[Размер кредита]-$AA$2)/$AA$3</f>
        <v>-0.51146456887511382</v>
      </c>
      <c r="S1927" s="3">
        <f>(Таблица1[Кредитный рейтинг]-$AA$7)/($AA$8-$AA$7)</f>
        <v>0.94274300932090549</v>
      </c>
      <c r="T1927" s="3">
        <f>(Таблица1[Срок с последнего нарушения кредитного договора (мес,)]-$AA$12)/($AA$13-$AA$12)</f>
        <v>0.26136363636363635</v>
      </c>
      <c r="U1927" s="3">
        <f>(Таблица1[Количество кредитных карт]-$AA$18)/($AA$19-$AA$18)</f>
        <v>0.16666666666666666</v>
      </c>
      <c r="V1927" s="3">
        <f>(Таблица1[Число нарушений кредитных договоров]-$AA$23)/($AA$24-$AA$23)</f>
        <v>0</v>
      </c>
      <c r="W1927" s="3">
        <f>Таблица1[[#This Row],[Годовой доход]]/12</f>
        <v>72752.583333333328</v>
      </c>
      <c r="X1927" s="3">
        <f>Таблица1[[#This Row],[Ежемесячный платеж]]/Таблица1[[#This Row],[Ежем доход]]</f>
        <v>0.24400095758340773</v>
      </c>
      <c r="Y1927" s="3"/>
      <c r="Z1927" s="3"/>
      <c r="AA1927" s="3"/>
      <c r="AB1927" s="3"/>
    </row>
    <row r="1928" spans="1:28" x14ac:dyDescent="0.2">
      <c r="A1928">
        <v>1978</v>
      </c>
      <c r="B1928" t="s">
        <v>2014</v>
      </c>
      <c r="C1928" t="s">
        <v>18</v>
      </c>
      <c r="D1928" t="s">
        <v>19</v>
      </c>
      <c r="E1928" t="s">
        <v>24</v>
      </c>
      <c r="F1928" t="s">
        <v>33</v>
      </c>
      <c r="G1928" t="s">
        <v>102</v>
      </c>
      <c r="H1928" s="1">
        <v>108570</v>
      </c>
      <c r="I1928" s="3">
        <v>742</v>
      </c>
      <c r="J1928" s="3">
        <v>720119</v>
      </c>
      <c r="K1928" s="3">
        <v>6505.03</v>
      </c>
      <c r="L1928" s="2">
        <v>30.5</v>
      </c>
      <c r="M1928" s="11">
        <v>62</v>
      </c>
      <c r="N1928" s="3">
        <v>8</v>
      </c>
      <c r="O1928" s="3">
        <v>26087</v>
      </c>
      <c r="P1928" s="3">
        <v>97746</v>
      </c>
      <c r="Q1928" s="10">
        <v>0</v>
      </c>
      <c r="R1928" s="3">
        <f>(Таблица1[Размер кредита]-$AA$2)/$AA$3</f>
        <v>-1.1444890859087056</v>
      </c>
      <c r="S1928" s="3">
        <f>(Таблица1[Кредитный рейтинг]-$AA$7)/($AA$8-$AA$7)</f>
        <v>0.98801597869507318</v>
      </c>
      <c r="T1928" s="3">
        <f>(Таблица1[Срок с последнего нарушения кредитного договора (мес,)]-$AA$12)/($AA$13-$AA$12)</f>
        <v>0.70454545454545459</v>
      </c>
      <c r="U1928" s="3">
        <f>(Таблица1[Количество кредитных карт]-$AA$18)/($AA$19-$AA$18)</f>
        <v>0.16666666666666666</v>
      </c>
      <c r="V1928" s="3">
        <f>(Таблица1[Число нарушений кредитных договоров]-$AA$23)/($AA$24-$AA$23)</f>
        <v>0</v>
      </c>
      <c r="W1928" s="3">
        <f>Таблица1[[#This Row],[Годовой доход]]/12</f>
        <v>60009.916666666664</v>
      </c>
      <c r="X1928" s="3">
        <f>Таблица1[[#This Row],[Ежемесячный платеж]]/Таблица1[[#This Row],[Ежем доход]]</f>
        <v>0.10839925067940159</v>
      </c>
      <c r="Y1928" s="3"/>
      <c r="Z1928" s="3"/>
      <c r="AA1928" s="3"/>
      <c r="AB1928" s="3"/>
    </row>
    <row r="1929" spans="1:28" x14ac:dyDescent="0.2">
      <c r="A1929">
        <v>1619</v>
      </c>
      <c r="B1929" t="s">
        <v>1658</v>
      </c>
      <c r="C1929" t="s">
        <v>18</v>
      </c>
      <c r="D1929" t="s">
        <v>29</v>
      </c>
      <c r="E1929" t="s">
        <v>24</v>
      </c>
      <c r="F1929" t="s">
        <v>21</v>
      </c>
      <c r="G1929" t="s">
        <v>25</v>
      </c>
      <c r="H1929" s="1">
        <v>396506</v>
      </c>
      <c r="I1929" s="3">
        <v>721</v>
      </c>
      <c r="J1929" s="3">
        <v>1750280</v>
      </c>
      <c r="K1929" s="3">
        <v>13491.71</v>
      </c>
      <c r="L1929" s="2">
        <v>25.8</v>
      </c>
      <c r="M1929" s="11">
        <v>41</v>
      </c>
      <c r="N1929" s="3">
        <v>11</v>
      </c>
      <c r="O1929" s="3">
        <v>48013</v>
      </c>
      <c r="P1929" s="3">
        <v>96866</v>
      </c>
      <c r="Q1929" s="10">
        <v>0</v>
      </c>
      <c r="R1929" s="3">
        <f>(Таблица1[Размер кредита]-$AA$2)/$AA$3</f>
        <v>0.49481144415374978</v>
      </c>
      <c r="S1929" s="3">
        <f>(Таблица1[Кредитный рейтинг]-$AA$7)/($AA$8-$AA$7)</f>
        <v>0.96005326231691079</v>
      </c>
      <c r="T1929" s="3">
        <f>(Таблица1[Срок с последнего нарушения кредитного договора (мес,)]-$AA$12)/($AA$13-$AA$12)</f>
        <v>0.46590909090909088</v>
      </c>
      <c r="U1929" s="3">
        <f>(Таблица1[Количество кредитных карт]-$AA$18)/($AA$19-$AA$18)</f>
        <v>0.23809523809523808</v>
      </c>
      <c r="V1929" s="3">
        <f>(Таблица1[Число нарушений кредитных договоров]-$AA$23)/($AA$24-$AA$23)</f>
        <v>0</v>
      </c>
      <c r="W1929" s="3">
        <f>Таблица1[[#This Row],[Годовой доход]]/12</f>
        <v>145856.66666666666</v>
      </c>
      <c r="X1929" s="3">
        <f>Таблица1[[#This Row],[Ежемесячный платеж]]/Таблица1[[#This Row],[Ежем доход]]</f>
        <v>9.2499782891880156E-2</v>
      </c>
      <c r="Y1929" s="3"/>
      <c r="Z1929" s="3"/>
      <c r="AA1929" s="3"/>
      <c r="AB1929" s="3"/>
    </row>
    <row r="1930" spans="1:28" x14ac:dyDescent="0.2">
      <c r="A1930">
        <v>1536</v>
      </c>
      <c r="B1930" t="s">
        <v>1575</v>
      </c>
      <c r="C1930" t="s">
        <v>18</v>
      </c>
      <c r="D1930" t="s">
        <v>19</v>
      </c>
      <c r="E1930" t="s">
        <v>24</v>
      </c>
      <c r="F1930" t="s">
        <v>33</v>
      </c>
      <c r="G1930" t="s">
        <v>25</v>
      </c>
      <c r="H1930" s="1">
        <v>188672</v>
      </c>
      <c r="I1930" s="3">
        <v>652</v>
      </c>
      <c r="J1930" s="3">
        <v>1008748</v>
      </c>
      <c r="K1930" s="3">
        <v>3127.21</v>
      </c>
      <c r="L1930" s="2">
        <v>11</v>
      </c>
      <c r="M1930" s="11">
        <v>47</v>
      </c>
      <c r="N1930" s="3">
        <v>5</v>
      </c>
      <c r="O1930" s="3">
        <v>68153</v>
      </c>
      <c r="P1930" s="3">
        <v>96580</v>
      </c>
      <c r="Q1930" s="10">
        <v>0</v>
      </c>
      <c r="R1930" s="3">
        <f>(Таблица1[Размер кредита]-$AA$2)/$AA$3</f>
        <v>-0.68844589902320741</v>
      </c>
      <c r="S1930" s="3">
        <f>(Таблица1[Кредитный рейтинг]-$AA$7)/($AA$8-$AA$7)</f>
        <v>0.86817576564580556</v>
      </c>
      <c r="T1930" s="3">
        <f>(Таблица1[Срок с последнего нарушения кредитного договора (мес,)]-$AA$12)/($AA$13-$AA$12)</f>
        <v>0.53409090909090906</v>
      </c>
      <c r="U1930" s="3">
        <f>(Таблица1[Количество кредитных карт]-$AA$18)/($AA$19-$AA$18)</f>
        <v>9.5238095238095233E-2</v>
      </c>
      <c r="V1930" s="3">
        <f>(Таблица1[Число нарушений кредитных договоров]-$AA$23)/($AA$24-$AA$23)</f>
        <v>0</v>
      </c>
      <c r="W1930" s="3">
        <f>Таблица1[[#This Row],[Годовой доход]]/12</f>
        <v>84062.333333333328</v>
      </c>
      <c r="X1930" s="3">
        <f>Таблица1[[#This Row],[Ежемесячный платеж]]/Таблица1[[#This Row],[Ежем доход]]</f>
        <v>3.7201084909214199E-2</v>
      </c>
      <c r="Y1930" s="3"/>
      <c r="Z1930" s="3"/>
      <c r="AA1930" s="3"/>
      <c r="AB1930" s="3"/>
    </row>
    <row r="1931" spans="1:28" x14ac:dyDescent="0.2">
      <c r="A1931">
        <v>178</v>
      </c>
      <c r="B1931" t="s">
        <v>220</v>
      </c>
      <c r="C1931" t="s">
        <v>18</v>
      </c>
      <c r="D1931" t="s">
        <v>19</v>
      </c>
      <c r="E1931" t="s">
        <v>41</v>
      </c>
      <c r="F1931" t="s">
        <v>33</v>
      </c>
      <c r="G1931" t="s">
        <v>75</v>
      </c>
      <c r="H1931" s="1">
        <v>175428</v>
      </c>
      <c r="I1931" s="3">
        <v>698</v>
      </c>
      <c r="J1931" s="3">
        <v>1136238</v>
      </c>
      <c r="K1931" s="3">
        <v>2594.4499999999998</v>
      </c>
      <c r="L1931" s="2">
        <v>30.5</v>
      </c>
      <c r="M1931" s="11">
        <v>68</v>
      </c>
      <c r="N1931" s="3">
        <v>4</v>
      </c>
      <c r="O1931" s="3">
        <v>70832</v>
      </c>
      <c r="P1931" s="3">
        <v>96470</v>
      </c>
      <c r="Q1931" s="10">
        <v>0</v>
      </c>
      <c r="R1931" s="3">
        <f>(Таблица1[Размер кредита]-$AA$2)/$AA$3</f>
        <v>-0.76384771130144691</v>
      </c>
      <c r="S1931" s="3">
        <f>(Таблица1[Кредитный рейтинг]-$AA$7)/($AA$8-$AA$7)</f>
        <v>0.92942743009320905</v>
      </c>
      <c r="T1931" s="3">
        <f>(Таблица1[Срок с последнего нарушения кредитного договора (мес,)]-$AA$12)/($AA$13-$AA$12)</f>
        <v>0.77272727272727271</v>
      </c>
      <c r="U1931" s="3">
        <f>(Таблица1[Количество кредитных карт]-$AA$18)/($AA$19-$AA$18)</f>
        <v>7.1428571428571425E-2</v>
      </c>
      <c r="V1931" s="3">
        <f>(Таблица1[Число нарушений кредитных договоров]-$AA$23)/($AA$24-$AA$23)</f>
        <v>0</v>
      </c>
      <c r="W1931" s="3">
        <f>Таблица1[[#This Row],[Годовой доход]]/12</f>
        <v>94686.5</v>
      </c>
      <c r="X1931" s="3">
        <f>Таблица1[[#This Row],[Ежемесячный платеж]]/Таблица1[[#This Row],[Ежем доход]]</f>
        <v>2.7400421390588941E-2</v>
      </c>
      <c r="Y1931" s="3"/>
      <c r="Z1931" s="3"/>
      <c r="AA1931" s="3"/>
      <c r="AB1931" s="3"/>
    </row>
    <row r="1932" spans="1:28" x14ac:dyDescent="0.2">
      <c r="A1932">
        <v>1966</v>
      </c>
      <c r="B1932" t="s">
        <v>2002</v>
      </c>
      <c r="C1932" t="s">
        <v>35</v>
      </c>
      <c r="D1932" t="s">
        <v>29</v>
      </c>
      <c r="E1932" t="s">
        <v>50</v>
      </c>
      <c r="F1932" t="s">
        <v>21</v>
      </c>
      <c r="G1932" t="s">
        <v>25</v>
      </c>
      <c r="H1932" s="1">
        <v>502810</v>
      </c>
      <c r="I1932" s="3">
        <v>636</v>
      </c>
      <c r="J1932" s="3">
        <v>1453937</v>
      </c>
      <c r="K1932" s="3">
        <v>22293.65</v>
      </c>
      <c r="L1932" s="2">
        <v>20.2</v>
      </c>
      <c r="M1932" s="11">
        <v>23</v>
      </c>
      <c r="N1932" s="3">
        <v>6</v>
      </c>
      <c r="O1932" s="3">
        <v>69331</v>
      </c>
      <c r="P1932" s="3">
        <v>94314</v>
      </c>
      <c r="Q1932" s="10">
        <v>0</v>
      </c>
      <c r="R1932" s="3">
        <f>(Таблица1[Размер кредита]-$AA$2)/$AA$3</f>
        <v>1.1000299772574924</v>
      </c>
      <c r="S1932" s="3">
        <f>(Таблица1[Кредитный рейтинг]-$AA$7)/($AA$8-$AA$7)</f>
        <v>0.84687083888149139</v>
      </c>
      <c r="T1932" s="3">
        <f>(Таблица1[Срок с последнего нарушения кредитного договора (мес,)]-$AA$12)/($AA$13-$AA$12)</f>
        <v>0.26136363636363635</v>
      </c>
      <c r="U1932" s="3">
        <f>(Таблица1[Количество кредитных карт]-$AA$18)/($AA$19-$AA$18)</f>
        <v>0.11904761904761904</v>
      </c>
      <c r="V1932" s="3">
        <f>(Таблица1[Число нарушений кредитных договоров]-$AA$23)/($AA$24-$AA$23)</f>
        <v>0</v>
      </c>
      <c r="W1932" s="3">
        <f>Таблица1[[#This Row],[Годовой доход]]/12</f>
        <v>121161.41666666667</v>
      </c>
      <c r="X1932" s="3">
        <f>Таблица1[[#This Row],[Ежемесячный платеж]]/Таблица1[[#This Row],[Ежем доход]]</f>
        <v>0.1839995818250722</v>
      </c>
      <c r="Y1932" s="3"/>
      <c r="Z1932" s="3"/>
      <c r="AA1932" s="3"/>
      <c r="AB1932" s="3"/>
    </row>
    <row r="1933" spans="1:28" x14ac:dyDescent="0.2">
      <c r="A1933">
        <v>1248</v>
      </c>
      <c r="B1933" t="s">
        <v>1287</v>
      </c>
      <c r="C1933" t="s">
        <v>18</v>
      </c>
      <c r="D1933" t="s">
        <v>19</v>
      </c>
      <c r="E1933" t="s">
        <v>47</v>
      </c>
      <c r="F1933" t="s">
        <v>33</v>
      </c>
      <c r="G1933" t="s">
        <v>25</v>
      </c>
      <c r="H1933" s="1">
        <v>51414</v>
      </c>
      <c r="I1933" s="3">
        <v>744</v>
      </c>
      <c r="J1933" s="3">
        <v>386118</v>
      </c>
      <c r="K1933" s="3">
        <v>6885.79</v>
      </c>
      <c r="L1933" s="2">
        <v>28.8</v>
      </c>
      <c r="M1933" s="11">
        <v>29</v>
      </c>
      <c r="N1933" s="3">
        <v>7</v>
      </c>
      <c r="O1933" s="3">
        <v>27360</v>
      </c>
      <c r="P1933" s="3">
        <v>94006</v>
      </c>
      <c r="Q1933" s="10">
        <v>0</v>
      </c>
      <c r="R1933" s="3">
        <f>(Таблица1[Размер кредита]-$AA$2)/$AA$3</f>
        <v>-1.4698942491958586</v>
      </c>
      <c r="S1933" s="3">
        <f>(Таблица1[Кредитный рейтинг]-$AA$7)/($AA$8-$AA$7)</f>
        <v>0.99067909454061254</v>
      </c>
      <c r="T1933" s="3">
        <f>(Таблица1[Срок с последнего нарушения кредитного договора (мес,)]-$AA$12)/($AA$13-$AA$12)</f>
        <v>0.32954545454545453</v>
      </c>
      <c r="U1933" s="3">
        <f>(Таблица1[Количество кредитных карт]-$AA$18)/($AA$19-$AA$18)</f>
        <v>0.14285714285714285</v>
      </c>
      <c r="V1933" s="3">
        <f>(Таблица1[Число нарушений кредитных договоров]-$AA$23)/($AA$24-$AA$23)</f>
        <v>0</v>
      </c>
      <c r="W1933" s="3">
        <f>Таблица1[[#This Row],[Годовой доход]]/12</f>
        <v>32176.5</v>
      </c>
      <c r="X1933" s="3">
        <f>Таблица1[[#This Row],[Ежемесячный платеж]]/Таблица1[[#This Row],[Ежем доход]]</f>
        <v>0.21400059049306169</v>
      </c>
      <c r="Y1933" s="3"/>
      <c r="Z1933" s="3"/>
      <c r="AA1933" s="3"/>
      <c r="AB1933" s="3"/>
    </row>
    <row r="1934" spans="1:28" x14ac:dyDescent="0.2">
      <c r="A1934">
        <v>1308</v>
      </c>
      <c r="B1934" t="s">
        <v>1347</v>
      </c>
      <c r="C1934" t="s">
        <v>18</v>
      </c>
      <c r="D1934" t="s">
        <v>19</v>
      </c>
      <c r="E1934" t="s">
        <v>50</v>
      </c>
      <c r="F1934" t="s">
        <v>33</v>
      </c>
      <c r="G1934" t="s">
        <v>25</v>
      </c>
      <c r="H1934" s="1">
        <v>306240</v>
      </c>
      <c r="I1934" s="3">
        <v>714</v>
      </c>
      <c r="J1934" s="3">
        <v>1205683</v>
      </c>
      <c r="K1934" s="3">
        <v>9725.7199999999993</v>
      </c>
      <c r="L1934" s="2">
        <v>32.200000000000003</v>
      </c>
      <c r="M1934" s="11">
        <v>8</v>
      </c>
      <c r="N1934" s="3">
        <v>7</v>
      </c>
      <c r="O1934" s="3">
        <v>18506</v>
      </c>
      <c r="P1934" s="3">
        <v>93192</v>
      </c>
      <c r="Q1934" s="10">
        <v>0</v>
      </c>
      <c r="R1934" s="3">
        <f>(Таблица1[Размер кредита]-$AA$2)/$AA$3</f>
        <v>-1.9098249829001934E-2</v>
      </c>
      <c r="S1934" s="3">
        <f>(Таблица1[Кредитный рейтинг]-$AA$7)/($AA$8-$AA$7)</f>
        <v>0.95073235685752333</v>
      </c>
      <c r="T1934" s="3">
        <f>(Таблица1[Срок с последнего нарушения кредитного договора (мес,)]-$AA$12)/($AA$13-$AA$12)</f>
        <v>9.0909090909090912E-2</v>
      </c>
      <c r="U1934" s="3">
        <f>(Таблица1[Количество кредитных карт]-$AA$18)/($AA$19-$AA$18)</f>
        <v>0.14285714285714285</v>
      </c>
      <c r="V1934" s="3">
        <f>(Таблица1[Число нарушений кредитных договоров]-$AA$23)/($AA$24-$AA$23)</f>
        <v>0</v>
      </c>
      <c r="W1934" s="3">
        <f>Таблица1[[#This Row],[Годовой доход]]/12</f>
        <v>100473.58333333333</v>
      </c>
      <c r="X1934" s="3">
        <f>Таблица1[[#This Row],[Ежемесячный платеж]]/Таблица1[[#This Row],[Ежем доход]]</f>
        <v>9.6798777124667099E-2</v>
      </c>
      <c r="Y1934" s="3"/>
      <c r="Z1934" s="3"/>
      <c r="AA1934" s="3"/>
      <c r="AB1934" s="3"/>
    </row>
    <row r="1935" spans="1:28" x14ac:dyDescent="0.2">
      <c r="A1935">
        <v>919</v>
      </c>
      <c r="B1935" t="s">
        <v>960</v>
      </c>
      <c r="C1935" t="s">
        <v>18</v>
      </c>
      <c r="D1935" t="s">
        <v>19</v>
      </c>
      <c r="E1935" t="s">
        <v>24</v>
      </c>
      <c r="F1935" t="s">
        <v>33</v>
      </c>
      <c r="G1935" t="s">
        <v>25</v>
      </c>
      <c r="H1935" s="1">
        <v>117084</v>
      </c>
      <c r="I1935" s="3">
        <v>0</v>
      </c>
      <c r="J1935" s="3">
        <v>1168044</v>
      </c>
      <c r="K1935" s="3">
        <v>12386.1</v>
      </c>
      <c r="L1935" s="2">
        <v>17.100000000000001</v>
      </c>
      <c r="M1935" s="11">
        <v>35.265240640000002</v>
      </c>
      <c r="N1935" s="3">
        <v>5</v>
      </c>
      <c r="O1935" s="3">
        <v>10184</v>
      </c>
      <c r="P1935" s="3">
        <v>92070</v>
      </c>
      <c r="Q1935" s="10">
        <v>1</v>
      </c>
      <c r="R1935" s="3">
        <f>(Таблица1[Размер кредита]-$AA$2)/$AA$3</f>
        <v>-1.0960164923012661</v>
      </c>
      <c r="S1935" s="3">
        <f>(Таблица1[Кредитный рейтинг]-$AA$7)/($AA$8-$AA$7)</f>
        <v>0</v>
      </c>
      <c r="T1935" s="3">
        <f>(Таблица1[Срок с последнего нарушения кредитного договора (мес,)]-$AA$12)/($AA$13-$AA$12)</f>
        <v>0.40074137090909095</v>
      </c>
      <c r="U1935" s="3">
        <f>(Таблица1[Количество кредитных карт]-$AA$18)/($AA$19-$AA$18)</f>
        <v>9.5238095238095233E-2</v>
      </c>
      <c r="V1935" s="3">
        <f>(Таблица1[Число нарушений кредитных договоров]-$AA$23)/($AA$24-$AA$23)</f>
        <v>0.14285714285714285</v>
      </c>
      <c r="W1935" s="3">
        <f>Таблица1[[#This Row],[Годовой доход]]/12</f>
        <v>97337</v>
      </c>
      <c r="X1935" s="3">
        <f>Таблица1[[#This Row],[Ежемесячный платеж]]/Таблица1[[#This Row],[Ежем доход]]</f>
        <v>0.12724965840327934</v>
      </c>
      <c r="Y1935" s="3"/>
      <c r="Z1935" s="3"/>
      <c r="AA1935" s="3"/>
      <c r="AB1935" s="3"/>
    </row>
    <row r="1936" spans="1:28" x14ac:dyDescent="0.2">
      <c r="A1936">
        <v>339</v>
      </c>
      <c r="B1936" t="s">
        <v>381</v>
      </c>
      <c r="C1936" t="s">
        <v>35</v>
      </c>
      <c r="D1936" t="s">
        <v>29</v>
      </c>
      <c r="E1936" t="s">
        <v>69</v>
      </c>
      <c r="F1936" t="s">
        <v>21</v>
      </c>
      <c r="G1936" t="s">
        <v>25</v>
      </c>
      <c r="H1936" s="1">
        <v>403414</v>
      </c>
      <c r="I1936" s="3">
        <v>0</v>
      </c>
      <c r="J1936" s="3">
        <v>1168044</v>
      </c>
      <c r="K1936" s="3">
        <v>14597.13</v>
      </c>
      <c r="L1936" s="2">
        <v>20.7</v>
      </c>
      <c r="M1936" s="11">
        <v>51</v>
      </c>
      <c r="N1936" s="3">
        <v>11</v>
      </c>
      <c r="O1936" s="3">
        <v>71212</v>
      </c>
      <c r="P1936" s="3">
        <v>91916</v>
      </c>
      <c r="Q1936" s="10">
        <v>0</v>
      </c>
      <c r="R1936" s="3">
        <f>(Таблица1[Размер кредита]-$AA$2)/$AA$3</f>
        <v>0.5341406286311039</v>
      </c>
      <c r="S1936" s="3">
        <f>(Таблица1[Кредитный рейтинг]-$AA$7)/($AA$8-$AA$7)</f>
        <v>0</v>
      </c>
      <c r="T1936" s="3">
        <f>(Таблица1[Срок с последнего нарушения кредитного договора (мес,)]-$AA$12)/($AA$13-$AA$12)</f>
        <v>0.57954545454545459</v>
      </c>
      <c r="U1936" s="3">
        <f>(Таблица1[Количество кредитных карт]-$AA$18)/($AA$19-$AA$18)</f>
        <v>0.23809523809523808</v>
      </c>
      <c r="V1936" s="3">
        <f>(Таблица1[Число нарушений кредитных договоров]-$AA$23)/($AA$24-$AA$23)</f>
        <v>0</v>
      </c>
      <c r="W1936" s="3">
        <f>Таблица1[[#This Row],[Годовой доход]]/12</f>
        <v>97337</v>
      </c>
      <c r="X1936" s="3">
        <f>Таблица1[[#This Row],[Ежемесячный платеж]]/Таблица1[[#This Row],[Ежем доход]]</f>
        <v>0.14996486433730236</v>
      </c>
      <c r="Y1936" s="3"/>
      <c r="Z1936" s="3"/>
      <c r="AA1936" s="3"/>
      <c r="AB1936" s="3"/>
    </row>
    <row r="1937" spans="1:28" x14ac:dyDescent="0.2">
      <c r="A1937">
        <v>438</v>
      </c>
      <c r="B1937" t="s">
        <v>479</v>
      </c>
      <c r="C1937" t="s">
        <v>18</v>
      </c>
      <c r="D1937" t="s">
        <v>19</v>
      </c>
      <c r="E1937" t="s">
        <v>50</v>
      </c>
      <c r="F1937" t="s">
        <v>21</v>
      </c>
      <c r="G1937" t="s">
        <v>25</v>
      </c>
      <c r="H1937" s="1">
        <v>358578</v>
      </c>
      <c r="I1937" s="3">
        <v>711</v>
      </c>
      <c r="J1937" s="3">
        <v>1509721</v>
      </c>
      <c r="K1937" s="3">
        <v>3157.8</v>
      </c>
      <c r="L1937" s="2">
        <v>13.7</v>
      </c>
      <c r="M1937" s="11">
        <v>35.265240640000002</v>
      </c>
      <c r="N1937" s="3">
        <v>3</v>
      </c>
      <c r="O1937" s="3">
        <v>58862</v>
      </c>
      <c r="P1937" s="3">
        <v>91850</v>
      </c>
      <c r="Q1937" s="10">
        <v>0</v>
      </c>
      <c r="R1937" s="3">
        <f>(Таблица1[Размер кредита]-$AA$2)/$AA$3</f>
        <v>0.27887668606789456</v>
      </c>
      <c r="S1937" s="3">
        <f>(Таблица1[Кредитный рейтинг]-$AA$7)/($AA$8-$AA$7)</f>
        <v>0.94673768308921435</v>
      </c>
      <c r="T1937" s="3">
        <f>(Таблица1[Срок с последнего нарушения кредитного договора (мес,)]-$AA$12)/($AA$13-$AA$12)</f>
        <v>0.40074137090909095</v>
      </c>
      <c r="U1937" s="3">
        <f>(Таблица1[Количество кредитных карт]-$AA$18)/($AA$19-$AA$18)</f>
        <v>4.7619047619047616E-2</v>
      </c>
      <c r="V1937" s="3">
        <f>(Таблица1[Число нарушений кредитных договоров]-$AA$23)/($AA$24-$AA$23)</f>
        <v>0</v>
      </c>
      <c r="W1937" s="3">
        <f>Таблица1[[#This Row],[Годовой доход]]/12</f>
        <v>125810.08333333333</v>
      </c>
      <c r="X1937" s="3">
        <f>Таблица1[[#This Row],[Ежемесячный платеж]]/Таблица1[[#This Row],[Ежем доход]]</f>
        <v>2.5099736971268202E-2</v>
      </c>
      <c r="Y1937" s="3"/>
      <c r="Z1937" s="3"/>
      <c r="AA1937" s="3"/>
      <c r="AB1937" s="3"/>
    </row>
    <row r="1938" spans="1:28" x14ac:dyDescent="0.2">
      <c r="A1938">
        <v>261</v>
      </c>
      <c r="B1938" t="s">
        <v>303</v>
      </c>
      <c r="C1938" t="s">
        <v>35</v>
      </c>
      <c r="D1938" t="s">
        <v>19</v>
      </c>
      <c r="E1938" t="s">
        <v>37</v>
      </c>
      <c r="F1938" t="s">
        <v>33</v>
      </c>
      <c r="G1938" t="s">
        <v>25</v>
      </c>
      <c r="H1938" s="1">
        <v>441628</v>
      </c>
      <c r="I1938" s="3">
        <v>0</v>
      </c>
      <c r="J1938" s="3">
        <v>1168044</v>
      </c>
      <c r="K1938" s="3">
        <v>34469.61</v>
      </c>
      <c r="L1938" s="2">
        <v>16</v>
      </c>
      <c r="M1938" s="11">
        <v>46</v>
      </c>
      <c r="N1938" s="3">
        <v>5</v>
      </c>
      <c r="O1938" s="3">
        <v>58482</v>
      </c>
      <c r="P1938" s="3">
        <v>90530</v>
      </c>
      <c r="Q1938" s="10">
        <v>0</v>
      </c>
      <c r="R1938" s="3">
        <f>(Таблица1[Размер кредита]-$AA$2)/$AA$3</f>
        <v>0.75170366505519359</v>
      </c>
      <c r="S1938" s="3">
        <f>(Таблица1[Кредитный рейтинг]-$AA$7)/($AA$8-$AA$7)</f>
        <v>0</v>
      </c>
      <c r="T1938" s="3">
        <f>(Таблица1[Срок с последнего нарушения кредитного договора (мес,)]-$AA$12)/($AA$13-$AA$12)</f>
        <v>0.52272727272727271</v>
      </c>
      <c r="U1938" s="3">
        <f>(Таблица1[Количество кредитных карт]-$AA$18)/($AA$19-$AA$18)</f>
        <v>9.5238095238095233E-2</v>
      </c>
      <c r="V1938" s="3">
        <f>(Таблица1[Число нарушений кредитных договоров]-$AA$23)/($AA$24-$AA$23)</f>
        <v>0</v>
      </c>
      <c r="W1938" s="3">
        <f>Таблица1[[#This Row],[Годовой доход]]/12</f>
        <v>97337</v>
      </c>
      <c r="X1938" s="3">
        <f>Таблица1[[#This Row],[Ежемесячный платеж]]/Таблица1[[#This Row],[Ежем доход]]</f>
        <v>0.35412648838571148</v>
      </c>
      <c r="Y1938" s="3"/>
      <c r="Z1938" s="3"/>
      <c r="AA1938" s="3"/>
      <c r="AB1938" s="3"/>
    </row>
    <row r="1939" spans="1:28" x14ac:dyDescent="0.2">
      <c r="A1939">
        <v>975</v>
      </c>
      <c r="B1939" t="s">
        <v>1015</v>
      </c>
      <c r="C1939" t="s">
        <v>18</v>
      </c>
      <c r="D1939" t="s">
        <v>29</v>
      </c>
      <c r="E1939" t="s">
        <v>41</v>
      </c>
      <c r="F1939" t="s">
        <v>33</v>
      </c>
      <c r="G1939" t="s">
        <v>22</v>
      </c>
      <c r="H1939" s="1">
        <v>92642</v>
      </c>
      <c r="I1939" s="3">
        <v>689</v>
      </c>
      <c r="J1939" s="3">
        <v>571539</v>
      </c>
      <c r="K1939" s="3">
        <v>5924.96</v>
      </c>
      <c r="L1939" s="2">
        <v>12.1</v>
      </c>
      <c r="M1939" s="11">
        <v>10</v>
      </c>
      <c r="N1939" s="3">
        <v>6</v>
      </c>
      <c r="O1939" s="3">
        <v>26961</v>
      </c>
      <c r="P1939" s="3">
        <v>90464</v>
      </c>
      <c r="Q1939" s="10">
        <v>0</v>
      </c>
      <c r="R1939" s="3">
        <f>(Таблица1[Размер кредита]-$AA$2)/$AA$3</f>
        <v>-1.2351716641303756</v>
      </c>
      <c r="S1939" s="3">
        <f>(Таблица1[Кредитный рейтинг]-$AA$7)/($AA$8-$AA$7)</f>
        <v>0.91744340878828234</v>
      </c>
      <c r="T1939" s="3">
        <f>(Таблица1[Срок с последнего нарушения кредитного договора (мес,)]-$AA$12)/($AA$13-$AA$12)</f>
        <v>0.11363636363636363</v>
      </c>
      <c r="U1939" s="3">
        <f>(Таблица1[Количество кредитных карт]-$AA$18)/($AA$19-$AA$18)</f>
        <v>0.11904761904761904</v>
      </c>
      <c r="V1939" s="3">
        <f>(Таблица1[Число нарушений кредитных договоров]-$AA$23)/($AA$24-$AA$23)</f>
        <v>0</v>
      </c>
      <c r="W1939" s="3">
        <f>Таблица1[[#This Row],[Годовой доход]]/12</f>
        <v>47628.25</v>
      </c>
      <c r="X1939" s="3">
        <f>Таблица1[[#This Row],[Ежемесячный платеж]]/Таблица1[[#This Row],[Ежем доход]]</f>
        <v>0.12440011967687245</v>
      </c>
      <c r="Y1939" s="3"/>
      <c r="Z1939" s="3"/>
      <c r="AA1939" s="3"/>
      <c r="AB1939" s="3"/>
    </row>
    <row r="1940" spans="1:28" x14ac:dyDescent="0.2">
      <c r="A1940">
        <v>804</v>
      </c>
      <c r="B1940" t="s">
        <v>845</v>
      </c>
      <c r="C1940" t="s">
        <v>18</v>
      </c>
      <c r="D1940" t="s">
        <v>19</v>
      </c>
      <c r="E1940" t="s">
        <v>41</v>
      </c>
      <c r="F1940" t="s">
        <v>33</v>
      </c>
      <c r="G1940" t="s">
        <v>25</v>
      </c>
      <c r="H1940" s="1">
        <v>109582</v>
      </c>
      <c r="I1940" s="3">
        <v>744</v>
      </c>
      <c r="J1940" s="3">
        <v>813903</v>
      </c>
      <c r="K1940" s="3">
        <v>11665.81</v>
      </c>
      <c r="L1940" s="2">
        <v>8.6999999999999993</v>
      </c>
      <c r="M1940" s="11">
        <v>35.265240640000002</v>
      </c>
      <c r="N1940" s="3">
        <v>6</v>
      </c>
      <c r="O1940" s="3">
        <v>16910</v>
      </c>
      <c r="P1940" s="3">
        <v>89760</v>
      </c>
      <c r="Q1940" s="10">
        <v>0</v>
      </c>
      <c r="R1940" s="3">
        <f>(Таблица1[Размер кредита]-$AA$2)/$AA$3</f>
        <v>-1.1387274856349532</v>
      </c>
      <c r="S1940" s="3">
        <f>(Таблица1[Кредитный рейтинг]-$AA$7)/($AA$8-$AA$7)</f>
        <v>0.99067909454061254</v>
      </c>
      <c r="T1940" s="3">
        <f>(Таблица1[Срок с последнего нарушения кредитного договора (мес,)]-$AA$12)/($AA$13-$AA$12)</f>
        <v>0.40074137090909095</v>
      </c>
      <c r="U1940" s="3">
        <f>(Таблица1[Количество кредитных карт]-$AA$18)/($AA$19-$AA$18)</f>
        <v>0.11904761904761904</v>
      </c>
      <c r="V1940" s="3">
        <f>(Таблица1[Число нарушений кредитных договоров]-$AA$23)/($AA$24-$AA$23)</f>
        <v>0</v>
      </c>
      <c r="W1940" s="3">
        <f>Таблица1[[#This Row],[Годовой доход]]/12</f>
        <v>67825.25</v>
      </c>
      <c r="X1940" s="3">
        <f>Таблица1[[#This Row],[Ежемесячный платеж]]/Таблица1[[#This Row],[Ежем доход]]</f>
        <v>0.17199803907836683</v>
      </c>
      <c r="Y1940" s="3"/>
      <c r="Z1940" s="3"/>
      <c r="AA1940" s="3"/>
      <c r="AB1940" s="3"/>
    </row>
    <row r="1941" spans="1:28" x14ac:dyDescent="0.2">
      <c r="A1941">
        <v>815</v>
      </c>
      <c r="B1941" t="s">
        <v>856</v>
      </c>
      <c r="C1941" t="s">
        <v>35</v>
      </c>
      <c r="D1941" t="s">
        <v>19</v>
      </c>
      <c r="E1941" t="s">
        <v>30</v>
      </c>
      <c r="F1941" t="s">
        <v>33</v>
      </c>
      <c r="G1941" t="s">
        <v>25</v>
      </c>
      <c r="H1941" s="1">
        <v>262988</v>
      </c>
      <c r="I1941" s="3">
        <v>721</v>
      </c>
      <c r="J1941" s="3">
        <v>794960</v>
      </c>
      <c r="K1941" s="3">
        <v>18880.490000000002</v>
      </c>
      <c r="L1941" s="2">
        <v>15.4</v>
      </c>
      <c r="M1941" s="11">
        <v>81</v>
      </c>
      <c r="N1941" s="3">
        <v>6</v>
      </c>
      <c r="O1941" s="3">
        <v>30267</v>
      </c>
      <c r="P1941" s="3">
        <v>87626</v>
      </c>
      <c r="Q1941" s="10">
        <v>0</v>
      </c>
      <c r="R1941" s="3">
        <f>(Таблица1[Размер кредита]-$AA$2)/$AA$3</f>
        <v>-0.26534403544198998</v>
      </c>
      <c r="S1941" s="3">
        <f>(Таблица1[Кредитный рейтинг]-$AA$7)/($AA$8-$AA$7)</f>
        <v>0.96005326231691079</v>
      </c>
      <c r="T1941" s="3">
        <f>(Таблица1[Срок с последнего нарушения кредитного договора (мес,)]-$AA$12)/($AA$13-$AA$12)</f>
        <v>0.92045454545454541</v>
      </c>
      <c r="U1941" s="3">
        <f>(Таблица1[Количество кредитных карт]-$AA$18)/($AA$19-$AA$18)</f>
        <v>0.11904761904761904</v>
      </c>
      <c r="V1941" s="3">
        <f>(Таблица1[Число нарушений кредитных договоров]-$AA$23)/($AA$24-$AA$23)</f>
        <v>0</v>
      </c>
      <c r="W1941" s="3">
        <f>Таблица1[[#This Row],[Годовой доход]]/12</f>
        <v>66246.666666666672</v>
      </c>
      <c r="X1941" s="3">
        <f>Таблица1[[#This Row],[Ежемесячный платеж]]/Таблица1[[#This Row],[Ежем доход]]</f>
        <v>0.28500286806883368</v>
      </c>
      <c r="Y1941" s="3"/>
      <c r="Z1941" s="3"/>
      <c r="AA1941" s="3"/>
      <c r="AB1941" s="3"/>
    </row>
    <row r="1942" spans="1:28" x14ac:dyDescent="0.2">
      <c r="A1942">
        <v>729</v>
      </c>
      <c r="B1942" t="s">
        <v>770</v>
      </c>
      <c r="C1942" t="s">
        <v>35</v>
      </c>
      <c r="D1942" t="s">
        <v>19</v>
      </c>
      <c r="E1942" t="s">
        <v>52</v>
      </c>
      <c r="F1942" t="s">
        <v>33</v>
      </c>
      <c r="G1942" t="s">
        <v>70</v>
      </c>
      <c r="H1942" s="1">
        <v>111122</v>
      </c>
      <c r="I1942" s="3">
        <v>693</v>
      </c>
      <c r="J1942" s="3">
        <v>767752</v>
      </c>
      <c r="K1942" s="3">
        <v>4184.18</v>
      </c>
      <c r="L1942" s="2">
        <v>10.1</v>
      </c>
      <c r="M1942" s="11">
        <v>35.265240640000002</v>
      </c>
      <c r="N1942" s="3">
        <v>3</v>
      </c>
      <c r="O1942" s="3">
        <v>35701</v>
      </c>
      <c r="P1942" s="3">
        <v>86658</v>
      </c>
      <c r="Q1942" s="10">
        <v>0</v>
      </c>
      <c r="R1942" s="3">
        <f>(Таблица1[Размер кредита]-$AA$2)/$AA$3</f>
        <v>-1.1299598330444602</v>
      </c>
      <c r="S1942" s="3">
        <f>(Таблица1[Кредитный рейтинг]-$AA$7)/($AA$8-$AA$7)</f>
        <v>0.92276964047936083</v>
      </c>
      <c r="T1942" s="3">
        <f>(Таблица1[Срок с последнего нарушения кредитного договора (мес,)]-$AA$12)/($AA$13-$AA$12)</f>
        <v>0.40074137090909095</v>
      </c>
      <c r="U1942" s="3">
        <f>(Таблица1[Количество кредитных карт]-$AA$18)/($AA$19-$AA$18)</f>
        <v>4.7619047619047616E-2</v>
      </c>
      <c r="V1942" s="3">
        <f>(Таблица1[Число нарушений кредитных договоров]-$AA$23)/($AA$24-$AA$23)</f>
        <v>0</v>
      </c>
      <c r="W1942" s="3">
        <f>Таблица1[[#This Row],[Годовой доход]]/12</f>
        <v>63979.333333333336</v>
      </c>
      <c r="X1942" s="3">
        <f>Таблица1[[#This Row],[Ежемесячный платеж]]/Таблица1[[#This Row],[Ежем доход]]</f>
        <v>6.5398930904771335E-2</v>
      </c>
      <c r="Y1942" s="3"/>
      <c r="Z1942" s="3"/>
      <c r="AA1942" s="3"/>
      <c r="AB1942" s="3"/>
    </row>
    <row r="1943" spans="1:28" x14ac:dyDescent="0.2">
      <c r="A1943">
        <v>126</v>
      </c>
      <c r="B1943" t="s">
        <v>168</v>
      </c>
      <c r="C1943" t="s">
        <v>35</v>
      </c>
      <c r="D1943" t="s">
        <v>19</v>
      </c>
      <c r="E1943" t="s">
        <v>30</v>
      </c>
      <c r="F1943" t="s">
        <v>21</v>
      </c>
      <c r="G1943" t="s">
        <v>25</v>
      </c>
      <c r="H1943" s="1">
        <v>446094</v>
      </c>
      <c r="I1943" s="3">
        <v>0</v>
      </c>
      <c r="J1943" s="3">
        <v>1168044</v>
      </c>
      <c r="K1943" s="3">
        <v>30975.51</v>
      </c>
      <c r="L1943" s="2">
        <v>7</v>
      </c>
      <c r="M1943" s="11">
        <v>0</v>
      </c>
      <c r="N1943" s="3">
        <v>9</v>
      </c>
      <c r="O1943" s="3">
        <v>76</v>
      </c>
      <c r="P1943" s="3">
        <v>85998</v>
      </c>
      <c r="Q1943" s="10">
        <v>0</v>
      </c>
      <c r="R1943" s="3">
        <f>(Таблица1[Размер кредита]-$AA$2)/$AA$3</f>
        <v>0.77712985756762321</v>
      </c>
      <c r="S1943" s="3">
        <f>(Таблица1[Кредитный рейтинг]-$AA$7)/($AA$8-$AA$7)</f>
        <v>0</v>
      </c>
      <c r="T1943" s="3">
        <f>(Таблица1[Срок с последнего нарушения кредитного договора (мес,)]-$AA$12)/($AA$13-$AA$12)</f>
        <v>0</v>
      </c>
      <c r="U1943" s="3">
        <f>(Таблица1[Количество кредитных карт]-$AA$18)/($AA$19-$AA$18)</f>
        <v>0.19047619047619047</v>
      </c>
      <c r="V1943" s="3">
        <f>(Таблица1[Число нарушений кредитных договоров]-$AA$23)/($AA$24-$AA$23)</f>
        <v>0</v>
      </c>
      <c r="W1943" s="3">
        <f>Таблица1[[#This Row],[Годовой доход]]/12</f>
        <v>97337</v>
      </c>
      <c r="X1943" s="3">
        <f>Таблица1[[#This Row],[Ежемесячный платеж]]/Таблица1[[#This Row],[Ежем доход]]</f>
        <v>0.31822955299629124</v>
      </c>
      <c r="Y1943" s="3"/>
      <c r="Z1943" s="3"/>
      <c r="AA1943" s="3"/>
      <c r="AB1943" s="3"/>
    </row>
    <row r="1944" spans="1:28" x14ac:dyDescent="0.2">
      <c r="A1944">
        <v>596</v>
      </c>
      <c r="B1944" t="s">
        <v>637</v>
      </c>
      <c r="C1944" t="s">
        <v>18</v>
      </c>
      <c r="D1944" t="s">
        <v>19</v>
      </c>
      <c r="E1944" t="s">
        <v>47</v>
      </c>
      <c r="F1944" t="s">
        <v>21</v>
      </c>
      <c r="G1944" t="s">
        <v>25</v>
      </c>
      <c r="H1944" s="1">
        <v>109582</v>
      </c>
      <c r="I1944" s="3">
        <v>744</v>
      </c>
      <c r="J1944" s="3">
        <v>1514224</v>
      </c>
      <c r="K1944" s="3">
        <v>10637.34</v>
      </c>
      <c r="L1944" s="2">
        <v>10.1</v>
      </c>
      <c r="M1944" s="11">
        <v>35.265240640000002</v>
      </c>
      <c r="N1944" s="3">
        <v>7</v>
      </c>
      <c r="O1944" s="3">
        <v>23294</v>
      </c>
      <c r="P1944" s="3">
        <v>85382</v>
      </c>
      <c r="Q1944" s="10">
        <v>0</v>
      </c>
      <c r="R1944" s="3">
        <f>(Таблица1[Размер кредита]-$AA$2)/$AA$3</f>
        <v>-1.1387274856349532</v>
      </c>
      <c r="S1944" s="3">
        <f>(Таблица1[Кредитный рейтинг]-$AA$7)/($AA$8-$AA$7)</f>
        <v>0.99067909454061254</v>
      </c>
      <c r="T1944" s="3">
        <f>(Таблица1[Срок с последнего нарушения кредитного договора (мес,)]-$AA$12)/($AA$13-$AA$12)</f>
        <v>0.40074137090909095</v>
      </c>
      <c r="U1944" s="3">
        <f>(Таблица1[Количество кредитных карт]-$AA$18)/($AA$19-$AA$18)</f>
        <v>0.14285714285714285</v>
      </c>
      <c r="V1944" s="3">
        <f>(Таблица1[Число нарушений кредитных договоров]-$AA$23)/($AA$24-$AA$23)</f>
        <v>0</v>
      </c>
      <c r="W1944" s="3">
        <f>Таблица1[[#This Row],[Годовой доход]]/12</f>
        <v>126185.33333333333</v>
      </c>
      <c r="X1944" s="3">
        <f>Таблица1[[#This Row],[Ежемесячный платеж]]/Таблица1[[#This Row],[Ежем доход]]</f>
        <v>8.4299337482433248E-2</v>
      </c>
      <c r="Y1944" s="3"/>
      <c r="Z1944" s="3"/>
      <c r="AA1944" s="3"/>
      <c r="AB1944" s="3"/>
    </row>
    <row r="1945" spans="1:28" x14ac:dyDescent="0.2">
      <c r="A1945">
        <v>859</v>
      </c>
      <c r="B1945" t="s">
        <v>900</v>
      </c>
      <c r="C1945" t="s">
        <v>18</v>
      </c>
      <c r="D1945" t="s">
        <v>19</v>
      </c>
      <c r="E1945" t="s">
        <v>32</v>
      </c>
      <c r="F1945" t="s">
        <v>33</v>
      </c>
      <c r="G1945" t="s">
        <v>25</v>
      </c>
      <c r="H1945" s="1">
        <v>134882</v>
      </c>
      <c r="I1945" s="3">
        <v>738</v>
      </c>
      <c r="J1945" s="3">
        <v>990223</v>
      </c>
      <c r="K1945" s="3">
        <v>13780.51</v>
      </c>
      <c r="L1945" s="2">
        <v>22.6</v>
      </c>
      <c r="M1945" s="11">
        <v>30</v>
      </c>
      <c r="N1945" s="3">
        <v>12</v>
      </c>
      <c r="O1945" s="3">
        <v>33326</v>
      </c>
      <c r="P1945" s="3">
        <v>85338</v>
      </c>
      <c r="Q1945" s="10">
        <v>0</v>
      </c>
      <c r="R1945" s="3">
        <f>(Таблица1[Размер кредита]-$AA$2)/$AA$3</f>
        <v>-0.99468747879114017</v>
      </c>
      <c r="S1945" s="3">
        <f>(Таблица1[Кредитный рейтинг]-$AA$7)/($AA$8-$AA$7)</f>
        <v>0.9826897470039947</v>
      </c>
      <c r="T1945" s="3">
        <f>(Таблица1[Срок с последнего нарушения кредитного договора (мес,)]-$AA$12)/($AA$13-$AA$12)</f>
        <v>0.34090909090909088</v>
      </c>
      <c r="U1945" s="3">
        <f>(Таблица1[Количество кредитных карт]-$AA$18)/($AA$19-$AA$18)</f>
        <v>0.26190476190476192</v>
      </c>
      <c r="V1945" s="3">
        <f>(Таблица1[Число нарушений кредитных договоров]-$AA$23)/($AA$24-$AA$23)</f>
        <v>0</v>
      </c>
      <c r="W1945" s="3">
        <f>Таблица1[[#This Row],[Годовой доход]]/12</f>
        <v>82518.583333333328</v>
      </c>
      <c r="X1945" s="3">
        <f>Таблица1[[#This Row],[Ежемесячный платеж]]/Таблица1[[#This Row],[Ежем доход]]</f>
        <v>0.16699886793176891</v>
      </c>
      <c r="Y1945" s="3"/>
      <c r="Z1945" s="3"/>
      <c r="AA1945" s="3"/>
      <c r="AB1945" s="3"/>
    </row>
    <row r="1946" spans="1:28" x14ac:dyDescent="0.2">
      <c r="A1946">
        <v>1899</v>
      </c>
      <c r="B1946" t="s">
        <v>1935</v>
      </c>
      <c r="C1946" t="s">
        <v>18</v>
      </c>
      <c r="D1946" t="s">
        <v>19</v>
      </c>
      <c r="E1946" t="s">
        <v>63</v>
      </c>
      <c r="F1946" t="s">
        <v>21</v>
      </c>
      <c r="G1946" t="s">
        <v>22</v>
      </c>
      <c r="H1946" s="1">
        <v>78034</v>
      </c>
      <c r="I1946" s="3">
        <v>732</v>
      </c>
      <c r="J1946" s="3">
        <v>936130</v>
      </c>
      <c r="K1946" s="3">
        <v>1739.64</v>
      </c>
      <c r="L1946" s="2">
        <v>13</v>
      </c>
      <c r="M1946" s="11">
        <v>35.265240640000002</v>
      </c>
      <c r="N1946" s="3">
        <v>2</v>
      </c>
      <c r="O1946" s="3">
        <v>39615</v>
      </c>
      <c r="P1946" s="3">
        <v>82368</v>
      </c>
      <c r="Q1946" s="10">
        <v>0</v>
      </c>
      <c r="R1946" s="3">
        <f>(Таблица1[Размер кредита]-$AA$2)/$AA$3</f>
        <v>-1.3183391115601946</v>
      </c>
      <c r="S1946" s="3">
        <f>(Таблица1[Кредитный рейтинг]-$AA$7)/($AA$8-$AA$7)</f>
        <v>0.97470039946737685</v>
      </c>
      <c r="T1946" s="3">
        <f>(Таблица1[Срок с последнего нарушения кредитного договора (мес,)]-$AA$12)/($AA$13-$AA$12)</f>
        <v>0.40074137090909095</v>
      </c>
      <c r="U1946" s="3">
        <f>(Таблица1[Количество кредитных карт]-$AA$18)/($AA$19-$AA$18)</f>
        <v>2.3809523809523808E-2</v>
      </c>
      <c r="V1946" s="3">
        <f>(Таблица1[Число нарушений кредитных договоров]-$AA$23)/($AA$24-$AA$23)</f>
        <v>0</v>
      </c>
      <c r="W1946" s="3">
        <f>Таблица1[[#This Row],[Годовой доход]]/12</f>
        <v>78010.833333333328</v>
      </c>
      <c r="X1946" s="3">
        <f>Таблица1[[#This Row],[Ежемесячный платеж]]/Таблица1[[#This Row],[Ежем доход]]</f>
        <v>2.2299979703673638E-2</v>
      </c>
      <c r="Y1946" s="3"/>
      <c r="Z1946" s="3"/>
      <c r="AA1946" s="3"/>
      <c r="AB1946" s="3"/>
    </row>
    <row r="1947" spans="1:28" x14ac:dyDescent="0.2">
      <c r="A1947">
        <v>650</v>
      </c>
      <c r="B1947" t="s">
        <v>691</v>
      </c>
      <c r="C1947" t="s">
        <v>35</v>
      </c>
      <c r="D1947" t="s">
        <v>19</v>
      </c>
      <c r="E1947" t="s">
        <v>41</v>
      </c>
      <c r="F1947" t="s">
        <v>33</v>
      </c>
      <c r="G1947" t="s">
        <v>67</v>
      </c>
      <c r="H1947" s="1">
        <v>32230</v>
      </c>
      <c r="I1947" s="3">
        <v>0</v>
      </c>
      <c r="J1947" s="3">
        <v>1168044</v>
      </c>
      <c r="K1947" s="3">
        <v>5679.1</v>
      </c>
      <c r="L1947" s="2">
        <v>11.3</v>
      </c>
      <c r="M1947" s="11">
        <v>23</v>
      </c>
      <c r="N1947" s="3">
        <v>6</v>
      </c>
      <c r="O1947" s="3">
        <v>52364</v>
      </c>
      <c r="P1947" s="3">
        <v>79464</v>
      </c>
      <c r="Q1947" s="10">
        <v>1</v>
      </c>
      <c r="R1947" s="3">
        <f>(Таблица1[Размер кредита]-$AA$2)/$AA$3</f>
        <v>-1.5791141500374282</v>
      </c>
      <c r="S1947" s="3">
        <f>(Таблица1[Кредитный рейтинг]-$AA$7)/($AA$8-$AA$7)</f>
        <v>0</v>
      </c>
      <c r="T1947" s="3">
        <f>(Таблица1[Срок с последнего нарушения кредитного договора (мес,)]-$AA$12)/($AA$13-$AA$12)</f>
        <v>0.26136363636363635</v>
      </c>
      <c r="U1947" s="3">
        <f>(Таблица1[Количество кредитных карт]-$AA$18)/($AA$19-$AA$18)</f>
        <v>0.11904761904761904</v>
      </c>
      <c r="V1947" s="3">
        <f>(Таблица1[Число нарушений кредитных договоров]-$AA$23)/($AA$24-$AA$23)</f>
        <v>0.14285714285714285</v>
      </c>
      <c r="W1947" s="3">
        <f>Таблица1[[#This Row],[Годовой доход]]/12</f>
        <v>97337</v>
      </c>
      <c r="X1947" s="3">
        <f>Таблица1[[#This Row],[Ежемесячный платеж]]/Таблица1[[#This Row],[Ежем доход]]</f>
        <v>5.8344719890689054E-2</v>
      </c>
      <c r="Y1947" s="3"/>
      <c r="Z1947" s="3"/>
      <c r="AA1947" s="3"/>
      <c r="AB1947" s="3"/>
    </row>
    <row r="1948" spans="1:28" x14ac:dyDescent="0.2">
      <c r="A1948">
        <v>1120</v>
      </c>
      <c r="B1948" s="4" t="s">
        <v>1159</v>
      </c>
      <c r="C1948" t="s">
        <v>35</v>
      </c>
      <c r="D1948" t="s">
        <v>19</v>
      </c>
      <c r="E1948" t="s">
        <v>47</v>
      </c>
      <c r="F1948" t="s">
        <v>33</v>
      </c>
      <c r="G1948" t="s">
        <v>25</v>
      </c>
      <c r="H1948" s="1">
        <v>78694</v>
      </c>
      <c r="I1948" s="3">
        <v>0</v>
      </c>
      <c r="J1948" s="3">
        <v>1168044</v>
      </c>
      <c r="K1948" s="3">
        <v>12015.98</v>
      </c>
      <c r="L1948" s="2">
        <v>7.8</v>
      </c>
      <c r="M1948" s="11">
        <v>7</v>
      </c>
      <c r="N1948" s="3">
        <v>5</v>
      </c>
      <c r="O1948" s="3">
        <v>3363</v>
      </c>
      <c r="P1948" s="3">
        <v>79398</v>
      </c>
      <c r="Q1948" s="10">
        <v>0</v>
      </c>
      <c r="R1948" s="3">
        <f>(Таблица1[Размер кредита]-$AA$2)/$AA$3</f>
        <v>-1.3145815461642691</v>
      </c>
      <c r="S1948" s="3">
        <f>(Таблица1[Кредитный рейтинг]-$AA$7)/($AA$8-$AA$7)</f>
        <v>0</v>
      </c>
      <c r="T1948" s="3">
        <f>(Таблица1[Срок с последнего нарушения кредитного договора (мес,)]-$AA$12)/($AA$13-$AA$12)</f>
        <v>7.9545454545454544E-2</v>
      </c>
      <c r="U1948" s="3">
        <f>(Таблица1[Количество кредитных карт]-$AA$18)/($AA$19-$AA$18)</f>
        <v>9.5238095238095233E-2</v>
      </c>
      <c r="V1948" s="3">
        <f>(Таблица1[Число нарушений кредитных договоров]-$AA$23)/($AA$24-$AA$23)</f>
        <v>0</v>
      </c>
      <c r="W1948" s="3">
        <f>Таблица1[[#This Row],[Годовой доход]]/12</f>
        <v>97337</v>
      </c>
      <c r="X1948" s="3">
        <f>Таблица1[[#This Row],[Ежемесячный платеж]]/Таблица1[[#This Row],[Ежем доход]]</f>
        <v>0.12344719890689049</v>
      </c>
      <c r="Y1948" s="3"/>
      <c r="Z1948" s="3"/>
      <c r="AA1948" s="3"/>
      <c r="AB1948" s="3"/>
    </row>
    <row r="1949" spans="1:28" x14ac:dyDescent="0.2">
      <c r="A1949">
        <v>936</v>
      </c>
      <c r="B1949" t="s">
        <v>977</v>
      </c>
      <c r="C1949" t="s">
        <v>35</v>
      </c>
      <c r="D1949" t="s">
        <v>29</v>
      </c>
      <c r="E1949" t="s">
        <v>20</v>
      </c>
      <c r="F1949" t="s">
        <v>21</v>
      </c>
      <c r="G1949" t="s">
        <v>22</v>
      </c>
      <c r="H1949" s="1">
        <v>448316</v>
      </c>
      <c r="I1949" s="3">
        <v>0</v>
      </c>
      <c r="J1949" s="3">
        <v>1168044</v>
      </c>
      <c r="K1949" s="3">
        <v>18487.95</v>
      </c>
      <c r="L1949" s="2">
        <v>19.5</v>
      </c>
      <c r="M1949" s="11">
        <v>35.265240640000002</v>
      </c>
      <c r="N1949" s="3">
        <v>5</v>
      </c>
      <c r="O1949" s="3">
        <v>64182</v>
      </c>
      <c r="P1949" s="3">
        <v>78474</v>
      </c>
      <c r="Q1949" s="10">
        <v>0</v>
      </c>
      <c r="R1949" s="3">
        <f>(Таблица1[Размер кредита]-$AA$2)/$AA$3</f>
        <v>0.78978032773390583</v>
      </c>
      <c r="S1949" s="3">
        <f>(Таблица1[Кредитный рейтинг]-$AA$7)/($AA$8-$AA$7)</f>
        <v>0</v>
      </c>
      <c r="T1949" s="3">
        <f>(Таблица1[Срок с последнего нарушения кредитного договора (мес,)]-$AA$12)/($AA$13-$AA$12)</f>
        <v>0.40074137090909095</v>
      </c>
      <c r="U1949" s="3">
        <f>(Таблица1[Количество кредитных карт]-$AA$18)/($AA$19-$AA$18)</f>
        <v>9.5238095238095233E-2</v>
      </c>
      <c r="V1949" s="3">
        <f>(Таблица1[Число нарушений кредитных договоров]-$AA$23)/($AA$24-$AA$23)</f>
        <v>0</v>
      </c>
      <c r="W1949" s="3">
        <f>Таблица1[[#This Row],[Годовой доход]]/12</f>
        <v>97337</v>
      </c>
      <c r="X1949" s="3">
        <f>Таблица1[[#This Row],[Ежемесячный платеж]]/Таблица1[[#This Row],[Ежем доход]]</f>
        <v>0.18993753659964865</v>
      </c>
      <c r="Y1949" s="3"/>
      <c r="Z1949" s="3"/>
      <c r="AA1949" s="3"/>
      <c r="AB1949" s="3"/>
    </row>
    <row r="1950" spans="1:28" x14ac:dyDescent="0.2">
      <c r="A1950">
        <v>1995</v>
      </c>
      <c r="B1950" t="s">
        <v>2031</v>
      </c>
      <c r="C1950" t="s">
        <v>18</v>
      </c>
      <c r="D1950" t="s">
        <v>19</v>
      </c>
      <c r="E1950" t="s">
        <v>41</v>
      </c>
      <c r="F1950" t="s">
        <v>33</v>
      </c>
      <c r="G1950" t="s">
        <v>25</v>
      </c>
      <c r="H1950" s="1">
        <v>49038</v>
      </c>
      <c r="I1950" s="3">
        <v>716</v>
      </c>
      <c r="J1950" s="3">
        <v>577467</v>
      </c>
      <c r="K1950" s="3">
        <v>7795.89</v>
      </c>
      <c r="L1950" s="2">
        <v>8.6</v>
      </c>
      <c r="M1950" s="11">
        <v>35.265240640000002</v>
      </c>
      <c r="N1950" s="3">
        <v>7</v>
      </c>
      <c r="O1950" s="3">
        <v>47652</v>
      </c>
      <c r="P1950" s="3">
        <v>77066</v>
      </c>
      <c r="Q1950" s="10">
        <v>0</v>
      </c>
      <c r="R1950" s="3">
        <f>(Таблица1[Размер кредита]-$AA$2)/$AA$3</f>
        <v>-1.4834214846211906</v>
      </c>
      <c r="S1950" s="3">
        <f>(Таблица1[Кредитный рейтинг]-$AA$7)/($AA$8-$AA$7)</f>
        <v>0.95339547270306257</v>
      </c>
      <c r="T1950" s="3">
        <f>(Таблица1[Срок с последнего нарушения кредитного договора (мес,)]-$AA$12)/($AA$13-$AA$12)</f>
        <v>0.40074137090909095</v>
      </c>
      <c r="U1950" s="3">
        <f>(Таблица1[Количество кредитных карт]-$AA$18)/($AA$19-$AA$18)</f>
        <v>0.14285714285714285</v>
      </c>
      <c r="V1950" s="3">
        <f>(Таблица1[Число нарушений кредитных договоров]-$AA$23)/($AA$24-$AA$23)</f>
        <v>0</v>
      </c>
      <c r="W1950" s="3">
        <f>Таблица1[[#This Row],[Годовой доход]]/12</f>
        <v>48122.25</v>
      </c>
      <c r="X1950" s="3">
        <f>Таблица1[[#This Row],[Ежемесячный платеж]]/Таблица1[[#This Row],[Ежем доход]]</f>
        <v>0.16200177672490376</v>
      </c>
      <c r="Y1950" s="3"/>
      <c r="Z1950" s="3"/>
      <c r="AA1950" s="3"/>
      <c r="AB1950" s="3"/>
    </row>
    <row r="1951" spans="1:28" x14ac:dyDescent="0.2">
      <c r="A1951">
        <v>1469</v>
      </c>
      <c r="B1951" t="s">
        <v>1508</v>
      </c>
      <c r="C1951" t="s">
        <v>18</v>
      </c>
      <c r="D1951" t="s">
        <v>19</v>
      </c>
      <c r="E1951" t="s">
        <v>24</v>
      </c>
      <c r="F1951" t="s">
        <v>21</v>
      </c>
      <c r="G1951" t="s">
        <v>25</v>
      </c>
      <c r="H1951" s="1">
        <v>39776</v>
      </c>
      <c r="I1951" s="3">
        <v>0</v>
      </c>
      <c r="J1951" s="3">
        <v>1168044</v>
      </c>
      <c r="K1951" s="3">
        <v>12255.38</v>
      </c>
      <c r="L1951" s="2">
        <v>14.8</v>
      </c>
      <c r="M1951" s="11">
        <v>66</v>
      </c>
      <c r="N1951" s="3">
        <v>6</v>
      </c>
      <c r="O1951" s="3">
        <v>23484</v>
      </c>
      <c r="P1951" s="3">
        <v>72908</v>
      </c>
      <c r="Q1951" s="10">
        <v>0</v>
      </c>
      <c r="R1951" s="3">
        <f>(Таблица1[Размер кредита]-$AA$2)/$AA$3</f>
        <v>-1.5361526523440125</v>
      </c>
      <c r="S1951" s="3">
        <f>(Таблица1[Кредитный рейтинг]-$AA$7)/($AA$8-$AA$7)</f>
        <v>0</v>
      </c>
      <c r="T1951" s="3">
        <f>(Таблица1[Срок с последнего нарушения кредитного договора (мес,)]-$AA$12)/($AA$13-$AA$12)</f>
        <v>0.75</v>
      </c>
      <c r="U1951" s="3">
        <f>(Таблица1[Количество кредитных карт]-$AA$18)/($AA$19-$AA$18)</f>
        <v>0.11904761904761904</v>
      </c>
      <c r="V1951" s="3">
        <f>(Таблица1[Число нарушений кредитных договоров]-$AA$23)/($AA$24-$AA$23)</f>
        <v>0</v>
      </c>
      <c r="W1951" s="3">
        <f>Таблица1[[#This Row],[Годовой доход]]/12</f>
        <v>97337</v>
      </c>
      <c r="X1951" s="3">
        <f>Таблица1[[#This Row],[Ежемесячный платеж]]/Таблица1[[#This Row],[Ежем доход]]</f>
        <v>0.12590669529572515</v>
      </c>
      <c r="Y1951" s="3"/>
      <c r="Z1951" s="3"/>
      <c r="AA1951" s="3"/>
      <c r="AB1951" s="3"/>
    </row>
    <row r="1952" spans="1:28" x14ac:dyDescent="0.2">
      <c r="A1952">
        <v>1967</v>
      </c>
      <c r="B1952" t="s">
        <v>2003</v>
      </c>
      <c r="C1952" t="s">
        <v>18</v>
      </c>
      <c r="D1952" t="s">
        <v>19</v>
      </c>
      <c r="E1952" t="s">
        <v>52</v>
      </c>
      <c r="F1952" t="s">
        <v>21</v>
      </c>
      <c r="G1952" t="s">
        <v>25</v>
      </c>
      <c r="H1952" s="1">
        <v>109406</v>
      </c>
      <c r="I1952" s="3">
        <v>732</v>
      </c>
      <c r="J1952" s="3">
        <v>944775</v>
      </c>
      <c r="K1952" s="3">
        <v>17084.8</v>
      </c>
      <c r="L1952" s="2">
        <v>21.2</v>
      </c>
      <c r="M1952" s="11">
        <v>27</v>
      </c>
      <c r="N1952" s="3">
        <v>6</v>
      </c>
      <c r="O1952" s="3">
        <v>58653</v>
      </c>
      <c r="P1952" s="3">
        <v>72182</v>
      </c>
      <c r="Q1952" s="10">
        <v>0</v>
      </c>
      <c r="R1952" s="3">
        <f>(Таблица1[Размер кредита]-$AA$2)/$AA$3</f>
        <v>-1.1397295030738666</v>
      </c>
      <c r="S1952" s="3">
        <f>(Таблица1[Кредитный рейтинг]-$AA$7)/($AA$8-$AA$7)</f>
        <v>0.97470039946737685</v>
      </c>
      <c r="T1952" s="3">
        <f>(Таблица1[Срок с последнего нарушения кредитного договора (мес,)]-$AA$12)/($AA$13-$AA$12)</f>
        <v>0.30681818181818182</v>
      </c>
      <c r="U1952" s="3">
        <f>(Таблица1[Количество кредитных карт]-$AA$18)/($AA$19-$AA$18)</f>
        <v>0.11904761904761904</v>
      </c>
      <c r="V1952" s="3">
        <f>(Таблица1[Число нарушений кредитных договоров]-$AA$23)/($AA$24-$AA$23)</f>
        <v>0</v>
      </c>
      <c r="W1952" s="3">
        <f>Таблица1[[#This Row],[Годовой доход]]/12</f>
        <v>78731.25</v>
      </c>
      <c r="X1952" s="3">
        <f>Таблица1[[#This Row],[Ежемесячный платеж]]/Таблица1[[#This Row],[Ежем доход]]</f>
        <v>0.21700150829562592</v>
      </c>
      <c r="Y1952" s="3"/>
      <c r="Z1952" s="3"/>
      <c r="AA1952" s="3"/>
      <c r="AB1952" s="3"/>
    </row>
    <row r="1953" spans="1:28" x14ac:dyDescent="0.2">
      <c r="A1953">
        <v>439</v>
      </c>
      <c r="B1953" t="s">
        <v>480</v>
      </c>
      <c r="C1953" t="s">
        <v>18</v>
      </c>
      <c r="D1953" t="s">
        <v>19</v>
      </c>
      <c r="E1953" t="s">
        <v>41</v>
      </c>
      <c r="F1953" t="s">
        <v>33</v>
      </c>
      <c r="G1953" t="s">
        <v>25</v>
      </c>
      <c r="H1953" s="1">
        <v>94534</v>
      </c>
      <c r="I1953" s="3">
        <v>718</v>
      </c>
      <c r="J1953" s="3">
        <v>777556</v>
      </c>
      <c r="K1953" s="3">
        <v>12894.35</v>
      </c>
      <c r="L1953" s="2">
        <v>8.6999999999999993</v>
      </c>
      <c r="M1953" s="11">
        <v>35.265240640000002</v>
      </c>
      <c r="N1953" s="3">
        <v>8</v>
      </c>
      <c r="O1953" s="3">
        <v>49286</v>
      </c>
      <c r="P1953" s="3">
        <v>72050</v>
      </c>
      <c r="Q1953" s="10">
        <v>0</v>
      </c>
      <c r="R1953" s="3">
        <f>(Таблица1[Размер кредита]-$AA$2)/$AA$3</f>
        <v>-1.2243999766620557</v>
      </c>
      <c r="S1953" s="3">
        <f>(Таблица1[Кредитный рейтинг]-$AA$7)/($AA$8-$AA$7)</f>
        <v>0.95605858854860182</v>
      </c>
      <c r="T1953" s="3">
        <f>(Таблица1[Срок с последнего нарушения кредитного договора (мес,)]-$AA$12)/($AA$13-$AA$12)</f>
        <v>0.40074137090909095</v>
      </c>
      <c r="U1953" s="3">
        <f>(Таблица1[Количество кредитных карт]-$AA$18)/($AA$19-$AA$18)</f>
        <v>0.16666666666666666</v>
      </c>
      <c r="V1953" s="3">
        <f>(Таблица1[Число нарушений кредитных договоров]-$AA$23)/($AA$24-$AA$23)</f>
        <v>0</v>
      </c>
      <c r="W1953" s="3">
        <f>Таблица1[[#This Row],[Годовой доход]]/12</f>
        <v>64796.333333333336</v>
      </c>
      <c r="X1953" s="3">
        <f>Таблица1[[#This Row],[Ежемесячный платеж]]/Таблица1[[#This Row],[Ежем доход]]</f>
        <v>0.19899814289903234</v>
      </c>
      <c r="Y1953" s="3"/>
      <c r="Z1953" s="3"/>
      <c r="AA1953" s="3"/>
      <c r="AB1953" s="3"/>
    </row>
    <row r="1954" spans="1:28" x14ac:dyDescent="0.2">
      <c r="A1954">
        <v>116</v>
      </c>
      <c r="B1954" t="s">
        <v>158</v>
      </c>
      <c r="C1954" t="s">
        <v>18</v>
      </c>
      <c r="D1954" t="s">
        <v>29</v>
      </c>
      <c r="E1954" t="s">
        <v>24</v>
      </c>
      <c r="F1954" t="s">
        <v>21</v>
      </c>
      <c r="G1954" t="s">
        <v>22</v>
      </c>
      <c r="H1954" s="1">
        <v>354046</v>
      </c>
      <c r="I1954" s="3">
        <v>676</v>
      </c>
      <c r="J1954" s="3">
        <v>1815469</v>
      </c>
      <c r="K1954" s="3">
        <v>5522.16</v>
      </c>
      <c r="L1954" s="2">
        <v>13</v>
      </c>
      <c r="M1954" s="11">
        <v>6</v>
      </c>
      <c r="N1954" s="3">
        <v>6</v>
      </c>
      <c r="O1954" s="3">
        <v>20976</v>
      </c>
      <c r="P1954" s="3">
        <v>70840</v>
      </c>
      <c r="Q1954" s="10">
        <v>0</v>
      </c>
      <c r="R1954" s="3">
        <f>(Таблица1[Размер кредита]-$AA$2)/$AA$3</f>
        <v>0.25307473701587241</v>
      </c>
      <c r="S1954" s="3">
        <f>(Таблица1[Кредитный рейтинг]-$AA$7)/($AA$8-$AA$7)</f>
        <v>0.90013315579227693</v>
      </c>
      <c r="T1954" s="3">
        <f>(Таблица1[Срок с последнего нарушения кредитного договора (мес,)]-$AA$12)/($AA$13-$AA$12)</f>
        <v>6.8181818181818177E-2</v>
      </c>
      <c r="U1954" s="3">
        <f>(Таблица1[Количество кредитных карт]-$AA$18)/($AA$19-$AA$18)</f>
        <v>0.11904761904761904</v>
      </c>
      <c r="V1954" s="3">
        <f>(Таблица1[Число нарушений кредитных договоров]-$AA$23)/($AA$24-$AA$23)</f>
        <v>0</v>
      </c>
      <c r="W1954" s="3">
        <f>Таблица1[[#This Row],[Годовой доход]]/12</f>
        <v>151289.08333333334</v>
      </c>
      <c r="X1954" s="3">
        <f>Таблица1[[#This Row],[Ежемесячный платеж]]/Таблица1[[#This Row],[Ежем доход]]</f>
        <v>3.6500716894642647E-2</v>
      </c>
      <c r="Y1954" s="3"/>
      <c r="Z1954" s="3"/>
      <c r="AA1954" s="3"/>
      <c r="AB1954" s="3"/>
    </row>
    <row r="1955" spans="1:28" x14ac:dyDescent="0.2">
      <c r="A1955">
        <v>1426</v>
      </c>
      <c r="B1955" t="s">
        <v>1465</v>
      </c>
      <c r="C1955" t="s">
        <v>18</v>
      </c>
      <c r="D1955" t="s">
        <v>19</v>
      </c>
      <c r="E1955" t="s">
        <v>24</v>
      </c>
      <c r="F1955" t="s">
        <v>21</v>
      </c>
      <c r="G1955" t="s">
        <v>22</v>
      </c>
      <c r="H1955" s="1">
        <v>110286</v>
      </c>
      <c r="I1955" s="3">
        <v>736</v>
      </c>
      <c r="J1955" s="3">
        <v>969513</v>
      </c>
      <c r="K1955" s="3">
        <v>12280.46</v>
      </c>
      <c r="L1955" s="2">
        <v>9.6</v>
      </c>
      <c r="M1955" s="11">
        <v>35.265240640000002</v>
      </c>
      <c r="N1955" s="3">
        <v>6</v>
      </c>
      <c r="O1955" s="3">
        <v>31160</v>
      </c>
      <c r="P1955" s="3">
        <v>70620</v>
      </c>
      <c r="Q1955" s="10">
        <v>0</v>
      </c>
      <c r="R1955" s="3">
        <f>(Таблица1[Размер кредита]-$AA$2)/$AA$3</f>
        <v>-1.1347194158792993</v>
      </c>
      <c r="S1955" s="3">
        <f>(Таблица1[Кредитный рейтинг]-$AA$7)/($AA$8-$AA$7)</f>
        <v>0.98002663115845534</v>
      </c>
      <c r="T1955" s="3">
        <f>(Таблица1[Срок с последнего нарушения кредитного договора (мес,)]-$AA$12)/($AA$13-$AA$12)</f>
        <v>0.40074137090909095</v>
      </c>
      <c r="U1955" s="3">
        <f>(Таблица1[Количество кредитных карт]-$AA$18)/($AA$19-$AA$18)</f>
        <v>0.11904761904761904</v>
      </c>
      <c r="V1955" s="3">
        <f>(Таблица1[Число нарушений кредитных договоров]-$AA$23)/($AA$24-$AA$23)</f>
        <v>0</v>
      </c>
      <c r="W1955" s="3">
        <f>Таблица1[[#This Row],[Годовой доход]]/12</f>
        <v>80792.75</v>
      </c>
      <c r="X1955" s="3">
        <f>Таблица1[[#This Row],[Ежемесячный платеж]]/Таблица1[[#This Row],[Ежем доход]]</f>
        <v>0.15199952966076782</v>
      </c>
      <c r="Y1955" s="3"/>
      <c r="Z1955" s="3"/>
      <c r="AA1955" s="3"/>
      <c r="AB1955" s="3"/>
    </row>
    <row r="1956" spans="1:28" x14ac:dyDescent="0.2">
      <c r="A1956">
        <v>862</v>
      </c>
      <c r="B1956" t="s">
        <v>903</v>
      </c>
      <c r="C1956" t="s">
        <v>18</v>
      </c>
      <c r="D1956" t="s">
        <v>19</v>
      </c>
      <c r="E1956" t="s">
        <v>24</v>
      </c>
      <c r="F1956" t="s">
        <v>21</v>
      </c>
      <c r="G1956" t="s">
        <v>22</v>
      </c>
      <c r="H1956" s="1">
        <v>64856</v>
      </c>
      <c r="I1956" s="3">
        <v>722</v>
      </c>
      <c r="J1956" s="3">
        <v>1306991</v>
      </c>
      <c r="K1956" s="3">
        <v>15139.2</v>
      </c>
      <c r="L1956" s="2">
        <v>24.5</v>
      </c>
      <c r="M1956" s="11">
        <v>31</v>
      </c>
      <c r="N1956" s="3">
        <v>4</v>
      </c>
      <c r="O1956" s="3">
        <v>51813</v>
      </c>
      <c r="P1956" s="3">
        <v>69212</v>
      </c>
      <c r="Q1956" s="10">
        <v>0</v>
      </c>
      <c r="R1956" s="3">
        <f>(Таблица1[Размер кредита]-$AA$2)/$AA$3</f>
        <v>-1.3933651672988416</v>
      </c>
      <c r="S1956" s="3">
        <f>(Таблица1[Кредитный рейтинг]-$AA$7)/($AA$8-$AA$7)</f>
        <v>0.96138482023968042</v>
      </c>
      <c r="T1956" s="3">
        <f>(Таблица1[Срок с последнего нарушения кредитного договора (мес,)]-$AA$12)/($AA$13-$AA$12)</f>
        <v>0.35227272727272729</v>
      </c>
      <c r="U1956" s="3">
        <f>(Таблица1[Количество кредитных карт]-$AA$18)/($AA$19-$AA$18)</f>
        <v>7.1428571428571425E-2</v>
      </c>
      <c r="V1956" s="3">
        <f>(Таблица1[Число нарушений кредитных договоров]-$AA$23)/($AA$24-$AA$23)</f>
        <v>0</v>
      </c>
      <c r="W1956" s="3">
        <f>Таблица1[[#This Row],[Годовой доход]]/12</f>
        <v>108915.91666666667</v>
      </c>
      <c r="X1956" s="3">
        <f>Таблица1[[#This Row],[Ежемесячный платеж]]/Таблица1[[#This Row],[Ежем доход]]</f>
        <v>0.13899896785823315</v>
      </c>
      <c r="Y1956" s="3"/>
      <c r="Z1956" s="3"/>
      <c r="AA1956" s="3"/>
      <c r="AB1956" s="3"/>
    </row>
    <row r="1957" spans="1:28" x14ac:dyDescent="0.2">
      <c r="A1957">
        <v>1974</v>
      </c>
      <c r="B1957" s="4" t="s">
        <v>2010</v>
      </c>
      <c r="C1957" t="s">
        <v>18</v>
      </c>
      <c r="D1957" t="s">
        <v>19</v>
      </c>
      <c r="E1957" t="s">
        <v>63</v>
      </c>
      <c r="F1957" t="s">
        <v>33</v>
      </c>
      <c r="G1957" t="s">
        <v>67</v>
      </c>
      <c r="H1957" s="1">
        <v>33484</v>
      </c>
      <c r="I1957" s="3">
        <v>722</v>
      </c>
      <c r="J1957" s="3">
        <v>1530108</v>
      </c>
      <c r="K1957" s="3">
        <v>18871.37</v>
      </c>
      <c r="L1957" s="2">
        <v>10</v>
      </c>
      <c r="M1957" s="11">
        <v>24</v>
      </c>
      <c r="N1957" s="3">
        <v>19</v>
      </c>
      <c r="O1957" s="3">
        <v>21964</v>
      </c>
      <c r="P1957" s="3">
        <v>69102</v>
      </c>
      <c r="Q1957" s="10">
        <v>0</v>
      </c>
      <c r="R1957" s="3">
        <f>(Таблица1[Размер кредита]-$AA$2)/$AA$3</f>
        <v>-1.5719747757851696</v>
      </c>
      <c r="S1957" s="3">
        <f>(Таблица1[Кредитный рейтинг]-$AA$7)/($AA$8-$AA$7)</f>
        <v>0.96138482023968042</v>
      </c>
      <c r="T1957" s="3">
        <f>(Таблица1[Срок с последнего нарушения кредитного договора (мес,)]-$AA$12)/($AA$13-$AA$12)</f>
        <v>0.27272727272727271</v>
      </c>
      <c r="U1957" s="3">
        <f>(Таблица1[Количество кредитных карт]-$AA$18)/($AA$19-$AA$18)</f>
        <v>0.42857142857142855</v>
      </c>
      <c r="V1957" s="3">
        <f>(Таблица1[Число нарушений кредитных договоров]-$AA$23)/($AA$24-$AA$23)</f>
        <v>0</v>
      </c>
      <c r="W1957" s="3">
        <f>Таблица1[[#This Row],[Годовой доход]]/12</f>
        <v>127509</v>
      </c>
      <c r="X1957" s="3">
        <f>Таблица1[[#This Row],[Ежемесячный платеж]]/Таблица1[[#This Row],[Ежем доход]]</f>
        <v>0.1480002980181791</v>
      </c>
      <c r="Y1957" s="3"/>
      <c r="Z1957" s="3"/>
      <c r="AA1957" s="3"/>
      <c r="AB1957" s="3"/>
    </row>
    <row r="1958" spans="1:28" x14ac:dyDescent="0.2">
      <c r="A1958">
        <v>1227</v>
      </c>
      <c r="B1958" t="s">
        <v>1266</v>
      </c>
      <c r="C1958" t="s">
        <v>35</v>
      </c>
      <c r="D1958" t="s">
        <v>19</v>
      </c>
      <c r="E1958" t="s">
        <v>37</v>
      </c>
      <c r="F1958" t="s">
        <v>33</v>
      </c>
      <c r="G1958" t="s">
        <v>25</v>
      </c>
      <c r="H1958" s="1">
        <v>80234</v>
      </c>
      <c r="I1958" s="3">
        <v>730</v>
      </c>
      <c r="J1958" s="3">
        <v>461928</v>
      </c>
      <c r="K1958" s="3">
        <v>7660.23</v>
      </c>
      <c r="L1958" s="2">
        <v>8</v>
      </c>
      <c r="M1958" s="11">
        <v>35.265240640000002</v>
      </c>
      <c r="N1958" s="3">
        <v>12</v>
      </c>
      <c r="O1958" s="3">
        <v>47994</v>
      </c>
      <c r="P1958" s="3">
        <v>66880</v>
      </c>
      <c r="Q1958" s="10">
        <v>0</v>
      </c>
      <c r="R1958" s="3">
        <f>(Таблица1[Размер кредита]-$AA$2)/$AA$3</f>
        <v>-1.3058138935737762</v>
      </c>
      <c r="S1958" s="3">
        <f>(Таблица1[Кредитный рейтинг]-$AA$7)/($AA$8-$AA$7)</f>
        <v>0.9720372836218375</v>
      </c>
      <c r="T1958" s="3">
        <f>(Таблица1[Срок с последнего нарушения кредитного договора (мес,)]-$AA$12)/($AA$13-$AA$12)</f>
        <v>0.40074137090909095</v>
      </c>
      <c r="U1958" s="3">
        <f>(Таблица1[Количество кредитных карт]-$AA$18)/($AA$19-$AA$18)</f>
        <v>0.26190476190476192</v>
      </c>
      <c r="V1958" s="3">
        <f>(Таблица1[Число нарушений кредитных договоров]-$AA$23)/($AA$24-$AA$23)</f>
        <v>0</v>
      </c>
      <c r="W1958" s="3">
        <f>Таблица1[[#This Row],[Годовой доход]]/12</f>
        <v>38494</v>
      </c>
      <c r="X1958" s="3">
        <f>Таблица1[[#This Row],[Ежемесячный платеж]]/Таблица1[[#This Row],[Ежем доход]]</f>
        <v>0.19899802566633759</v>
      </c>
      <c r="Y1958" s="3"/>
      <c r="Z1958" s="3"/>
      <c r="AA1958" s="3"/>
      <c r="AB1958" s="3"/>
    </row>
    <row r="1959" spans="1:28" x14ac:dyDescent="0.2">
      <c r="A1959">
        <v>1927</v>
      </c>
      <c r="B1959" t="s">
        <v>1963</v>
      </c>
      <c r="C1959" t="s">
        <v>35</v>
      </c>
      <c r="D1959" t="s">
        <v>29</v>
      </c>
      <c r="E1959" t="s">
        <v>32</v>
      </c>
      <c r="F1959" t="s">
        <v>21</v>
      </c>
      <c r="G1959" t="s">
        <v>22</v>
      </c>
      <c r="H1959" s="1">
        <v>165616</v>
      </c>
      <c r="I1959" s="3">
        <v>740</v>
      </c>
      <c r="J1959" s="3">
        <v>1087009</v>
      </c>
      <c r="K1959" s="3">
        <v>4212.3</v>
      </c>
      <c r="L1959" s="2">
        <v>15.2</v>
      </c>
      <c r="M1959" s="11">
        <v>35.265240640000002</v>
      </c>
      <c r="N1959" s="3">
        <v>4</v>
      </c>
      <c r="O1959" s="3">
        <v>24054</v>
      </c>
      <c r="P1959" s="3">
        <v>66286</v>
      </c>
      <c r="Q1959" s="10">
        <v>0</v>
      </c>
      <c r="R1959" s="3">
        <f>(Таблица1[Размер кредита]-$AA$2)/$AA$3</f>
        <v>-0.81971018352087355</v>
      </c>
      <c r="S1959" s="3">
        <f>(Таблица1[Кредитный рейтинг]-$AA$7)/($AA$8-$AA$7)</f>
        <v>0.98535286284953394</v>
      </c>
      <c r="T1959" s="3">
        <f>(Таблица1[Срок с последнего нарушения кредитного договора (мес,)]-$AA$12)/($AA$13-$AA$12)</f>
        <v>0.40074137090909095</v>
      </c>
      <c r="U1959" s="3">
        <f>(Таблица1[Количество кредитных карт]-$AA$18)/($AA$19-$AA$18)</f>
        <v>7.1428571428571425E-2</v>
      </c>
      <c r="V1959" s="3">
        <f>(Таблица1[Число нарушений кредитных договоров]-$AA$23)/($AA$24-$AA$23)</f>
        <v>0</v>
      </c>
      <c r="W1959" s="3">
        <f>Таблица1[[#This Row],[Годовой доход]]/12</f>
        <v>90584.083333333328</v>
      </c>
      <c r="X1959" s="3">
        <f>Таблица1[[#This Row],[Ежемесячный платеж]]/Таблица1[[#This Row],[Ежем доход]]</f>
        <v>4.6501546905315418E-2</v>
      </c>
      <c r="Y1959" s="3"/>
      <c r="Z1959" s="3"/>
      <c r="AA1959" s="3"/>
      <c r="AB1959" s="3"/>
    </row>
    <row r="1960" spans="1:28" x14ac:dyDescent="0.2">
      <c r="A1960">
        <v>642</v>
      </c>
      <c r="B1960" t="s">
        <v>683</v>
      </c>
      <c r="C1960" t="s">
        <v>35</v>
      </c>
      <c r="D1960" t="s">
        <v>29</v>
      </c>
      <c r="E1960" t="s">
        <v>41</v>
      </c>
      <c r="F1960" t="s">
        <v>33</v>
      </c>
      <c r="G1960" t="s">
        <v>25</v>
      </c>
      <c r="H1960" s="1">
        <v>220396</v>
      </c>
      <c r="I1960" s="3">
        <v>680</v>
      </c>
      <c r="J1960" s="3">
        <v>1903420</v>
      </c>
      <c r="K1960" s="3">
        <v>18240.95</v>
      </c>
      <c r="L1960" s="2">
        <v>15.8</v>
      </c>
      <c r="M1960" s="11">
        <v>12</v>
      </c>
      <c r="N1960" s="3">
        <v>9</v>
      </c>
      <c r="O1960" s="3">
        <v>57608</v>
      </c>
      <c r="P1960" s="3">
        <v>66110</v>
      </c>
      <c r="Q1960" s="10">
        <v>0</v>
      </c>
      <c r="R1960" s="3">
        <f>(Таблица1[Размер кредита]-$AA$2)/$AA$3</f>
        <v>-0.50783225565905243</v>
      </c>
      <c r="S1960" s="3">
        <f>(Таблица1[Кредитный рейтинг]-$AA$7)/($AA$8-$AA$7)</f>
        <v>0.90545938748335553</v>
      </c>
      <c r="T1960" s="3">
        <f>(Таблица1[Срок с последнего нарушения кредитного договора (мес,)]-$AA$12)/($AA$13-$AA$12)</f>
        <v>0.13636363636363635</v>
      </c>
      <c r="U1960" s="3">
        <f>(Таблица1[Количество кредитных карт]-$AA$18)/($AA$19-$AA$18)</f>
        <v>0.19047619047619047</v>
      </c>
      <c r="V1960" s="3">
        <f>(Таблица1[Число нарушений кредитных договоров]-$AA$23)/($AA$24-$AA$23)</f>
        <v>0</v>
      </c>
      <c r="W1960" s="3">
        <f>Таблица1[[#This Row],[Годовой доход]]/12</f>
        <v>158618.33333333334</v>
      </c>
      <c r="X1960" s="3">
        <f>Таблица1[[#This Row],[Ежемесячный платеж]]/Таблица1[[#This Row],[Ежем доход]]</f>
        <v>0.11499900179676582</v>
      </c>
      <c r="Y1960" s="3"/>
      <c r="Z1960" s="3"/>
      <c r="AA1960" s="3"/>
      <c r="AB1960" s="3"/>
    </row>
    <row r="1961" spans="1:28" x14ac:dyDescent="0.2">
      <c r="A1961">
        <v>823</v>
      </c>
      <c r="B1961" t="s">
        <v>864</v>
      </c>
      <c r="C1961" t="s">
        <v>18</v>
      </c>
      <c r="D1961" t="s">
        <v>19</v>
      </c>
      <c r="E1961" t="s">
        <v>47</v>
      </c>
      <c r="F1961" t="s">
        <v>33</v>
      </c>
      <c r="G1961" t="s">
        <v>25</v>
      </c>
      <c r="H1961" s="1">
        <v>134684</v>
      </c>
      <c r="I1961" s="3">
        <v>735</v>
      </c>
      <c r="J1961" s="3">
        <v>579899</v>
      </c>
      <c r="K1961" s="3">
        <v>7345.4</v>
      </c>
      <c r="L1961" s="2">
        <v>10.6</v>
      </c>
      <c r="M1961" s="11">
        <v>38</v>
      </c>
      <c r="N1961" s="3">
        <v>5</v>
      </c>
      <c r="O1961" s="3">
        <v>30115</v>
      </c>
      <c r="P1961" s="3">
        <v>65032</v>
      </c>
      <c r="Q1961" s="10">
        <v>0</v>
      </c>
      <c r="R1961" s="3">
        <f>(Таблица1[Размер кредита]-$AA$2)/$AA$3</f>
        <v>-0.99581474840991779</v>
      </c>
      <c r="S1961" s="3">
        <f>(Таблица1[Кредитный рейтинг]-$AA$7)/($AA$8-$AA$7)</f>
        <v>0.97869507323568572</v>
      </c>
      <c r="T1961" s="3">
        <f>(Таблица1[Срок с последнего нарушения кредитного договора (мес,)]-$AA$12)/($AA$13-$AA$12)</f>
        <v>0.43181818181818182</v>
      </c>
      <c r="U1961" s="3">
        <f>(Таблица1[Количество кредитных карт]-$AA$18)/($AA$19-$AA$18)</f>
        <v>9.5238095238095233E-2</v>
      </c>
      <c r="V1961" s="3">
        <f>(Таблица1[Число нарушений кредитных договоров]-$AA$23)/($AA$24-$AA$23)</f>
        <v>0</v>
      </c>
      <c r="W1961" s="3">
        <f>Таблица1[[#This Row],[Годовой доход]]/12</f>
        <v>48324.916666666664</v>
      </c>
      <c r="X1961" s="3">
        <f>Таблица1[[#This Row],[Ежемесячный платеж]]/Таблица1[[#This Row],[Ежем доход]]</f>
        <v>0.15200026211460962</v>
      </c>
      <c r="Y1961" s="3"/>
      <c r="Z1961" s="3"/>
      <c r="AA1961" s="3"/>
      <c r="AB1961" s="3"/>
    </row>
    <row r="1962" spans="1:28" x14ac:dyDescent="0.2">
      <c r="A1962">
        <v>220</v>
      </c>
      <c r="B1962" t="s">
        <v>262</v>
      </c>
      <c r="C1962" t="s">
        <v>18</v>
      </c>
      <c r="D1962" t="s">
        <v>19</v>
      </c>
      <c r="E1962" t="s">
        <v>24</v>
      </c>
      <c r="F1962" t="s">
        <v>33</v>
      </c>
      <c r="G1962" t="s">
        <v>25</v>
      </c>
      <c r="H1962" s="1">
        <v>128832</v>
      </c>
      <c r="I1962" s="3">
        <v>719</v>
      </c>
      <c r="J1962" s="3">
        <v>1483520</v>
      </c>
      <c r="K1962" s="3">
        <v>8381.85</v>
      </c>
      <c r="L1962" s="2">
        <v>30.9</v>
      </c>
      <c r="M1962" s="11">
        <v>38</v>
      </c>
      <c r="N1962" s="3">
        <v>4</v>
      </c>
      <c r="O1962" s="3">
        <v>36708</v>
      </c>
      <c r="P1962" s="3">
        <v>64372</v>
      </c>
      <c r="Q1962" s="10">
        <v>0</v>
      </c>
      <c r="R1962" s="3">
        <f>(Таблица1[Размер кредита]-$AA$2)/$AA$3</f>
        <v>-1.0291318282537911</v>
      </c>
      <c r="S1962" s="3">
        <f>(Таблица1[Кредитный рейтинг]-$AA$7)/($AA$8-$AA$7)</f>
        <v>0.95739014647137155</v>
      </c>
      <c r="T1962" s="3">
        <f>(Таблица1[Срок с последнего нарушения кредитного договора (мес,)]-$AA$12)/($AA$13-$AA$12)</f>
        <v>0.43181818181818182</v>
      </c>
      <c r="U1962" s="3">
        <f>(Таблица1[Количество кредитных карт]-$AA$18)/($AA$19-$AA$18)</f>
        <v>7.1428571428571425E-2</v>
      </c>
      <c r="V1962" s="3">
        <f>(Таблица1[Число нарушений кредитных договоров]-$AA$23)/($AA$24-$AA$23)</f>
        <v>0</v>
      </c>
      <c r="W1962" s="3">
        <f>Таблица1[[#This Row],[Годовой доход]]/12</f>
        <v>123626.66666666667</v>
      </c>
      <c r="X1962" s="3">
        <f>Таблица1[[#This Row],[Ежемесячный платеж]]/Таблица1[[#This Row],[Ежем доход]]</f>
        <v>6.7799692622950825E-2</v>
      </c>
      <c r="Y1962" s="3"/>
      <c r="Z1962" s="3"/>
      <c r="AA1962" s="3"/>
      <c r="AB1962" s="3"/>
    </row>
    <row r="1963" spans="1:28" x14ac:dyDescent="0.2">
      <c r="A1963">
        <v>869</v>
      </c>
      <c r="B1963" t="s">
        <v>910</v>
      </c>
      <c r="C1963" t="s">
        <v>18</v>
      </c>
      <c r="D1963" t="s">
        <v>19</v>
      </c>
      <c r="E1963" t="s">
        <v>24</v>
      </c>
      <c r="F1963" t="s">
        <v>21</v>
      </c>
      <c r="G1963" t="s">
        <v>67</v>
      </c>
      <c r="H1963" s="1">
        <v>555060</v>
      </c>
      <c r="I1963" s="3">
        <v>699</v>
      </c>
      <c r="J1963" s="3">
        <v>1143610</v>
      </c>
      <c r="K1963" s="3">
        <v>15152.88</v>
      </c>
      <c r="L1963" s="2">
        <v>22.2</v>
      </c>
      <c r="M1963" s="11">
        <v>15</v>
      </c>
      <c r="N1963" s="3">
        <v>6</v>
      </c>
      <c r="O1963" s="3">
        <v>28690</v>
      </c>
      <c r="P1963" s="3">
        <v>64262</v>
      </c>
      <c r="Q1963" s="10">
        <v>0</v>
      </c>
      <c r="R1963" s="3">
        <f>(Таблица1[Размер кредита]-$AA$2)/$AA$3</f>
        <v>1.3975039044349322</v>
      </c>
      <c r="S1963" s="3">
        <f>(Таблица1[Кредитный рейтинг]-$AA$7)/($AA$8-$AA$7)</f>
        <v>0.93075898801597867</v>
      </c>
      <c r="T1963" s="3">
        <f>(Таблица1[Срок с последнего нарушения кредитного договора (мес,)]-$AA$12)/($AA$13-$AA$12)</f>
        <v>0.17045454545454544</v>
      </c>
      <c r="U1963" s="3">
        <f>(Таблица1[Количество кредитных карт]-$AA$18)/($AA$19-$AA$18)</f>
        <v>0.11904761904761904</v>
      </c>
      <c r="V1963" s="3">
        <f>(Таблица1[Число нарушений кредитных договоров]-$AA$23)/($AA$24-$AA$23)</f>
        <v>0</v>
      </c>
      <c r="W1963" s="3">
        <f>Таблица1[[#This Row],[Годовой доход]]/12</f>
        <v>95300.833333333328</v>
      </c>
      <c r="X1963" s="3">
        <f>Таблица1[[#This Row],[Ежемесячный платеж]]/Таблица1[[#This Row],[Ежем доход]]</f>
        <v>0.15900049842166472</v>
      </c>
      <c r="Y1963" s="3"/>
      <c r="Z1963" s="3"/>
      <c r="AA1963" s="3"/>
      <c r="AB1963" s="3"/>
    </row>
    <row r="1964" spans="1:28" x14ac:dyDescent="0.2">
      <c r="A1964">
        <v>1992</v>
      </c>
      <c r="B1964" t="s">
        <v>2028</v>
      </c>
      <c r="C1964" t="s">
        <v>35</v>
      </c>
      <c r="D1964" t="s">
        <v>29</v>
      </c>
      <c r="E1964" t="s">
        <v>32</v>
      </c>
      <c r="F1964" t="s">
        <v>33</v>
      </c>
      <c r="G1964" t="s">
        <v>70</v>
      </c>
      <c r="H1964" s="1">
        <v>337634</v>
      </c>
      <c r="I1964" s="3">
        <v>728</v>
      </c>
      <c r="J1964" s="3">
        <v>653144</v>
      </c>
      <c r="K1964" s="3">
        <v>4376.08</v>
      </c>
      <c r="L1964" s="2">
        <v>13.1</v>
      </c>
      <c r="M1964" s="11">
        <v>35.265240640000002</v>
      </c>
      <c r="N1964" s="3">
        <v>3</v>
      </c>
      <c r="O1964" s="3">
        <v>209</v>
      </c>
      <c r="P1964" s="3">
        <v>61908</v>
      </c>
      <c r="Q1964" s="10">
        <v>0</v>
      </c>
      <c r="R1964" s="3">
        <f>(Таблица1[Размер кредита]-$AA$2)/$AA$3</f>
        <v>0.1596366108371903</v>
      </c>
      <c r="S1964" s="3">
        <f>(Таблица1[Кредитный рейтинг]-$AA$7)/($AA$8-$AA$7)</f>
        <v>0.96937416777629826</v>
      </c>
      <c r="T1964" s="3">
        <f>(Таблица1[Срок с последнего нарушения кредитного договора (мес,)]-$AA$12)/($AA$13-$AA$12)</f>
        <v>0.40074137090909095</v>
      </c>
      <c r="U1964" s="3">
        <f>(Таблица1[Количество кредитных карт]-$AA$18)/($AA$19-$AA$18)</f>
        <v>4.7619047619047616E-2</v>
      </c>
      <c r="V1964" s="3">
        <f>(Таблица1[Число нарушений кредитных договоров]-$AA$23)/($AA$24-$AA$23)</f>
        <v>0</v>
      </c>
      <c r="W1964" s="3">
        <f>Таблица1[[#This Row],[Годовой доход]]/12</f>
        <v>54428.666666666664</v>
      </c>
      <c r="X1964" s="3">
        <f>Таблица1[[#This Row],[Ежемесячный платеж]]/Таблица1[[#This Row],[Ежем доход]]</f>
        <v>8.0400279264603219E-2</v>
      </c>
      <c r="Y1964" s="3"/>
      <c r="Z1964" s="3"/>
      <c r="AA1964" s="3"/>
      <c r="AB1964" s="3"/>
    </row>
    <row r="1965" spans="1:28" x14ac:dyDescent="0.2">
      <c r="A1965">
        <v>356</v>
      </c>
      <c r="B1965" t="s">
        <v>398</v>
      </c>
      <c r="C1965" t="s">
        <v>35</v>
      </c>
      <c r="D1965" t="s">
        <v>19</v>
      </c>
      <c r="E1965" t="s">
        <v>41</v>
      </c>
      <c r="F1965" t="s">
        <v>33</v>
      </c>
      <c r="G1965" t="s">
        <v>67</v>
      </c>
      <c r="H1965" s="1">
        <v>47806</v>
      </c>
      <c r="I1965" s="3">
        <v>671</v>
      </c>
      <c r="J1965" s="3">
        <v>835620</v>
      </c>
      <c r="K1965" s="3">
        <v>3070.97</v>
      </c>
      <c r="L1965" s="2">
        <v>12.8</v>
      </c>
      <c r="M1965" s="11">
        <v>12</v>
      </c>
      <c r="N1965" s="3">
        <v>10</v>
      </c>
      <c r="O1965" s="3">
        <v>48051</v>
      </c>
      <c r="P1965" s="3">
        <v>60764</v>
      </c>
      <c r="Q1965" s="10">
        <v>0</v>
      </c>
      <c r="R1965" s="3">
        <f>(Таблица1[Размер кредита]-$AA$2)/$AA$3</f>
        <v>-1.4904356066935851</v>
      </c>
      <c r="S1965" s="3">
        <f>(Таблица1[Кредитный рейтинг]-$AA$7)/($AA$8-$AA$7)</f>
        <v>0.89347536617842871</v>
      </c>
      <c r="T1965" s="3">
        <f>(Таблица1[Срок с последнего нарушения кредитного договора (мес,)]-$AA$12)/($AA$13-$AA$12)</f>
        <v>0.13636363636363635</v>
      </c>
      <c r="U1965" s="3">
        <f>(Таблица1[Количество кредитных карт]-$AA$18)/($AA$19-$AA$18)</f>
        <v>0.21428571428571427</v>
      </c>
      <c r="V1965" s="3">
        <f>(Таблица1[Число нарушений кредитных договоров]-$AA$23)/($AA$24-$AA$23)</f>
        <v>0</v>
      </c>
      <c r="W1965" s="3">
        <f>Таблица1[[#This Row],[Годовой доход]]/12</f>
        <v>69635</v>
      </c>
      <c r="X1965" s="3">
        <f>Таблица1[[#This Row],[Ежемесячный платеж]]/Таблица1[[#This Row],[Ежем доход]]</f>
        <v>4.4100954979536151E-2</v>
      </c>
      <c r="Y1965" s="3"/>
      <c r="Z1965" s="3"/>
      <c r="AA1965" s="3"/>
      <c r="AB1965" s="3"/>
    </row>
    <row r="1966" spans="1:28" x14ac:dyDescent="0.2">
      <c r="A1966">
        <v>1734</v>
      </c>
      <c r="B1966" t="s">
        <v>1772</v>
      </c>
      <c r="C1966" t="s">
        <v>18</v>
      </c>
      <c r="D1966" t="s">
        <v>19</v>
      </c>
      <c r="E1966" t="s">
        <v>69</v>
      </c>
      <c r="F1966" t="s">
        <v>33</v>
      </c>
      <c r="G1966" t="s">
        <v>25</v>
      </c>
      <c r="H1966" s="1">
        <v>86592</v>
      </c>
      <c r="I1966" s="3">
        <v>750</v>
      </c>
      <c r="J1966" s="3">
        <v>1065786</v>
      </c>
      <c r="K1966" s="3">
        <v>17407.8</v>
      </c>
      <c r="L1966" s="2">
        <v>11.8</v>
      </c>
      <c r="M1966" s="11">
        <v>35.265240640000002</v>
      </c>
      <c r="N1966" s="3">
        <v>6</v>
      </c>
      <c r="O1966" s="3">
        <v>35682</v>
      </c>
      <c r="P1966" s="3">
        <v>60654</v>
      </c>
      <c r="Q1966" s="10">
        <v>0</v>
      </c>
      <c r="R1966" s="3">
        <f>(Таблица1[Размер кредита]-$AA$2)/$AA$3</f>
        <v>-1.2696160135930266</v>
      </c>
      <c r="S1966" s="3">
        <f>(Таблица1[Кредитный рейтинг]-$AA$7)/($AA$8-$AA$7)</f>
        <v>0.99866844207723038</v>
      </c>
      <c r="T1966" s="3">
        <f>(Таблица1[Срок с последнего нарушения кредитного договора (мес,)]-$AA$12)/($AA$13-$AA$12)</f>
        <v>0.40074137090909095</v>
      </c>
      <c r="U1966" s="3">
        <f>(Таблица1[Количество кредитных карт]-$AA$18)/($AA$19-$AA$18)</f>
        <v>0.11904761904761904</v>
      </c>
      <c r="V1966" s="3">
        <f>(Таблица1[Число нарушений кредитных договоров]-$AA$23)/($AA$24-$AA$23)</f>
        <v>0</v>
      </c>
      <c r="W1966" s="3">
        <f>Таблица1[[#This Row],[Годовой доход]]/12</f>
        <v>88815.5</v>
      </c>
      <c r="X1966" s="3">
        <f>Таблица1[[#This Row],[Ежемесячный платеж]]/Таблица1[[#This Row],[Ежем доход]]</f>
        <v>0.19599957214675365</v>
      </c>
      <c r="Y1966" s="3"/>
      <c r="Z1966" s="3"/>
      <c r="AA1966" s="3"/>
      <c r="AB1966" s="3"/>
    </row>
    <row r="1967" spans="1:28" x14ac:dyDescent="0.2">
      <c r="A1967">
        <v>1954</v>
      </c>
      <c r="B1967" t="s">
        <v>1990</v>
      </c>
      <c r="C1967" t="s">
        <v>18</v>
      </c>
      <c r="D1967" t="s">
        <v>19</v>
      </c>
      <c r="E1967" t="s">
        <v>63</v>
      </c>
      <c r="F1967" t="s">
        <v>33</v>
      </c>
      <c r="G1967" t="s">
        <v>25</v>
      </c>
      <c r="H1967" s="1">
        <v>309594.52439999999</v>
      </c>
      <c r="I1967" s="3">
        <v>744</v>
      </c>
      <c r="J1967" s="3">
        <v>1331064</v>
      </c>
      <c r="K1967" s="3">
        <v>6145.17</v>
      </c>
      <c r="L1967" s="2">
        <v>13.7</v>
      </c>
      <c r="M1967" s="11">
        <v>29</v>
      </c>
      <c r="N1967" s="3">
        <v>3</v>
      </c>
      <c r="O1967" s="3">
        <v>2337</v>
      </c>
      <c r="P1967" s="3">
        <v>58872</v>
      </c>
      <c r="Q1967" s="10">
        <v>0</v>
      </c>
      <c r="R1967" s="3">
        <f>(Таблица1[Размер кредита]-$AA$2)/$AA$3</f>
        <v>-1.2411115481956205E-10</v>
      </c>
      <c r="S1967" s="3">
        <f>(Таблица1[Кредитный рейтинг]-$AA$7)/($AA$8-$AA$7)</f>
        <v>0.99067909454061254</v>
      </c>
      <c r="T1967" s="3">
        <f>(Таблица1[Срок с последнего нарушения кредитного договора (мес,)]-$AA$12)/($AA$13-$AA$12)</f>
        <v>0.32954545454545453</v>
      </c>
      <c r="U1967" s="3">
        <f>(Таблица1[Количество кредитных карт]-$AA$18)/($AA$19-$AA$18)</f>
        <v>4.7619047619047616E-2</v>
      </c>
      <c r="V1967" s="3">
        <f>(Таблица1[Число нарушений кредитных договоров]-$AA$23)/($AA$24-$AA$23)</f>
        <v>0</v>
      </c>
      <c r="W1967" s="3">
        <f>Таблица1[[#This Row],[Годовой доход]]/12</f>
        <v>110922</v>
      </c>
      <c r="X1967" s="3">
        <f>Таблица1[[#This Row],[Ежемесячный платеж]]/Таблица1[[#This Row],[Ежем доход]]</f>
        <v>5.5400822199383352E-2</v>
      </c>
      <c r="Y1967" s="3"/>
      <c r="Z1967" s="3"/>
      <c r="AA1967" s="3"/>
      <c r="AB1967" s="3"/>
    </row>
    <row r="1968" spans="1:28" x14ac:dyDescent="0.2">
      <c r="A1968">
        <v>30</v>
      </c>
      <c r="B1968" t="s">
        <v>66</v>
      </c>
      <c r="C1968" t="s">
        <v>18</v>
      </c>
      <c r="D1968" t="s">
        <v>19</v>
      </c>
      <c r="E1968" t="s">
        <v>24</v>
      </c>
      <c r="F1968" t="s">
        <v>21</v>
      </c>
      <c r="G1968" t="s">
        <v>67</v>
      </c>
      <c r="H1968" s="1">
        <v>107404</v>
      </c>
      <c r="I1968" s="3">
        <v>0</v>
      </c>
      <c r="J1968" s="3">
        <v>1168044</v>
      </c>
      <c r="K1968" s="3">
        <v>19238.07</v>
      </c>
      <c r="L1968" s="2">
        <v>43.7</v>
      </c>
      <c r="M1968" s="11">
        <v>35.265240640000002</v>
      </c>
      <c r="N1968" s="3">
        <v>5</v>
      </c>
      <c r="O1968" s="3">
        <v>28956</v>
      </c>
      <c r="P1968" s="3">
        <v>58014</v>
      </c>
      <c r="Q1968" s="10">
        <v>0</v>
      </c>
      <c r="R1968" s="3">
        <f>(Таблица1[Размер кредита]-$AA$2)/$AA$3</f>
        <v>-1.1511274514415075</v>
      </c>
      <c r="S1968" s="3">
        <f>(Таблица1[Кредитный рейтинг]-$AA$7)/($AA$8-$AA$7)</f>
        <v>0</v>
      </c>
      <c r="T1968" s="3">
        <f>(Таблица1[Срок с последнего нарушения кредитного договора (мес,)]-$AA$12)/($AA$13-$AA$12)</f>
        <v>0.40074137090909095</v>
      </c>
      <c r="U1968" s="3">
        <f>(Таблица1[Количество кредитных карт]-$AA$18)/($AA$19-$AA$18)</f>
        <v>9.5238095238095233E-2</v>
      </c>
      <c r="V1968" s="3">
        <f>(Таблица1[Число нарушений кредитных договоров]-$AA$23)/($AA$24-$AA$23)</f>
        <v>0</v>
      </c>
      <c r="W1968" s="3">
        <f>Таблица1[[#This Row],[Годовой доход]]/12</f>
        <v>97337</v>
      </c>
      <c r="X1968" s="3">
        <f>Таблица1[[#This Row],[Ежемесячный платеж]]/Таблица1[[#This Row],[Ежем доход]]</f>
        <v>0.19764395861799727</v>
      </c>
      <c r="Y1968" s="3"/>
      <c r="Z1968" s="3"/>
      <c r="AA1968" s="3"/>
      <c r="AB1968" s="3"/>
    </row>
    <row r="1969" spans="1:28" x14ac:dyDescent="0.2">
      <c r="A1969">
        <v>1522</v>
      </c>
      <c r="B1969" t="s">
        <v>1561</v>
      </c>
      <c r="C1969" t="s">
        <v>18</v>
      </c>
      <c r="D1969" t="s">
        <v>19</v>
      </c>
      <c r="E1969" t="s">
        <v>41</v>
      </c>
      <c r="F1969" t="s">
        <v>21</v>
      </c>
      <c r="G1969" t="s">
        <v>67</v>
      </c>
      <c r="H1969" s="1">
        <v>133914</v>
      </c>
      <c r="I1969" s="3">
        <v>699</v>
      </c>
      <c r="J1969" s="3">
        <v>1831182</v>
      </c>
      <c r="K1969" s="3">
        <v>17243.45</v>
      </c>
      <c r="L1969" s="2">
        <v>16.5</v>
      </c>
      <c r="M1969" s="11">
        <v>61</v>
      </c>
      <c r="N1969" s="3">
        <v>9</v>
      </c>
      <c r="O1969" s="3">
        <v>33364</v>
      </c>
      <c r="P1969" s="3">
        <v>58014</v>
      </c>
      <c r="Q1969" s="10">
        <v>1</v>
      </c>
      <c r="R1969" s="3">
        <f>(Таблица1[Размер кредита]-$AA$2)/$AA$3</f>
        <v>-1.0001985747051643</v>
      </c>
      <c r="S1969" s="3">
        <f>(Таблица1[Кредитный рейтинг]-$AA$7)/($AA$8-$AA$7)</f>
        <v>0.93075898801597867</v>
      </c>
      <c r="T1969" s="3">
        <f>(Таблица1[Срок с последнего нарушения кредитного договора (мес,)]-$AA$12)/($AA$13-$AA$12)</f>
        <v>0.69318181818181823</v>
      </c>
      <c r="U1969" s="3">
        <f>(Таблица1[Количество кредитных карт]-$AA$18)/($AA$19-$AA$18)</f>
        <v>0.19047619047619047</v>
      </c>
      <c r="V1969" s="3">
        <f>(Таблица1[Число нарушений кредитных договоров]-$AA$23)/($AA$24-$AA$23)</f>
        <v>0.14285714285714285</v>
      </c>
      <c r="W1969" s="3">
        <f>Таблица1[[#This Row],[Годовой доход]]/12</f>
        <v>152598.5</v>
      </c>
      <c r="X1969" s="3">
        <f>Таблица1[[#This Row],[Ежемесячный платеж]]/Таблица1[[#This Row],[Ежем доход]]</f>
        <v>0.11299881715744257</v>
      </c>
      <c r="Y1969" s="3"/>
      <c r="Z1969" s="3"/>
      <c r="AA1969" s="3"/>
      <c r="AB1969" s="3"/>
    </row>
    <row r="1970" spans="1:28" x14ac:dyDescent="0.2">
      <c r="A1970">
        <v>817</v>
      </c>
      <c r="B1970" t="s">
        <v>858</v>
      </c>
      <c r="C1970" t="s">
        <v>18</v>
      </c>
      <c r="D1970" t="s">
        <v>29</v>
      </c>
      <c r="E1970" t="s">
        <v>69</v>
      </c>
      <c r="F1970" t="s">
        <v>33</v>
      </c>
      <c r="G1970" t="s">
        <v>67</v>
      </c>
      <c r="H1970" s="1">
        <v>385308</v>
      </c>
      <c r="I1970" s="3">
        <v>678</v>
      </c>
      <c r="J1970" s="3">
        <v>1823715</v>
      </c>
      <c r="K1970" s="3">
        <v>6914.86</v>
      </c>
      <c r="L1970" s="2">
        <v>13</v>
      </c>
      <c r="M1970" s="11">
        <v>18</v>
      </c>
      <c r="N1970" s="3">
        <v>21</v>
      </c>
      <c r="O1970" s="3">
        <v>48944</v>
      </c>
      <c r="P1970" s="3">
        <v>57244</v>
      </c>
      <c r="Q1970" s="10">
        <v>0</v>
      </c>
      <c r="R1970" s="3">
        <f>(Таблица1[Размер кредита]-$AA$2)/$AA$3</f>
        <v>0.43105808460287953</v>
      </c>
      <c r="S1970" s="3">
        <f>(Таблица1[Кредитный рейтинг]-$AA$7)/($AA$8-$AA$7)</f>
        <v>0.90279627163781628</v>
      </c>
      <c r="T1970" s="3">
        <f>(Таблица1[Срок с последнего нарушения кредитного договора (мес,)]-$AA$12)/($AA$13-$AA$12)</f>
        <v>0.20454545454545456</v>
      </c>
      <c r="U1970" s="3">
        <f>(Таблица1[Количество кредитных карт]-$AA$18)/($AA$19-$AA$18)</f>
        <v>0.47619047619047616</v>
      </c>
      <c r="V1970" s="3">
        <f>(Таблица1[Число нарушений кредитных договоров]-$AA$23)/($AA$24-$AA$23)</f>
        <v>0</v>
      </c>
      <c r="W1970" s="3">
        <f>Таблица1[[#This Row],[Годовой доход]]/12</f>
        <v>151976.25</v>
      </c>
      <c r="X1970" s="3">
        <f>Таблица1[[#This Row],[Ежемесячный платеж]]/Таблица1[[#This Row],[Ежем доход]]</f>
        <v>4.5499609313955303E-2</v>
      </c>
      <c r="Y1970" s="3"/>
      <c r="Z1970" s="3"/>
      <c r="AA1970" s="3"/>
      <c r="AB1970" s="3"/>
    </row>
    <row r="1971" spans="1:28" x14ac:dyDescent="0.2">
      <c r="A1971">
        <v>1365</v>
      </c>
      <c r="B1971" t="s">
        <v>1404</v>
      </c>
      <c r="C1971" t="s">
        <v>18</v>
      </c>
      <c r="D1971" t="s">
        <v>19</v>
      </c>
      <c r="E1971" t="s">
        <v>41</v>
      </c>
      <c r="F1971" t="s">
        <v>21</v>
      </c>
      <c r="G1971" t="s">
        <v>25</v>
      </c>
      <c r="H1971" s="1">
        <v>138534</v>
      </c>
      <c r="I1971" s="3">
        <v>703</v>
      </c>
      <c r="J1971" s="3">
        <v>1215126</v>
      </c>
      <c r="K1971" s="3">
        <v>13568.66</v>
      </c>
      <c r="L1971" s="2">
        <v>14.2</v>
      </c>
      <c r="M1971" s="11">
        <v>47</v>
      </c>
      <c r="N1971" s="3">
        <v>6</v>
      </c>
      <c r="O1971" s="3">
        <v>47500</v>
      </c>
      <c r="P1971" s="3">
        <v>56298</v>
      </c>
      <c r="Q1971" s="10">
        <v>0</v>
      </c>
      <c r="R1971" s="3">
        <f>(Таблица1[Размер кредита]-$AA$2)/$AA$3</f>
        <v>-0.97389561693368543</v>
      </c>
      <c r="S1971" s="3">
        <f>(Таблица1[Кредитный рейтинг]-$AA$7)/($AA$8-$AA$7)</f>
        <v>0.93608521970705727</v>
      </c>
      <c r="T1971" s="3">
        <f>(Таблица1[Срок с последнего нарушения кредитного договора (мес,)]-$AA$12)/($AA$13-$AA$12)</f>
        <v>0.53409090909090906</v>
      </c>
      <c r="U1971" s="3">
        <f>(Таблица1[Количество кредитных карт]-$AA$18)/($AA$19-$AA$18)</f>
        <v>0.11904761904761904</v>
      </c>
      <c r="V1971" s="3">
        <f>(Таблица1[Число нарушений кредитных договоров]-$AA$23)/($AA$24-$AA$23)</f>
        <v>0</v>
      </c>
      <c r="W1971" s="3">
        <f>Таблица1[[#This Row],[Годовой доход]]/12</f>
        <v>101260.5</v>
      </c>
      <c r="X1971" s="3">
        <f>Таблица1[[#This Row],[Ежемесячный платеж]]/Таблица1[[#This Row],[Ежем доход]]</f>
        <v>0.13399756074678676</v>
      </c>
      <c r="Y1971" s="3"/>
      <c r="Z1971" s="3"/>
      <c r="AA1971" s="3"/>
      <c r="AB1971" s="3"/>
    </row>
    <row r="1972" spans="1:28" x14ac:dyDescent="0.2">
      <c r="A1972">
        <v>857</v>
      </c>
      <c r="B1972" t="s">
        <v>898</v>
      </c>
      <c r="C1972" t="s">
        <v>18</v>
      </c>
      <c r="D1972" t="s">
        <v>29</v>
      </c>
      <c r="E1972" t="s">
        <v>47</v>
      </c>
      <c r="F1972" t="s">
        <v>33</v>
      </c>
      <c r="G1972" t="s">
        <v>25</v>
      </c>
      <c r="H1972" s="1">
        <v>309594.52439999999</v>
      </c>
      <c r="I1972" s="3">
        <v>668</v>
      </c>
      <c r="J1972" s="3">
        <v>624929</v>
      </c>
      <c r="K1972" s="3">
        <v>8009.45</v>
      </c>
      <c r="L1972" s="2">
        <v>14.8</v>
      </c>
      <c r="M1972" s="11">
        <v>11</v>
      </c>
      <c r="N1972" s="3">
        <v>7</v>
      </c>
      <c r="O1972" s="3">
        <v>5928</v>
      </c>
      <c r="P1972" s="3">
        <v>52800</v>
      </c>
      <c r="Q1972" s="10">
        <v>0</v>
      </c>
      <c r="R1972" s="3">
        <f>(Таблица1[Размер кредита]-$AA$2)/$AA$3</f>
        <v>-1.2411115481956205E-10</v>
      </c>
      <c r="S1972" s="3">
        <f>(Таблица1[Кредитный рейтинг]-$AA$7)/($AA$8-$AA$7)</f>
        <v>0.88948069241011984</v>
      </c>
      <c r="T1972" s="3">
        <f>(Таблица1[Срок с последнего нарушения кредитного договора (мес,)]-$AA$12)/($AA$13-$AA$12)</f>
        <v>0.125</v>
      </c>
      <c r="U1972" s="3">
        <f>(Таблица1[Количество кредитных карт]-$AA$18)/($AA$19-$AA$18)</f>
        <v>0.14285714285714285</v>
      </c>
      <c r="V1972" s="3">
        <f>(Таблица1[Число нарушений кредитных договоров]-$AA$23)/($AA$24-$AA$23)</f>
        <v>0</v>
      </c>
      <c r="W1972" s="3">
        <f>Таблица1[[#This Row],[Годовой доход]]/12</f>
        <v>52077.416666666664</v>
      </c>
      <c r="X1972" s="3">
        <f>Таблица1[[#This Row],[Ежемесячный платеж]]/Таблица1[[#This Row],[Ежем доход]]</f>
        <v>0.15379891155635281</v>
      </c>
      <c r="Y1972" s="3"/>
      <c r="Z1972" s="3"/>
      <c r="AA1972" s="3"/>
      <c r="AB1972" s="3"/>
    </row>
    <row r="1973" spans="1:28" x14ac:dyDescent="0.2">
      <c r="A1973">
        <v>544</v>
      </c>
      <c r="B1973" t="s">
        <v>585</v>
      </c>
      <c r="C1973" t="s">
        <v>18</v>
      </c>
      <c r="D1973" t="s">
        <v>19</v>
      </c>
      <c r="E1973" t="s">
        <v>32</v>
      </c>
      <c r="F1973" t="s">
        <v>21</v>
      </c>
      <c r="G1973" t="s">
        <v>22</v>
      </c>
      <c r="H1973" s="1">
        <v>309594.52439999999</v>
      </c>
      <c r="I1973" s="3">
        <v>716</v>
      </c>
      <c r="J1973" s="3">
        <v>2197901</v>
      </c>
      <c r="K1973" s="3">
        <v>21429.53</v>
      </c>
      <c r="L1973" s="2">
        <v>27.7</v>
      </c>
      <c r="M1973" s="11">
        <v>35.265240640000002</v>
      </c>
      <c r="N1973" s="3">
        <v>8</v>
      </c>
      <c r="O1973" s="3">
        <v>40945</v>
      </c>
      <c r="P1973" s="3">
        <v>49390</v>
      </c>
      <c r="Q1973" s="10">
        <v>1</v>
      </c>
      <c r="R1973" s="3">
        <f>(Таблица1[Размер кредита]-$AA$2)/$AA$3</f>
        <v>-1.2411115481956205E-10</v>
      </c>
      <c r="S1973" s="3">
        <f>(Таблица1[Кредитный рейтинг]-$AA$7)/($AA$8-$AA$7)</f>
        <v>0.95339547270306257</v>
      </c>
      <c r="T1973" s="3">
        <f>(Таблица1[Срок с последнего нарушения кредитного договора (мес,)]-$AA$12)/($AA$13-$AA$12)</f>
        <v>0.40074137090909095</v>
      </c>
      <c r="U1973" s="3">
        <f>(Таблица1[Количество кредитных карт]-$AA$18)/($AA$19-$AA$18)</f>
        <v>0.16666666666666666</v>
      </c>
      <c r="V1973" s="3">
        <f>(Таблица1[Число нарушений кредитных договоров]-$AA$23)/($AA$24-$AA$23)</f>
        <v>0.14285714285714285</v>
      </c>
      <c r="W1973" s="3">
        <f>Таблица1[[#This Row],[Годовой доход]]/12</f>
        <v>183158.41666666666</v>
      </c>
      <c r="X1973" s="3">
        <f>Таблица1[[#This Row],[Ежемесячный платеж]]/Таблица1[[#This Row],[Ежем доход]]</f>
        <v>0.11699997406616586</v>
      </c>
      <c r="Y1973" s="3"/>
      <c r="Z1973" s="3"/>
      <c r="AA1973" s="3"/>
      <c r="AB1973" s="3"/>
    </row>
    <row r="1974" spans="1:28" x14ac:dyDescent="0.2">
      <c r="A1974">
        <v>1608</v>
      </c>
      <c r="B1974" t="s">
        <v>1647</v>
      </c>
      <c r="C1974" t="s">
        <v>18</v>
      </c>
      <c r="D1974" t="s">
        <v>19</v>
      </c>
      <c r="E1974" t="s">
        <v>52</v>
      </c>
      <c r="F1974" t="s">
        <v>33</v>
      </c>
      <c r="G1974" t="s">
        <v>25</v>
      </c>
      <c r="H1974" s="1">
        <v>76670</v>
      </c>
      <c r="I1974" s="3">
        <v>0</v>
      </c>
      <c r="J1974" s="3">
        <v>1168044</v>
      </c>
      <c r="K1974" s="3">
        <v>6487.17</v>
      </c>
      <c r="L1974" s="2">
        <v>16.2</v>
      </c>
      <c r="M1974" s="11">
        <v>38</v>
      </c>
      <c r="N1974" s="3">
        <v>6</v>
      </c>
      <c r="O1974" s="3">
        <v>24890</v>
      </c>
      <c r="P1974" s="3">
        <v>48444</v>
      </c>
      <c r="Q1974" s="10">
        <v>0</v>
      </c>
      <c r="R1974" s="3">
        <f>(Таблица1[Размер кредита]-$AA$2)/$AA$3</f>
        <v>-1.3261047467117741</v>
      </c>
      <c r="S1974" s="3">
        <f>(Таблица1[Кредитный рейтинг]-$AA$7)/($AA$8-$AA$7)</f>
        <v>0</v>
      </c>
      <c r="T1974" s="3">
        <f>(Таблица1[Срок с последнего нарушения кредитного договора (мес,)]-$AA$12)/($AA$13-$AA$12)</f>
        <v>0.43181818181818182</v>
      </c>
      <c r="U1974" s="3">
        <f>(Таблица1[Количество кредитных карт]-$AA$18)/($AA$19-$AA$18)</f>
        <v>0.11904761904761904</v>
      </c>
      <c r="V1974" s="3">
        <f>(Таблица1[Число нарушений кредитных договоров]-$AA$23)/($AA$24-$AA$23)</f>
        <v>0</v>
      </c>
      <c r="W1974" s="3">
        <f>Таблица1[[#This Row],[Годовой доход]]/12</f>
        <v>97337</v>
      </c>
      <c r="X1974" s="3">
        <f>Таблица1[[#This Row],[Ежемесячный платеж]]/Таблица1[[#This Row],[Ежем доход]]</f>
        <v>6.6646496193636537E-2</v>
      </c>
      <c r="Y1974" s="3"/>
      <c r="Z1974" s="3"/>
      <c r="AA1974" s="3"/>
      <c r="AB1974" s="3"/>
    </row>
    <row r="1975" spans="1:28" x14ac:dyDescent="0.2">
      <c r="A1975">
        <v>182</v>
      </c>
      <c r="B1975" t="s">
        <v>224</v>
      </c>
      <c r="C1975" t="s">
        <v>35</v>
      </c>
      <c r="D1975" t="s">
        <v>19</v>
      </c>
      <c r="E1975" t="s">
        <v>20</v>
      </c>
      <c r="F1975" t="s">
        <v>33</v>
      </c>
      <c r="G1975" t="s">
        <v>67</v>
      </c>
      <c r="H1975" s="1">
        <v>25806</v>
      </c>
      <c r="I1975" s="3">
        <v>685</v>
      </c>
      <c r="J1975" s="3">
        <v>742976</v>
      </c>
      <c r="K1975" s="3">
        <v>6377.16</v>
      </c>
      <c r="L1975" s="2">
        <v>7.1</v>
      </c>
      <c r="M1975" s="11">
        <v>35</v>
      </c>
      <c r="N1975" s="3">
        <v>5</v>
      </c>
      <c r="O1975" s="3">
        <v>8189</v>
      </c>
      <c r="P1975" s="3">
        <v>47432</v>
      </c>
      <c r="Q1975" s="10">
        <v>0</v>
      </c>
      <c r="R1975" s="3">
        <f>(Таблица1[Размер кредита]-$AA$2)/$AA$3</f>
        <v>-1.6156877865577701</v>
      </c>
      <c r="S1975" s="3">
        <f>(Таблица1[Кредитный рейтинг]-$AA$7)/($AA$8-$AA$7)</f>
        <v>0.91211717709720375</v>
      </c>
      <c r="T1975" s="3">
        <f>(Таблица1[Срок с последнего нарушения кредитного договора (мес,)]-$AA$12)/($AA$13-$AA$12)</f>
        <v>0.39772727272727271</v>
      </c>
      <c r="U1975" s="3">
        <f>(Таблица1[Количество кредитных карт]-$AA$18)/($AA$19-$AA$18)</f>
        <v>9.5238095238095233E-2</v>
      </c>
      <c r="V1975" s="3">
        <f>(Таблица1[Число нарушений кредитных договоров]-$AA$23)/($AA$24-$AA$23)</f>
        <v>0</v>
      </c>
      <c r="W1975" s="3">
        <f>Таблица1[[#This Row],[Годовой доход]]/12</f>
        <v>61914.666666666664</v>
      </c>
      <c r="X1975" s="3">
        <f>Таблица1[[#This Row],[Ежемесячный платеж]]/Таблица1[[#This Row],[Ежем доход]]</f>
        <v>0.10299918166939444</v>
      </c>
      <c r="Y1975" s="3"/>
      <c r="Z1975" s="3"/>
      <c r="AA1975" s="3"/>
      <c r="AB1975" s="3"/>
    </row>
    <row r="1976" spans="1:28" x14ac:dyDescent="0.2">
      <c r="A1976">
        <v>612</v>
      </c>
      <c r="B1976" t="s">
        <v>653</v>
      </c>
      <c r="C1976" t="s">
        <v>18</v>
      </c>
      <c r="D1976" t="s">
        <v>19</v>
      </c>
      <c r="E1976" t="s">
        <v>30</v>
      </c>
      <c r="F1976" t="s">
        <v>27</v>
      </c>
      <c r="G1976" t="s">
        <v>25</v>
      </c>
      <c r="H1976" s="1">
        <v>131538</v>
      </c>
      <c r="I1976" s="3">
        <v>0</v>
      </c>
      <c r="J1976" s="3">
        <v>1168044</v>
      </c>
      <c r="K1976" s="3">
        <v>15833.08</v>
      </c>
      <c r="L1976" s="2">
        <v>14.5</v>
      </c>
      <c r="M1976" s="11">
        <v>35.265240640000002</v>
      </c>
      <c r="N1976" s="3">
        <v>12</v>
      </c>
      <c r="O1976" s="3">
        <v>35549</v>
      </c>
      <c r="P1976" s="3">
        <v>46068</v>
      </c>
      <c r="Q1976" s="10">
        <v>0</v>
      </c>
      <c r="R1976" s="3">
        <f>(Таблица1[Размер кредита]-$AA$2)/$AA$3</f>
        <v>-1.0137258101304962</v>
      </c>
      <c r="S1976" s="3">
        <f>(Таблица1[Кредитный рейтинг]-$AA$7)/($AA$8-$AA$7)</f>
        <v>0</v>
      </c>
      <c r="T1976" s="3">
        <f>(Таблица1[Срок с последнего нарушения кредитного договора (мес,)]-$AA$12)/($AA$13-$AA$12)</f>
        <v>0.40074137090909095</v>
      </c>
      <c r="U1976" s="3">
        <f>(Таблица1[Количество кредитных карт]-$AA$18)/($AA$19-$AA$18)</f>
        <v>0.26190476190476192</v>
      </c>
      <c r="V1976" s="3">
        <f>(Таблица1[Число нарушений кредитных договоров]-$AA$23)/($AA$24-$AA$23)</f>
        <v>0</v>
      </c>
      <c r="W1976" s="3">
        <f>Таблица1[[#This Row],[Годовой доход]]/12</f>
        <v>97337</v>
      </c>
      <c r="X1976" s="3">
        <f>Таблица1[[#This Row],[Ежемесячный платеж]]/Таблица1[[#This Row],[Ежем доход]]</f>
        <v>0.16266250243997657</v>
      </c>
      <c r="Y1976" s="3"/>
      <c r="Z1976" s="3"/>
      <c r="AA1976" s="3"/>
      <c r="AB1976" s="3"/>
    </row>
    <row r="1977" spans="1:28" x14ac:dyDescent="0.2">
      <c r="A1977">
        <v>1317</v>
      </c>
      <c r="B1977" t="s">
        <v>1356</v>
      </c>
      <c r="C1977" t="s">
        <v>18</v>
      </c>
      <c r="D1977" t="s">
        <v>19</v>
      </c>
      <c r="E1977" t="s">
        <v>47</v>
      </c>
      <c r="F1977" t="s">
        <v>33</v>
      </c>
      <c r="G1977" t="s">
        <v>25</v>
      </c>
      <c r="H1977" s="1">
        <v>108064</v>
      </c>
      <c r="I1977" s="3">
        <v>715</v>
      </c>
      <c r="J1977" s="3">
        <v>563844</v>
      </c>
      <c r="K1977" s="3">
        <v>5920.21</v>
      </c>
      <c r="L1977" s="2">
        <v>9.4</v>
      </c>
      <c r="M1977" s="11">
        <v>47</v>
      </c>
      <c r="N1977" s="3">
        <v>3</v>
      </c>
      <c r="O1977" s="3">
        <v>37753</v>
      </c>
      <c r="P1977" s="3">
        <v>45034</v>
      </c>
      <c r="Q1977" s="10">
        <v>0</v>
      </c>
      <c r="R1977" s="3">
        <f>(Таблица1[Размер кредита]-$AA$2)/$AA$3</f>
        <v>-1.1473698860455819</v>
      </c>
      <c r="S1977" s="3">
        <f>(Таблица1[Кредитный рейтинг]-$AA$7)/($AA$8-$AA$7)</f>
        <v>0.95206391478029295</v>
      </c>
      <c r="T1977" s="3">
        <f>(Таблица1[Срок с последнего нарушения кредитного договора (мес,)]-$AA$12)/($AA$13-$AA$12)</f>
        <v>0.53409090909090906</v>
      </c>
      <c r="U1977" s="3">
        <f>(Таблица1[Количество кредитных карт]-$AA$18)/($AA$19-$AA$18)</f>
        <v>4.7619047619047616E-2</v>
      </c>
      <c r="V1977" s="3">
        <f>(Таблица1[Число нарушений кредитных договоров]-$AA$23)/($AA$24-$AA$23)</f>
        <v>0</v>
      </c>
      <c r="W1977" s="3">
        <f>Таблица1[[#This Row],[Годовой доход]]/12</f>
        <v>46987</v>
      </c>
      <c r="X1977" s="3">
        <f>Таблица1[[#This Row],[Ежемесячный платеж]]/Таблица1[[#This Row],[Ежем доход]]</f>
        <v>0.1259967650626769</v>
      </c>
      <c r="Y1977" s="3"/>
      <c r="Z1977" s="3"/>
      <c r="AA1977" s="3"/>
      <c r="AB1977" s="3"/>
    </row>
    <row r="1978" spans="1:28" x14ac:dyDescent="0.2">
      <c r="A1978">
        <v>1487</v>
      </c>
      <c r="B1978" t="s">
        <v>1526</v>
      </c>
      <c r="C1978" t="s">
        <v>18</v>
      </c>
      <c r="D1978" t="s">
        <v>19</v>
      </c>
      <c r="E1978" t="s">
        <v>41</v>
      </c>
      <c r="F1978" t="s">
        <v>33</v>
      </c>
      <c r="G1978" t="s">
        <v>25</v>
      </c>
      <c r="H1978" s="1">
        <v>215798</v>
      </c>
      <c r="I1978" s="3">
        <v>0</v>
      </c>
      <c r="J1978" s="3">
        <v>1168044</v>
      </c>
      <c r="K1978" s="3">
        <v>3091.87</v>
      </c>
      <c r="L1978" s="2">
        <v>16</v>
      </c>
      <c r="M1978" s="11">
        <v>35.265240640000002</v>
      </c>
      <c r="N1978" s="3">
        <v>2</v>
      </c>
      <c r="O1978" s="3">
        <v>33535</v>
      </c>
      <c r="P1978" s="3">
        <v>43186</v>
      </c>
      <c r="Q1978" s="10">
        <v>0</v>
      </c>
      <c r="R1978" s="3">
        <f>(Таблица1[Размер кредита]-$AA$2)/$AA$3</f>
        <v>-0.53400996125066713</v>
      </c>
      <c r="S1978" s="3">
        <f>(Таблица1[Кредитный рейтинг]-$AA$7)/($AA$8-$AA$7)</f>
        <v>0</v>
      </c>
      <c r="T1978" s="3">
        <f>(Таблица1[Срок с последнего нарушения кредитного договора (мес,)]-$AA$12)/($AA$13-$AA$12)</f>
        <v>0.40074137090909095</v>
      </c>
      <c r="U1978" s="3">
        <f>(Таблица1[Количество кредитных карт]-$AA$18)/($AA$19-$AA$18)</f>
        <v>2.3809523809523808E-2</v>
      </c>
      <c r="V1978" s="3">
        <f>(Таблица1[Число нарушений кредитных договоров]-$AA$23)/($AA$24-$AA$23)</f>
        <v>0</v>
      </c>
      <c r="W1978" s="3">
        <f>Таблица1[[#This Row],[Годовой доход]]/12</f>
        <v>97337</v>
      </c>
      <c r="X1978" s="3">
        <f>Таблица1[[#This Row],[Ежемесячный платеж]]/Таблица1[[#This Row],[Ежем доход]]</f>
        <v>3.1764591059925823E-2</v>
      </c>
      <c r="Y1978" s="3"/>
      <c r="Z1978" s="3"/>
      <c r="AA1978" s="3"/>
      <c r="AB1978" s="3"/>
    </row>
    <row r="1979" spans="1:28" x14ac:dyDescent="0.2">
      <c r="A1979">
        <v>1077</v>
      </c>
      <c r="B1979" t="s">
        <v>1116</v>
      </c>
      <c r="C1979" t="s">
        <v>18</v>
      </c>
      <c r="D1979" t="s">
        <v>19</v>
      </c>
      <c r="E1979" t="s">
        <v>24</v>
      </c>
      <c r="F1979" t="s">
        <v>21</v>
      </c>
      <c r="G1979" t="s">
        <v>25</v>
      </c>
      <c r="H1979" s="1">
        <v>104390</v>
      </c>
      <c r="I1979" s="3">
        <v>739</v>
      </c>
      <c r="J1979" s="3">
        <v>1059497</v>
      </c>
      <c r="K1979" s="3">
        <v>3920.08</v>
      </c>
      <c r="L1979" s="2">
        <v>39.4</v>
      </c>
      <c r="M1979" s="11">
        <v>35.265240640000002</v>
      </c>
      <c r="N1979" s="3">
        <v>4</v>
      </c>
      <c r="O1979" s="3">
        <v>25536</v>
      </c>
      <c r="P1979" s="3">
        <v>42856</v>
      </c>
      <c r="Q1979" s="10">
        <v>1</v>
      </c>
      <c r="R1979" s="3">
        <f>(Таблица1[Размер кредита]-$AA$2)/$AA$3</f>
        <v>-1.1682870000829009</v>
      </c>
      <c r="S1979" s="3">
        <f>(Таблица1[Кредитный рейтинг]-$AA$7)/($AA$8-$AA$7)</f>
        <v>0.98402130492676432</v>
      </c>
      <c r="T1979" s="3">
        <f>(Таблица1[Срок с последнего нарушения кредитного договора (мес,)]-$AA$12)/($AA$13-$AA$12)</f>
        <v>0.40074137090909095</v>
      </c>
      <c r="U1979" s="3">
        <f>(Таблица1[Количество кредитных карт]-$AA$18)/($AA$19-$AA$18)</f>
        <v>7.1428571428571425E-2</v>
      </c>
      <c r="V1979" s="3">
        <f>(Таблица1[Число нарушений кредитных договоров]-$AA$23)/($AA$24-$AA$23)</f>
        <v>0.14285714285714285</v>
      </c>
      <c r="W1979" s="3">
        <f>Таблица1[[#This Row],[Годовой доход]]/12</f>
        <v>88291.416666666672</v>
      </c>
      <c r="X1979" s="3">
        <f>Таблица1[[#This Row],[Ежемесячный платеж]]/Таблица1[[#This Row],[Ежем доход]]</f>
        <v>4.4399332890985056E-2</v>
      </c>
      <c r="Y1979" s="3"/>
      <c r="Z1979" s="3"/>
      <c r="AA1979" s="3"/>
      <c r="AB1979" s="3"/>
    </row>
    <row r="1980" spans="1:28" x14ac:dyDescent="0.2">
      <c r="A1980">
        <v>1295</v>
      </c>
      <c r="B1980" t="s">
        <v>1334</v>
      </c>
      <c r="C1980" t="s">
        <v>18</v>
      </c>
      <c r="D1980" t="s">
        <v>19</v>
      </c>
      <c r="E1980" t="s">
        <v>41</v>
      </c>
      <c r="F1980" t="s">
        <v>33</v>
      </c>
      <c r="G1980" t="s">
        <v>25</v>
      </c>
      <c r="H1980" s="1">
        <v>40524</v>
      </c>
      <c r="I1980" s="3">
        <v>0</v>
      </c>
      <c r="J1980" s="3">
        <v>1168044</v>
      </c>
      <c r="K1980" s="3">
        <v>6611.24</v>
      </c>
      <c r="L1980" s="2">
        <v>11</v>
      </c>
      <c r="M1980" s="11">
        <v>3</v>
      </c>
      <c r="N1980" s="3">
        <v>6</v>
      </c>
      <c r="O1980" s="3">
        <v>14478</v>
      </c>
      <c r="P1980" s="3">
        <v>40524</v>
      </c>
      <c r="Q1980" s="10">
        <v>0</v>
      </c>
      <c r="R1980" s="3">
        <f>(Таблица1[Размер кредита]-$AA$2)/$AA$3</f>
        <v>-1.5318940782286303</v>
      </c>
      <c r="S1980" s="3">
        <f>(Таблица1[Кредитный рейтинг]-$AA$7)/($AA$8-$AA$7)</f>
        <v>0</v>
      </c>
      <c r="T1980" s="3">
        <f>(Таблица1[Срок с последнего нарушения кредитного договора (мес,)]-$AA$12)/($AA$13-$AA$12)</f>
        <v>3.4090909090909088E-2</v>
      </c>
      <c r="U1980" s="3">
        <f>(Таблица1[Количество кредитных карт]-$AA$18)/($AA$19-$AA$18)</f>
        <v>0.11904761904761904</v>
      </c>
      <c r="V1980" s="3">
        <f>(Таблица1[Число нарушений кредитных договоров]-$AA$23)/($AA$24-$AA$23)</f>
        <v>0</v>
      </c>
      <c r="W1980" s="3">
        <f>Таблица1[[#This Row],[Годовой доход]]/12</f>
        <v>97337</v>
      </c>
      <c r="X1980" s="3">
        <f>Таблица1[[#This Row],[Ежемесячный платеж]]/Таблица1[[#This Row],[Ежем доход]]</f>
        <v>6.7921139957056412E-2</v>
      </c>
      <c r="Y1980" s="3"/>
      <c r="Z1980" s="3"/>
      <c r="AA1980" s="3"/>
      <c r="AB1980" s="3"/>
    </row>
    <row r="1981" spans="1:28" x14ac:dyDescent="0.2">
      <c r="A1981">
        <v>1208</v>
      </c>
      <c r="B1981" t="s">
        <v>1247</v>
      </c>
      <c r="C1981" t="s">
        <v>18</v>
      </c>
      <c r="D1981" t="s">
        <v>19</v>
      </c>
      <c r="E1981" t="s">
        <v>37</v>
      </c>
      <c r="F1981" t="s">
        <v>33</v>
      </c>
      <c r="G1981" t="s">
        <v>67</v>
      </c>
      <c r="H1981" s="1">
        <v>67276</v>
      </c>
      <c r="I1981" s="3">
        <v>0</v>
      </c>
      <c r="J1981" s="3">
        <v>1168044</v>
      </c>
      <c r="K1981" s="3">
        <v>402.8</v>
      </c>
      <c r="L1981" s="2">
        <v>17.100000000000001</v>
      </c>
      <c r="M1981" s="11">
        <v>46</v>
      </c>
      <c r="N1981" s="3">
        <v>16</v>
      </c>
      <c r="O1981" s="3">
        <v>16283</v>
      </c>
      <c r="P1981" s="3">
        <v>38104</v>
      </c>
      <c r="Q1981" s="10">
        <v>0</v>
      </c>
      <c r="R1981" s="3">
        <f>(Таблица1[Размер кредита]-$AA$2)/$AA$3</f>
        <v>-1.3795874275137812</v>
      </c>
      <c r="S1981" s="3">
        <f>(Таблица1[Кредитный рейтинг]-$AA$7)/($AA$8-$AA$7)</f>
        <v>0</v>
      </c>
      <c r="T1981" s="3">
        <f>(Таблица1[Срок с последнего нарушения кредитного договора (мес,)]-$AA$12)/($AA$13-$AA$12)</f>
        <v>0.52272727272727271</v>
      </c>
      <c r="U1981" s="3">
        <f>(Таблица1[Количество кредитных карт]-$AA$18)/($AA$19-$AA$18)</f>
        <v>0.35714285714285715</v>
      </c>
      <c r="V1981" s="3">
        <f>(Таблица1[Число нарушений кредитных договоров]-$AA$23)/($AA$24-$AA$23)</f>
        <v>0</v>
      </c>
      <c r="W1981" s="3">
        <f>Таблица1[[#This Row],[Годовой доход]]/12</f>
        <v>97337</v>
      </c>
      <c r="X1981" s="3">
        <f>Таблица1[[#This Row],[Ежемесячный платеж]]/Таблица1[[#This Row],[Ежем доход]]</f>
        <v>4.1382002732773763E-3</v>
      </c>
      <c r="Y1981" s="3"/>
      <c r="Z1981" s="3"/>
      <c r="AA1981" s="3"/>
      <c r="AB1981" s="3"/>
    </row>
    <row r="1982" spans="1:28" x14ac:dyDescent="0.2">
      <c r="A1982">
        <v>230</v>
      </c>
      <c r="B1982" t="s">
        <v>272</v>
      </c>
      <c r="C1982" t="s">
        <v>18</v>
      </c>
      <c r="D1982" t="s">
        <v>19</v>
      </c>
      <c r="E1982" t="s">
        <v>47</v>
      </c>
      <c r="F1982" t="s">
        <v>33</v>
      </c>
      <c r="G1982" t="s">
        <v>67</v>
      </c>
      <c r="H1982" s="1">
        <v>309594.52439999999</v>
      </c>
      <c r="I1982" s="3">
        <v>724</v>
      </c>
      <c r="J1982" s="3">
        <v>687420</v>
      </c>
      <c r="K1982" s="3">
        <v>6530.49</v>
      </c>
      <c r="L1982" s="2">
        <v>11.1</v>
      </c>
      <c r="M1982" s="11">
        <v>49</v>
      </c>
      <c r="N1982" s="3">
        <v>4</v>
      </c>
      <c r="O1982" s="3">
        <v>18715</v>
      </c>
      <c r="P1982" s="3">
        <v>37620</v>
      </c>
      <c r="Q1982" s="10">
        <v>0</v>
      </c>
      <c r="R1982" s="3">
        <f>(Таблица1[Размер кредита]-$AA$2)/$AA$3</f>
        <v>-1.2411115481956205E-10</v>
      </c>
      <c r="S1982" s="3">
        <f>(Таблица1[Кредитный рейтинг]-$AA$7)/($AA$8-$AA$7)</f>
        <v>0.96404793608521966</v>
      </c>
      <c r="T1982" s="3">
        <f>(Таблица1[Срок с последнего нарушения кредитного договора (мес,)]-$AA$12)/($AA$13-$AA$12)</f>
        <v>0.55681818181818177</v>
      </c>
      <c r="U1982" s="3">
        <f>(Таблица1[Количество кредитных карт]-$AA$18)/($AA$19-$AA$18)</f>
        <v>7.1428571428571425E-2</v>
      </c>
      <c r="V1982" s="3">
        <f>(Таблица1[Число нарушений кредитных договоров]-$AA$23)/($AA$24-$AA$23)</f>
        <v>0</v>
      </c>
      <c r="W1982" s="3">
        <f>Таблица1[[#This Row],[Годовой доход]]/12</f>
        <v>57285</v>
      </c>
      <c r="X1982" s="3">
        <f>Таблица1[[#This Row],[Ежемесячный платеж]]/Таблица1[[#This Row],[Ежем доход]]</f>
        <v>0.11399999999999999</v>
      </c>
      <c r="Y1982" s="3"/>
      <c r="Z1982" s="3"/>
      <c r="AA1982" s="3"/>
      <c r="AB1982" s="3"/>
    </row>
    <row r="1983" spans="1:28" x14ac:dyDescent="0.2">
      <c r="A1983">
        <v>1744</v>
      </c>
      <c r="B1983" t="s">
        <v>1782</v>
      </c>
      <c r="C1983" t="s">
        <v>35</v>
      </c>
      <c r="D1983" t="s">
        <v>29</v>
      </c>
      <c r="E1983" t="s">
        <v>41</v>
      </c>
      <c r="F1983" t="s">
        <v>33</v>
      </c>
      <c r="G1983" t="s">
        <v>25</v>
      </c>
      <c r="H1983" s="1">
        <v>71258</v>
      </c>
      <c r="I1983" s="3">
        <v>722</v>
      </c>
      <c r="J1983" s="3">
        <v>719549</v>
      </c>
      <c r="K1983" s="3">
        <v>12592.06</v>
      </c>
      <c r="L1983" s="2">
        <v>16.3</v>
      </c>
      <c r="M1983" s="11">
        <v>35.265240640000002</v>
      </c>
      <c r="N1983" s="3">
        <v>7</v>
      </c>
      <c r="O1983" s="3">
        <v>27569</v>
      </c>
      <c r="P1983" s="3">
        <v>37290</v>
      </c>
      <c r="Q1983" s="10">
        <v>1</v>
      </c>
      <c r="R1983" s="3">
        <f>(Таблица1[Размер кредита]-$AA$2)/$AA$3</f>
        <v>-1.3569167829583637</v>
      </c>
      <c r="S1983" s="3">
        <f>(Таблица1[Кредитный рейтинг]-$AA$7)/($AA$8-$AA$7)</f>
        <v>0.96138482023968042</v>
      </c>
      <c r="T1983" s="3">
        <f>(Таблица1[Срок с последнего нарушения кредитного договора (мес,)]-$AA$12)/($AA$13-$AA$12)</f>
        <v>0.40074137090909095</v>
      </c>
      <c r="U1983" s="3">
        <f>(Таблица1[Количество кредитных карт]-$AA$18)/($AA$19-$AA$18)</f>
        <v>0.14285714285714285</v>
      </c>
      <c r="V1983" s="3">
        <f>(Таблица1[Число нарушений кредитных договоров]-$AA$23)/($AA$24-$AA$23)</f>
        <v>0.14285714285714285</v>
      </c>
      <c r="W1983" s="3">
        <f>Таблица1[[#This Row],[Годовой доход]]/12</f>
        <v>59962.416666666664</v>
      </c>
      <c r="X1983" s="3">
        <f>Таблица1[[#This Row],[Ежемесячный платеж]]/Таблица1[[#This Row],[Ежем доход]]</f>
        <v>0.2099992078371313</v>
      </c>
      <c r="Y1983" s="3"/>
      <c r="Z1983" s="3"/>
      <c r="AA1983" s="3"/>
      <c r="AB1983" s="3"/>
    </row>
    <row r="1984" spans="1:28" x14ac:dyDescent="0.2">
      <c r="A1984">
        <v>403</v>
      </c>
      <c r="B1984" t="s">
        <v>445</v>
      </c>
      <c r="C1984" t="s">
        <v>18</v>
      </c>
      <c r="D1984" t="s">
        <v>19</v>
      </c>
      <c r="E1984" t="s">
        <v>69</v>
      </c>
      <c r="F1984" t="s">
        <v>33</v>
      </c>
      <c r="G1984" t="s">
        <v>67</v>
      </c>
      <c r="H1984" s="1">
        <v>90112</v>
      </c>
      <c r="I1984" s="3">
        <v>0</v>
      </c>
      <c r="J1984" s="3">
        <v>1168044</v>
      </c>
      <c r="K1984" s="3">
        <v>13879.88</v>
      </c>
      <c r="L1984" s="2">
        <v>13.1</v>
      </c>
      <c r="M1984" s="11">
        <v>11</v>
      </c>
      <c r="N1984" s="3">
        <v>3</v>
      </c>
      <c r="O1984" s="3">
        <v>304</v>
      </c>
      <c r="P1984" s="3">
        <v>32780</v>
      </c>
      <c r="Q1984" s="10">
        <v>1</v>
      </c>
      <c r="R1984" s="3">
        <f>(Таблица1[Размер кредита]-$AA$2)/$AA$3</f>
        <v>-1.2495756648147569</v>
      </c>
      <c r="S1984" s="3">
        <f>(Таблица1[Кредитный рейтинг]-$AA$7)/($AA$8-$AA$7)</f>
        <v>0</v>
      </c>
      <c r="T1984" s="3">
        <f>(Таблица1[Срок с последнего нарушения кредитного договора (мес,)]-$AA$12)/($AA$13-$AA$12)</f>
        <v>0.125</v>
      </c>
      <c r="U1984" s="3">
        <f>(Таблица1[Количество кредитных карт]-$AA$18)/($AA$19-$AA$18)</f>
        <v>4.7619047619047616E-2</v>
      </c>
      <c r="V1984" s="3">
        <f>(Таблица1[Число нарушений кредитных договоров]-$AA$23)/($AA$24-$AA$23)</f>
        <v>0.14285714285714285</v>
      </c>
      <c r="W1984" s="3">
        <f>Таблица1[[#This Row],[Годовой доход]]/12</f>
        <v>97337</v>
      </c>
      <c r="X1984" s="3">
        <f>Таблица1[[#This Row],[Ежемесячный платеж]]/Таблица1[[#This Row],[Ежем доход]]</f>
        <v>0.14259613507710325</v>
      </c>
      <c r="Y1984" s="3"/>
      <c r="Z1984" s="3"/>
      <c r="AA1984" s="3"/>
      <c r="AB1984" s="3"/>
    </row>
    <row r="1985" spans="1:28" x14ac:dyDescent="0.2">
      <c r="A1985">
        <v>1930</v>
      </c>
      <c r="B1985" t="s">
        <v>1966</v>
      </c>
      <c r="C1985" t="s">
        <v>18</v>
      </c>
      <c r="D1985" t="s">
        <v>19</v>
      </c>
      <c r="E1985" t="s">
        <v>47</v>
      </c>
      <c r="F1985" t="s">
        <v>21</v>
      </c>
      <c r="G1985" t="s">
        <v>25</v>
      </c>
      <c r="H1985" s="1">
        <v>99616</v>
      </c>
      <c r="I1985" s="3">
        <v>741</v>
      </c>
      <c r="J1985" s="3">
        <v>1926467</v>
      </c>
      <c r="K1985" s="3">
        <v>10964.71</v>
      </c>
      <c r="L1985" s="2">
        <v>22</v>
      </c>
      <c r="M1985" s="11">
        <v>0</v>
      </c>
      <c r="N1985" s="3">
        <v>6</v>
      </c>
      <c r="O1985" s="3">
        <v>22515</v>
      </c>
      <c r="P1985" s="3">
        <v>30316</v>
      </c>
      <c r="Q1985" s="10">
        <v>0</v>
      </c>
      <c r="R1985" s="3">
        <f>(Таблица1[Размер кредита]-$AA$2)/$AA$3</f>
        <v>-1.1954667231134291</v>
      </c>
      <c r="S1985" s="3">
        <f>(Таблица1[Кредитный рейтинг]-$AA$7)/($AA$8-$AA$7)</f>
        <v>0.98668442077230356</v>
      </c>
      <c r="T1985" s="3">
        <f>(Таблица1[Срок с последнего нарушения кредитного договора (мес,)]-$AA$12)/($AA$13-$AA$12)</f>
        <v>0</v>
      </c>
      <c r="U1985" s="3">
        <f>(Таблица1[Количество кредитных карт]-$AA$18)/($AA$19-$AA$18)</f>
        <v>0.11904761904761904</v>
      </c>
      <c r="V1985" s="3">
        <f>(Таблица1[Число нарушений кредитных договоров]-$AA$23)/($AA$24-$AA$23)</f>
        <v>0</v>
      </c>
      <c r="W1985" s="3">
        <f>Таблица1[[#This Row],[Годовой доход]]/12</f>
        <v>160538.91666666666</v>
      </c>
      <c r="X1985" s="3">
        <f>Таблица1[[#This Row],[Ежемесячный платеж]]/Таблица1[[#This Row],[Ежем доход]]</f>
        <v>6.8299389504206401E-2</v>
      </c>
      <c r="Y1985" s="3"/>
      <c r="Z1985" s="3"/>
      <c r="AA1985" s="3"/>
      <c r="AB1985" s="3"/>
    </row>
    <row r="1986" spans="1:28" x14ac:dyDescent="0.2">
      <c r="A1986">
        <v>672</v>
      </c>
      <c r="B1986" t="s">
        <v>713</v>
      </c>
      <c r="C1986" t="s">
        <v>18</v>
      </c>
      <c r="D1986" t="s">
        <v>29</v>
      </c>
      <c r="E1986" t="s">
        <v>47</v>
      </c>
      <c r="F1986" t="s">
        <v>21</v>
      </c>
      <c r="G1986" t="s">
        <v>22</v>
      </c>
      <c r="H1986" s="1">
        <v>209462</v>
      </c>
      <c r="I1986" s="3">
        <v>669</v>
      </c>
      <c r="J1986" s="3">
        <v>1828009</v>
      </c>
      <c r="K1986" s="3">
        <v>29400.6</v>
      </c>
      <c r="L1986" s="2">
        <v>17</v>
      </c>
      <c r="M1986" s="11">
        <v>35.265240640000002</v>
      </c>
      <c r="N1986" s="3">
        <v>7</v>
      </c>
      <c r="O1986" s="3">
        <v>23028</v>
      </c>
      <c r="P1986" s="3">
        <v>28666</v>
      </c>
      <c r="Q1986" s="10">
        <v>1</v>
      </c>
      <c r="R1986" s="3">
        <f>(Таблица1[Размер кредита]-$AA$2)/$AA$3</f>
        <v>-0.57008258905155251</v>
      </c>
      <c r="S1986" s="3">
        <f>(Таблица1[Кредитный рейтинг]-$AA$7)/($AA$8-$AA$7)</f>
        <v>0.89081225033288947</v>
      </c>
      <c r="T1986" s="3">
        <f>(Таблица1[Срок с последнего нарушения кредитного договора (мес,)]-$AA$12)/($AA$13-$AA$12)</f>
        <v>0.40074137090909095</v>
      </c>
      <c r="U1986" s="3">
        <f>(Таблица1[Количество кредитных карт]-$AA$18)/($AA$19-$AA$18)</f>
        <v>0.14285714285714285</v>
      </c>
      <c r="V1986" s="3">
        <f>(Таблица1[Число нарушений кредитных договоров]-$AA$23)/($AA$24-$AA$23)</f>
        <v>0.14285714285714285</v>
      </c>
      <c r="W1986" s="3">
        <f>Таблица1[[#This Row],[Годовой доход]]/12</f>
        <v>152334.08333333334</v>
      </c>
      <c r="X1986" s="3">
        <f>Таблица1[[#This Row],[Ежемесячный платеж]]/Таблица1[[#This Row],[Ежем доход]]</f>
        <v>0.19300080032428721</v>
      </c>
      <c r="Y1986" s="3"/>
      <c r="Z1986" s="3"/>
      <c r="AA1986" s="3"/>
      <c r="AB1986" s="3"/>
    </row>
    <row r="1987" spans="1:28" x14ac:dyDescent="0.2">
      <c r="A1987">
        <v>1827</v>
      </c>
      <c r="B1987" t="s">
        <v>1865</v>
      </c>
      <c r="C1987" t="s">
        <v>35</v>
      </c>
      <c r="D1987" t="s">
        <v>19</v>
      </c>
      <c r="E1987" t="s">
        <v>37</v>
      </c>
      <c r="F1987" t="s">
        <v>33</v>
      </c>
      <c r="G1987" t="s">
        <v>67</v>
      </c>
      <c r="H1987" s="1">
        <v>44660</v>
      </c>
      <c r="I1987" s="3">
        <v>715</v>
      </c>
      <c r="J1987" s="3">
        <v>867749</v>
      </c>
      <c r="K1987" s="3">
        <v>7672.39</v>
      </c>
      <c r="L1987" s="2">
        <v>11</v>
      </c>
      <c r="M1987" s="11">
        <v>35.265240640000002</v>
      </c>
      <c r="N1987" s="3">
        <v>5</v>
      </c>
      <c r="O1987" s="3">
        <v>16986</v>
      </c>
      <c r="P1987" s="3">
        <v>22330</v>
      </c>
      <c r="Q1987" s="10">
        <v>0</v>
      </c>
      <c r="R1987" s="3">
        <f>(Таблица1[Размер кредита]-$AA$2)/$AA$3</f>
        <v>-1.5083466684141635</v>
      </c>
      <c r="S1987" s="3">
        <f>(Таблица1[Кредитный рейтинг]-$AA$7)/($AA$8-$AA$7)</f>
        <v>0.95206391478029295</v>
      </c>
      <c r="T1987" s="3">
        <f>(Таблица1[Срок с последнего нарушения кредитного договора (мес,)]-$AA$12)/($AA$13-$AA$12)</f>
        <v>0.40074137090909095</v>
      </c>
      <c r="U1987" s="3">
        <f>(Таблица1[Количество кредитных карт]-$AA$18)/($AA$19-$AA$18)</f>
        <v>9.5238095238095233E-2</v>
      </c>
      <c r="V1987" s="3">
        <f>(Таблица1[Число нарушений кредитных договоров]-$AA$23)/($AA$24-$AA$23)</f>
        <v>0</v>
      </c>
      <c r="W1987" s="3">
        <f>Таблица1[[#This Row],[Годовой доход]]/12</f>
        <v>72312.416666666672</v>
      </c>
      <c r="X1987" s="3">
        <f>Таблица1[[#This Row],[Ежемесячный платеж]]/Таблица1[[#This Row],[Ежем доход]]</f>
        <v>0.10610058899520483</v>
      </c>
      <c r="Y1987" s="3"/>
      <c r="Z1987" s="3"/>
      <c r="AA1987" s="3"/>
      <c r="AB1987" s="3"/>
    </row>
    <row r="1988" spans="1:28" x14ac:dyDescent="0.2">
      <c r="A1988">
        <v>1223</v>
      </c>
      <c r="B1988" t="s">
        <v>1262</v>
      </c>
      <c r="C1988" t="s">
        <v>18</v>
      </c>
      <c r="D1988" t="s">
        <v>19</v>
      </c>
      <c r="E1988" t="s">
        <v>37</v>
      </c>
      <c r="F1988" t="s">
        <v>33</v>
      </c>
      <c r="G1988" t="s">
        <v>98</v>
      </c>
      <c r="H1988" s="1">
        <v>21824</v>
      </c>
      <c r="I1988" s="3">
        <v>748</v>
      </c>
      <c r="J1988" s="3">
        <v>622041</v>
      </c>
      <c r="K1988" s="3">
        <v>6163.6</v>
      </c>
      <c r="L1988" s="2">
        <v>15</v>
      </c>
      <c r="M1988" s="11">
        <v>35.265240640000002</v>
      </c>
      <c r="N1988" s="3">
        <v>6</v>
      </c>
      <c r="O1988" s="3">
        <v>15333</v>
      </c>
      <c r="P1988" s="3">
        <v>21824</v>
      </c>
      <c r="Q1988" s="10">
        <v>0</v>
      </c>
      <c r="R1988" s="3">
        <f>(Таблица1[Размер кредита]-$AA$2)/$AA$3</f>
        <v>-1.6383584311131878</v>
      </c>
      <c r="S1988" s="3">
        <f>(Таблица1[Кредитный рейтинг]-$AA$7)/($AA$8-$AA$7)</f>
        <v>0.99600532623169102</v>
      </c>
      <c r="T1988" s="3">
        <f>(Таблица1[Срок с последнего нарушения кредитного договора (мес,)]-$AA$12)/($AA$13-$AA$12)</f>
        <v>0.40074137090909095</v>
      </c>
      <c r="U1988" s="3">
        <f>(Таблица1[Количество кредитных карт]-$AA$18)/($AA$19-$AA$18)</f>
        <v>0.11904761904761904</v>
      </c>
      <c r="V1988" s="3">
        <f>(Таблица1[Число нарушений кредитных договоров]-$AA$23)/($AA$24-$AA$23)</f>
        <v>0</v>
      </c>
      <c r="W1988" s="3">
        <f>Таблица1[[#This Row],[Годовой доход]]/12</f>
        <v>51836.75</v>
      </c>
      <c r="X1988" s="3">
        <f>Таблица1[[#This Row],[Ежемесячный платеж]]/Таблица1[[#This Row],[Ежем доход]]</f>
        <v>0.11890405937872263</v>
      </c>
      <c r="Y1988" s="3"/>
      <c r="Z1988" s="3"/>
      <c r="AA1988" s="3"/>
      <c r="AB1988" s="3"/>
    </row>
    <row r="1989" spans="1:28" x14ac:dyDescent="0.2">
      <c r="A1989">
        <v>250</v>
      </c>
      <c r="B1989" t="s">
        <v>292</v>
      </c>
      <c r="C1989" t="s">
        <v>18</v>
      </c>
      <c r="D1989" t="s">
        <v>19</v>
      </c>
      <c r="E1989" t="s">
        <v>20</v>
      </c>
      <c r="F1989" t="s">
        <v>21</v>
      </c>
      <c r="G1989" t="s">
        <v>25</v>
      </c>
      <c r="H1989" s="1">
        <v>309594.52439999999</v>
      </c>
      <c r="I1989" s="3">
        <v>735</v>
      </c>
      <c r="J1989" s="3">
        <v>1520608</v>
      </c>
      <c r="K1989" s="3">
        <v>20376.169999999998</v>
      </c>
      <c r="L1989" s="2">
        <v>17.8</v>
      </c>
      <c r="M1989" s="11">
        <v>35.265240640000002</v>
      </c>
      <c r="N1989" s="3">
        <v>4</v>
      </c>
      <c r="O1989" s="3">
        <v>12084</v>
      </c>
      <c r="P1989" s="3">
        <v>19800</v>
      </c>
      <c r="Q1989" s="10">
        <v>0</v>
      </c>
      <c r="R1989" s="3">
        <f>(Таблица1[Размер кредита]-$AA$2)/$AA$3</f>
        <v>-1.2411115481956205E-10</v>
      </c>
      <c r="S1989" s="3">
        <f>(Таблица1[Кредитный рейтинг]-$AA$7)/($AA$8-$AA$7)</f>
        <v>0.97869507323568572</v>
      </c>
      <c r="T1989" s="3">
        <f>(Таблица1[Срок с последнего нарушения кредитного договора (мес,)]-$AA$12)/($AA$13-$AA$12)</f>
        <v>0.40074137090909095</v>
      </c>
      <c r="U1989" s="3">
        <f>(Таблица1[Количество кредитных карт]-$AA$18)/($AA$19-$AA$18)</f>
        <v>7.1428571428571425E-2</v>
      </c>
      <c r="V1989" s="3">
        <f>(Таблица1[Число нарушений кредитных договоров]-$AA$23)/($AA$24-$AA$23)</f>
        <v>0</v>
      </c>
      <c r="W1989" s="3">
        <f>Таблица1[[#This Row],[Годовой доход]]/12</f>
        <v>126717.33333333333</v>
      </c>
      <c r="X1989" s="3">
        <f>Таблица1[[#This Row],[Ежемесячный платеж]]/Таблица1[[#This Row],[Ежем доход]]</f>
        <v>0.16080017992802878</v>
      </c>
      <c r="Y1989" s="3"/>
      <c r="Z1989" s="3"/>
      <c r="AA1989" s="3"/>
      <c r="AB1989" s="3"/>
    </row>
    <row r="1990" spans="1:28" x14ac:dyDescent="0.2">
      <c r="A1990">
        <v>1240</v>
      </c>
      <c r="B1990" t="s">
        <v>1279</v>
      </c>
      <c r="C1990" t="s">
        <v>18</v>
      </c>
      <c r="D1990" t="s">
        <v>19</v>
      </c>
      <c r="E1990" t="s">
        <v>41</v>
      </c>
      <c r="F1990" t="s">
        <v>27</v>
      </c>
      <c r="G1990" t="s">
        <v>2037</v>
      </c>
      <c r="H1990" s="1">
        <v>309594.52439999999</v>
      </c>
      <c r="I1990" s="3">
        <v>734</v>
      </c>
      <c r="J1990" s="3">
        <v>456589</v>
      </c>
      <c r="K1990" s="3">
        <v>4489.8900000000003</v>
      </c>
      <c r="L1990" s="2">
        <v>19.600000000000001</v>
      </c>
      <c r="M1990" s="11">
        <v>35.265240640000002</v>
      </c>
      <c r="N1990" s="3">
        <v>8</v>
      </c>
      <c r="O1990" s="3">
        <v>2907</v>
      </c>
      <c r="P1990" s="3">
        <v>13222</v>
      </c>
      <c r="Q1990" s="10">
        <v>0</v>
      </c>
      <c r="R1990" s="3">
        <f>(Таблица1[Размер кредита]-$AA$2)/$AA$3</f>
        <v>-1.2411115481956205E-10</v>
      </c>
      <c r="S1990" s="3">
        <f>(Таблица1[Кредитный рейтинг]-$AA$7)/($AA$8-$AA$7)</f>
        <v>0.9773635153129161</v>
      </c>
      <c r="T1990" s="3">
        <f>(Таблица1[Срок с последнего нарушения кредитного договора (мес,)]-$AA$12)/($AA$13-$AA$12)</f>
        <v>0.40074137090909095</v>
      </c>
      <c r="U1990" s="3">
        <f>(Таблица1[Количество кредитных карт]-$AA$18)/($AA$19-$AA$18)</f>
        <v>0.16666666666666666</v>
      </c>
      <c r="V1990" s="3">
        <f>(Таблица1[Число нарушений кредитных договоров]-$AA$23)/($AA$24-$AA$23)</f>
        <v>0</v>
      </c>
      <c r="W1990" s="3">
        <f>Таблица1[[#This Row],[Годовой доход]]/12</f>
        <v>38049.083333333336</v>
      </c>
      <c r="X1990" s="3">
        <f>Таблица1[[#This Row],[Ежемесячный платеж]]/Таблица1[[#This Row],[Ежем доход]]</f>
        <v>0.11800258000083226</v>
      </c>
      <c r="Y1990" s="3"/>
      <c r="Z1990" s="3"/>
      <c r="AA1990" s="3"/>
      <c r="AB1990" s="3"/>
    </row>
    <row r="1991" spans="1:28" x14ac:dyDescent="0.2">
      <c r="A1991">
        <v>363</v>
      </c>
      <c r="B1991" t="s">
        <v>405</v>
      </c>
      <c r="C1991" t="s">
        <v>18</v>
      </c>
      <c r="D1991" t="s">
        <v>19</v>
      </c>
      <c r="E1991" t="s">
        <v>47</v>
      </c>
      <c r="F1991" t="s">
        <v>33</v>
      </c>
      <c r="G1991" t="s">
        <v>67</v>
      </c>
      <c r="H1991" s="1">
        <v>43318</v>
      </c>
      <c r="I1991" s="3">
        <v>708</v>
      </c>
      <c r="J1991" s="3">
        <v>897769</v>
      </c>
      <c r="K1991" s="3">
        <v>7391.57</v>
      </c>
      <c r="L1991" s="2">
        <v>17.899999999999999</v>
      </c>
      <c r="M1991" s="11">
        <v>35.265240640000002</v>
      </c>
      <c r="N1991" s="3">
        <v>2</v>
      </c>
      <c r="O1991" s="3">
        <v>3382</v>
      </c>
      <c r="P1991" s="3">
        <v>4334</v>
      </c>
      <c r="Q1991" s="10">
        <v>0</v>
      </c>
      <c r="R1991" s="3">
        <f>(Таблица1[Размер кредита]-$AA$2)/$AA$3</f>
        <v>-1.5159870513858789</v>
      </c>
      <c r="S1991" s="3">
        <f>(Таблица1[Кредитный рейтинг]-$AA$7)/($AA$8-$AA$7)</f>
        <v>0.94274300932090549</v>
      </c>
      <c r="T1991" s="3">
        <f>(Таблица1[Срок с последнего нарушения кредитного договора (мес,)]-$AA$12)/($AA$13-$AA$12)</f>
        <v>0.40074137090909095</v>
      </c>
      <c r="U1991" s="3">
        <f>(Таблица1[Количество кредитных карт]-$AA$18)/($AA$19-$AA$18)</f>
        <v>2.3809523809523808E-2</v>
      </c>
      <c r="V1991" s="3">
        <f>(Таблица1[Число нарушений кредитных договоров]-$AA$23)/($AA$24-$AA$23)</f>
        <v>0</v>
      </c>
      <c r="W1991" s="3">
        <f>Таблица1[[#This Row],[Годовой доход]]/12</f>
        <v>74814.083333333328</v>
      </c>
      <c r="X1991" s="3">
        <f>Таблица1[[#This Row],[Ежемесячный платеж]]/Таблица1[[#This Row],[Ежем доход]]</f>
        <v>9.8799178853357608E-2</v>
      </c>
      <c r="Y1991" s="3"/>
      <c r="Z1991" s="3"/>
      <c r="AA1991" s="3"/>
      <c r="AB1991" s="3"/>
    </row>
    <row r="1992" spans="1:28" x14ac:dyDescent="0.2">
      <c r="A1992">
        <v>270</v>
      </c>
      <c r="B1992" t="s">
        <v>312</v>
      </c>
      <c r="C1992" t="s">
        <v>18</v>
      </c>
      <c r="D1992" t="s">
        <v>19</v>
      </c>
      <c r="E1992" t="s">
        <v>24</v>
      </c>
      <c r="F1992" t="s">
        <v>21</v>
      </c>
      <c r="G1992" t="s">
        <v>2040</v>
      </c>
      <c r="H1992" s="1">
        <v>309594.52439999999</v>
      </c>
      <c r="I1992" s="3">
        <v>746</v>
      </c>
      <c r="J1992" s="3">
        <v>456646</v>
      </c>
      <c r="K1992" s="3">
        <v>2481.02</v>
      </c>
      <c r="L1992" s="2">
        <v>18.8</v>
      </c>
      <c r="M1992" s="11">
        <v>56</v>
      </c>
      <c r="N1992" s="3">
        <v>5</v>
      </c>
      <c r="O1992" s="3">
        <v>0</v>
      </c>
      <c r="P1992" s="3">
        <v>0</v>
      </c>
      <c r="Q1992" s="10">
        <v>0</v>
      </c>
      <c r="R1992" s="3">
        <f>(Таблица1[Размер кредита]-$AA$2)/$AA$3</f>
        <v>-1.2411115481956205E-10</v>
      </c>
      <c r="S1992" s="3">
        <f>(Таблица1[Кредитный рейтинг]-$AA$7)/($AA$8-$AA$7)</f>
        <v>0.99334221038615178</v>
      </c>
      <c r="T1992" s="3">
        <f>(Таблица1[Срок с последнего нарушения кредитного договора (мес,)]-$AA$12)/($AA$13-$AA$12)</f>
        <v>0.63636363636363635</v>
      </c>
      <c r="U1992" s="3">
        <f>(Таблица1[Количество кредитных карт]-$AA$18)/($AA$19-$AA$18)</f>
        <v>9.5238095238095233E-2</v>
      </c>
      <c r="V1992" s="3">
        <f>(Таблица1[Число нарушений кредитных договоров]-$AA$23)/($AA$24-$AA$23)</f>
        <v>0</v>
      </c>
      <c r="W1992" s="3">
        <f>Таблица1[[#This Row],[Годовой доход]]/12</f>
        <v>38053.833333333336</v>
      </c>
      <c r="X1992" s="3">
        <f>Таблица1[[#This Row],[Ежемесячный платеж]]/Таблица1[[#This Row],[Ежем доход]]</f>
        <v>6.5197636681368062E-2</v>
      </c>
      <c r="Y1992" s="3"/>
      <c r="Z1992" s="3"/>
      <c r="AA1992" s="3"/>
      <c r="AB1992" s="3"/>
    </row>
    <row r="1993" spans="1:28" x14ac:dyDescent="0.2">
      <c r="A1993">
        <v>870</v>
      </c>
      <c r="B1993" t="s">
        <v>911</v>
      </c>
      <c r="C1993" t="s">
        <v>18</v>
      </c>
      <c r="D1993" t="s">
        <v>19</v>
      </c>
      <c r="E1993" t="s">
        <v>37</v>
      </c>
      <c r="F1993" t="s">
        <v>33</v>
      </c>
      <c r="G1993" t="s">
        <v>67</v>
      </c>
      <c r="H1993" s="1">
        <v>117722</v>
      </c>
      <c r="I1993" s="3">
        <v>0</v>
      </c>
      <c r="J1993" s="3">
        <v>1168044</v>
      </c>
      <c r="K1993" s="3">
        <v>19875.52</v>
      </c>
      <c r="L1993" s="2">
        <v>12</v>
      </c>
      <c r="M1993" s="11">
        <v>4</v>
      </c>
      <c r="N1993" s="3">
        <v>11</v>
      </c>
      <c r="O1993" s="3">
        <v>0</v>
      </c>
      <c r="P1993" s="3">
        <v>0</v>
      </c>
      <c r="Q1993" s="10">
        <v>0</v>
      </c>
      <c r="R1993" s="3">
        <f>(Таблица1[Размер кредита]-$AA$2)/$AA$3</f>
        <v>-1.0923841790852047</v>
      </c>
      <c r="S1993" s="3">
        <f>(Таблица1[Кредитный рейтинг]-$AA$7)/($AA$8-$AA$7)</f>
        <v>0</v>
      </c>
      <c r="T1993" s="3">
        <f>(Таблица1[Срок с последнего нарушения кредитного договора (мес,)]-$AA$12)/($AA$13-$AA$12)</f>
        <v>4.5454545454545456E-2</v>
      </c>
      <c r="U1993" s="3">
        <f>(Таблица1[Количество кредитных карт]-$AA$18)/($AA$19-$AA$18)</f>
        <v>0.23809523809523808</v>
      </c>
      <c r="V1993" s="3">
        <f>(Таблица1[Число нарушений кредитных договоров]-$AA$23)/($AA$24-$AA$23)</f>
        <v>0</v>
      </c>
      <c r="W1993" s="3">
        <f>Таблица1[[#This Row],[Годовой доход]]/12</f>
        <v>97337</v>
      </c>
      <c r="X1993" s="3">
        <f>Таблица1[[#This Row],[Ежемесячный платеж]]/Таблица1[[#This Row],[Ежем доход]]</f>
        <v>0.20419285574858481</v>
      </c>
      <c r="Y1993" s="3"/>
      <c r="Z1993" s="3"/>
      <c r="AA1993" s="3"/>
      <c r="AB1993" s="3"/>
    </row>
    <row r="1994" spans="1:28" x14ac:dyDescent="0.2">
      <c r="A1994">
        <v>1136</v>
      </c>
      <c r="B1994" t="s">
        <v>1175</v>
      </c>
      <c r="C1994" t="s">
        <v>18</v>
      </c>
      <c r="D1994" t="s">
        <v>19</v>
      </c>
      <c r="E1994" t="s">
        <v>69</v>
      </c>
      <c r="F1994" t="s">
        <v>33</v>
      </c>
      <c r="G1994" t="s">
        <v>25</v>
      </c>
      <c r="H1994" s="1">
        <v>67342</v>
      </c>
      <c r="I1994" s="3">
        <v>0</v>
      </c>
      <c r="J1994" s="3">
        <v>1168044</v>
      </c>
      <c r="K1994" s="3">
        <v>9884.3700000000008</v>
      </c>
      <c r="L1994" s="2">
        <v>19.7</v>
      </c>
      <c r="M1994" s="11">
        <v>20</v>
      </c>
      <c r="N1994" s="3">
        <v>4</v>
      </c>
      <c r="O1994" s="3">
        <v>11552</v>
      </c>
      <c r="P1994" s="3">
        <v>0</v>
      </c>
      <c r="Q1994" s="10">
        <v>0</v>
      </c>
      <c r="R1994" s="3">
        <f>(Таблица1[Размер кредита]-$AA$2)/$AA$3</f>
        <v>-1.3792116709741886</v>
      </c>
      <c r="S1994" s="3">
        <f>(Таблица1[Кредитный рейтинг]-$AA$7)/($AA$8-$AA$7)</f>
        <v>0</v>
      </c>
      <c r="T1994" s="3">
        <f>(Таблица1[Срок с последнего нарушения кредитного договора (мес,)]-$AA$12)/($AA$13-$AA$12)</f>
        <v>0.22727272727272727</v>
      </c>
      <c r="U1994" s="3">
        <f>(Таблица1[Количество кредитных карт]-$AA$18)/($AA$19-$AA$18)</f>
        <v>7.1428571428571425E-2</v>
      </c>
      <c r="V1994" s="3">
        <f>(Таблица1[Число нарушений кредитных договоров]-$AA$23)/($AA$24-$AA$23)</f>
        <v>0</v>
      </c>
      <c r="W1994" s="3">
        <f>Таблица1[[#This Row],[Годовой доход]]/12</f>
        <v>97337</v>
      </c>
      <c r="X1994" s="3">
        <f>Таблица1[[#This Row],[Ежемесячный платеж]]/Таблица1[[#This Row],[Ежем доход]]</f>
        <v>0.10154792113995706</v>
      </c>
      <c r="Y1994" s="3"/>
      <c r="Z1994" s="3"/>
      <c r="AA1994" s="3"/>
      <c r="AB1994" s="3"/>
    </row>
    <row r="1995" spans="1:28" x14ac:dyDescent="0.2">
      <c r="A1995">
        <v>1155</v>
      </c>
      <c r="B1995" t="s">
        <v>1194</v>
      </c>
      <c r="C1995" t="s">
        <v>18</v>
      </c>
      <c r="D1995" t="s">
        <v>19</v>
      </c>
      <c r="E1995" t="s">
        <v>47</v>
      </c>
      <c r="F1995" t="s">
        <v>21</v>
      </c>
      <c r="G1995" t="s">
        <v>70</v>
      </c>
      <c r="H1995" s="1">
        <v>220726</v>
      </c>
      <c r="I1995" s="3">
        <v>0</v>
      </c>
      <c r="J1995" s="3">
        <v>1168044</v>
      </c>
      <c r="K1995" s="3">
        <v>1120.24</v>
      </c>
      <c r="L1995" s="2">
        <v>16</v>
      </c>
      <c r="M1995" s="11">
        <v>18</v>
      </c>
      <c r="N1995" s="3">
        <v>4</v>
      </c>
      <c r="O1995" s="3">
        <v>0</v>
      </c>
      <c r="P1995" s="3">
        <v>0</v>
      </c>
      <c r="Q1995" s="10">
        <v>0</v>
      </c>
      <c r="R1995" s="3">
        <f>(Таблица1[Размер кредита]-$AA$2)/$AA$3</f>
        <v>-0.50595347296108972</v>
      </c>
      <c r="S1995" s="3">
        <f>(Таблица1[Кредитный рейтинг]-$AA$7)/($AA$8-$AA$7)</f>
        <v>0</v>
      </c>
      <c r="T1995" s="3">
        <f>(Таблица1[Срок с последнего нарушения кредитного договора (мес,)]-$AA$12)/($AA$13-$AA$12)</f>
        <v>0.20454545454545456</v>
      </c>
      <c r="U1995" s="3">
        <f>(Таблица1[Количество кредитных карт]-$AA$18)/($AA$19-$AA$18)</f>
        <v>7.1428571428571425E-2</v>
      </c>
      <c r="V1995" s="3">
        <f>(Таблица1[Число нарушений кредитных договоров]-$AA$23)/($AA$24-$AA$23)</f>
        <v>0</v>
      </c>
      <c r="W1995" s="3">
        <f>Таблица1[[#This Row],[Годовой доход]]/12</f>
        <v>97337</v>
      </c>
      <c r="X1995" s="3">
        <f>Таблица1[[#This Row],[Ежемесячный платеж]]/Таблица1[[#This Row],[Ежем доход]]</f>
        <v>1.1508881514737458E-2</v>
      </c>
      <c r="Y1995" s="3"/>
      <c r="Z1995" s="3"/>
      <c r="AA1995" s="3"/>
      <c r="AB1995" s="3"/>
    </row>
    <row r="1996" spans="1:28" x14ac:dyDescent="0.2">
      <c r="A1996">
        <v>1229</v>
      </c>
      <c r="B1996" t="s">
        <v>1268</v>
      </c>
      <c r="C1996" t="s">
        <v>18</v>
      </c>
      <c r="D1996" t="s">
        <v>19</v>
      </c>
      <c r="E1996" t="s">
        <v>24</v>
      </c>
      <c r="F1996" t="s">
        <v>21</v>
      </c>
      <c r="G1996" t="s">
        <v>67</v>
      </c>
      <c r="H1996" s="1">
        <v>112508</v>
      </c>
      <c r="I1996" s="3">
        <v>746</v>
      </c>
      <c r="J1996" s="3">
        <v>2055515</v>
      </c>
      <c r="K1996" s="3">
        <v>5549.9</v>
      </c>
      <c r="L1996" s="2">
        <v>20.3</v>
      </c>
      <c r="M1996" s="11">
        <v>35.265240640000002</v>
      </c>
      <c r="N1996" s="3">
        <v>10</v>
      </c>
      <c r="O1996" s="3">
        <v>0</v>
      </c>
      <c r="P1996" s="3">
        <v>0</v>
      </c>
      <c r="Q1996" s="10">
        <v>0</v>
      </c>
      <c r="R1996" s="3">
        <f>(Таблица1[Размер кредита]-$AA$2)/$AA$3</f>
        <v>-1.1220689457130164</v>
      </c>
      <c r="S1996" s="3">
        <f>(Таблица1[Кредитный рейтинг]-$AA$7)/($AA$8-$AA$7)</f>
        <v>0.99334221038615178</v>
      </c>
      <c r="T1996" s="3">
        <f>(Таблица1[Срок с последнего нарушения кредитного договора (мес,)]-$AA$12)/($AA$13-$AA$12)</f>
        <v>0.40074137090909095</v>
      </c>
      <c r="U1996" s="3">
        <f>(Таблица1[Количество кредитных карт]-$AA$18)/($AA$19-$AA$18)</f>
        <v>0.21428571428571427</v>
      </c>
      <c r="V1996" s="3">
        <f>(Таблица1[Число нарушений кредитных договоров]-$AA$23)/($AA$24-$AA$23)</f>
        <v>0</v>
      </c>
      <c r="W1996" s="3">
        <f>Таблица1[[#This Row],[Годовой доход]]/12</f>
        <v>171292.91666666666</v>
      </c>
      <c r="X1996" s="3">
        <f>Таблица1[[#This Row],[Ежемесячный платеж]]/Таблица1[[#This Row],[Ежем доход]]</f>
        <v>3.2400055460553683E-2</v>
      </c>
      <c r="Y1996" s="3"/>
      <c r="Z1996" s="3"/>
      <c r="AA1996" s="3"/>
      <c r="AB1996" s="3"/>
    </row>
    <row r="1997" spans="1:28" x14ac:dyDescent="0.2">
      <c r="A1997">
        <v>1243</v>
      </c>
      <c r="B1997" t="s">
        <v>1282</v>
      </c>
      <c r="C1997" t="s">
        <v>18</v>
      </c>
      <c r="D1997" t="s">
        <v>19</v>
      </c>
      <c r="E1997" t="s">
        <v>37</v>
      </c>
      <c r="F1997" t="s">
        <v>33</v>
      </c>
      <c r="G1997" t="s">
        <v>67</v>
      </c>
      <c r="H1997" s="1">
        <v>334290</v>
      </c>
      <c r="I1997" s="3">
        <v>0</v>
      </c>
      <c r="J1997" s="3">
        <v>1168044</v>
      </c>
      <c r="K1997" s="3">
        <v>10826.39</v>
      </c>
      <c r="L1997" s="2">
        <v>15.4</v>
      </c>
      <c r="M1997" s="11">
        <v>35.265240640000002</v>
      </c>
      <c r="N1997" s="3">
        <v>12</v>
      </c>
      <c r="O1997" s="3">
        <v>0</v>
      </c>
      <c r="P1997" s="3">
        <v>0</v>
      </c>
      <c r="Q1997" s="10">
        <v>0</v>
      </c>
      <c r="R1997" s="3">
        <f>(Таблица1[Размер кредита]-$AA$2)/$AA$3</f>
        <v>0.14059827949783416</v>
      </c>
      <c r="S1997" s="3">
        <f>(Таблица1[Кредитный рейтинг]-$AA$7)/($AA$8-$AA$7)</f>
        <v>0</v>
      </c>
      <c r="T1997" s="3">
        <f>(Таблица1[Срок с последнего нарушения кредитного договора (мес,)]-$AA$12)/($AA$13-$AA$12)</f>
        <v>0.40074137090909095</v>
      </c>
      <c r="U1997" s="3">
        <f>(Таблица1[Количество кредитных карт]-$AA$18)/($AA$19-$AA$18)</f>
        <v>0.26190476190476192</v>
      </c>
      <c r="V1997" s="3">
        <f>(Таблица1[Число нарушений кредитных договоров]-$AA$23)/($AA$24-$AA$23)</f>
        <v>0</v>
      </c>
      <c r="W1997" s="3">
        <f>Таблица1[[#This Row],[Годовой доход]]/12</f>
        <v>97337</v>
      </c>
      <c r="X1997" s="3">
        <f>Таблица1[[#This Row],[Ежемесячный платеж]]/Таблица1[[#This Row],[Ежем доход]]</f>
        <v>0.11122584423189537</v>
      </c>
      <c r="Y1997" s="3"/>
      <c r="Z1997" s="3"/>
      <c r="AA1997" s="3"/>
      <c r="AB1997" s="3"/>
    </row>
    <row r="1998" spans="1:28" x14ac:dyDescent="0.2">
      <c r="A1998">
        <v>1350</v>
      </c>
      <c r="B1998" t="s">
        <v>1389</v>
      </c>
      <c r="C1998" t="s">
        <v>18</v>
      </c>
      <c r="D1998" t="s">
        <v>29</v>
      </c>
      <c r="E1998" t="s">
        <v>47</v>
      </c>
      <c r="F1998" t="s">
        <v>21</v>
      </c>
      <c r="G1998" t="s">
        <v>75</v>
      </c>
      <c r="H1998" s="1">
        <v>287386</v>
      </c>
      <c r="I1998" s="3">
        <v>705</v>
      </c>
      <c r="J1998" s="3">
        <v>700967</v>
      </c>
      <c r="K1998" s="3">
        <v>34.96</v>
      </c>
      <c r="L1998" s="2">
        <v>6.5</v>
      </c>
      <c r="M1998" s="11">
        <v>35.265240640000002</v>
      </c>
      <c r="N1998" s="3">
        <v>5</v>
      </c>
      <c r="O1998" s="3">
        <v>38</v>
      </c>
      <c r="P1998" s="3">
        <v>0</v>
      </c>
      <c r="Q1998" s="10">
        <v>1</v>
      </c>
      <c r="R1998" s="3">
        <f>(Таблица1[Размер кредита]-$AA$2)/$AA$3</f>
        <v>-0.12643936797260863</v>
      </c>
      <c r="S1998" s="3">
        <f>(Таблица1[Кредитный рейтинг]-$AA$7)/($AA$8-$AA$7)</f>
        <v>0.93874833555259651</v>
      </c>
      <c r="T1998" s="3">
        <f>(Таблица1[Срок с последнего нарушения кредитного договора (мес,)]-$AA$12)/($AA$13-$AA$12)</f>
        <v>0.40074137090909095</v>
      </c>
      <c r="U1998" s="3">
        <f>(Таблица1[Количество кредитных карт]-$AA$18)/($AA$19-$AA$18)</f>
        <v>9.5238095238095233E-2</v>
      </c>
      <c r="V1998" s="3">
        <f>(Таблица1[Число нарушений кредитных договоров]-$AA$23)/($AA$24-$AA$23)</f>
        <v>0.14285714285714285</v>
      </c>
      <c r="W1998" s="3">
        <f>Таблица1[[#This Row],[Годовой доход]]/12</f>
        <v>58413.916666666664</v>
      </c>
      <c r="X1998" s="3">
        <f>Таблица1[[#This Row],[Ежемесячный платеж]]/Таблица1[[#This Row],[Ежем доход]]</f>
        <v>5.9848751795733607E-4</v>
      </c>
      <c r="Y1998" s="3"/>
      <c r="Z1998" s="3"/>
      <c r="AA1998" s="3"/>
      <c r="AB1998" s="3"/>
    </row>
    <row r="1999" spans="1:28" x14ac:dyDescent="0.2">
      <c r="A1999">
        <v>1680</v>
      </c>
      <c r="B1999" t="s">
        <v>1718</v>
      </c>
      <c r="C1999" t="s">
        <v>18</v>
      </c>
      <c r="D1999" t="s">
        <v>19</v>
      </c>
      <c r="E1999" t="s">
        <v>41</v>
      </c>
      <c r="F1999" t="s">
        <v>21</v>
      </c>
      <c r="G1999" t="s">
        <v>67</v>
      </c>
      <c r="H1999" s="1">
        <v>32406</v>
      </c>
      <c r="I1999" s="3">
        <v>732</v>
      </c>
      <c r="J1999" s="3">
        <v>1586253</v>
      </c>
      <c r="K1999" s="3">
        <v>10204.9</v>
      </c>
      <c r="L1999" s="2">
        <v>21.9</v>
      </c>
      <c r="M1999" s="11">
        <v>10</v>
      </c>
      <c r="N1999" s="3">
        <v>4</v>
      </c>
      <c r="O1999" s="3">
        <v>0</v>
      </c>
      <c r="P1999" s="3">
        <v>0</v>
      </c>
      <c r="Q1999" s="10">
        <v>0</v>
      </c>
      <c r="R1999" s="3">
        <f>(Таблица1[Размер кредита]-$AA$2)/$AA$3</f>
        <v>-1.5781121325985146</v>
      </c>
      <c r="S1999" s="3">
        <f>(Таблица1[Кредитный рейтинг]-$AA$7)/($AA$8-$AA$7)</f>
        <v>0.97470039946737685</v>
      </c>
      <c r="T1999" s="3">
        <f>(Таблица1[Срок с последнего нарушения кредитного договора (мес,)]-$AA$12)/($AA$13-$AA$12)</f>
        <v>0.11363636363636363</v>
      </c>
      <c r="U1999" s="3">
        <f>(Таблица1[Количество кредитных карт]-$AA$18)/($AA$19-$AA$18)</f>
        <v>7.1428571428571425E-2</v>
      </c>
      <c r="V1999" s="3">
        <f>(Таблица1[Число нарушений кредитных договоров]-$AA$23)/($AA$24-$AA$23)</f>
        <v>0</v>
      </c>
      <c r="W1999" s="3">
        <f>Таблица1[[#This Row],[Годовой доход]]/12</f>
        <v>132187.75</v>
      </c>
      <c r="X1999" s="3">
        <f>Таблица1[[#This Row],[Ежемесячный платеж]]/Таблица1[[#This Row],[Ежем доход]]</f>
        <v>7.7200043120485826E-2</v>
      </c>
      <c r="Y1999" s="3"/>
      <c r="Z1999" s="3"/>
      <c r="AA1999" s="3"/>
      <c r="AB1999" s="3"/>
    </row>
    <row r="2000" spans="1:28" x14ac:dyDescent="0.2">
      <c r="A2000">
        <v>1814</v>
      </c>
      <c r="B2000" t="s">
        <v>1852</v>
      </c>
      <c r="C2000" t="s">
        <v>18</v>
      </c>
      <c r="D2000" t="s">
        <v>19</v>
      </c>
      <c r="E2000" t="s">
        <v>41</v>
      </c>
      <c r="F2000" t="s">
        <v>33</v>
      </c>
      <c r="G2000" t="s">
        <v>25</v>
      </c>
      <c r="H2000" s="1">
        <v>129514</v>
      </c>
      <c r="I2000" s="3">
        <v>0</v>
      </c>
      <c r="J2000" s="3">
        <v>1168044</v>
      </c>
      <c r="K2000" s="3">
        <v>310.64999999999998</v>
      </c>
      <c r="L2000" s="2">
        <v>10.4</v>
      </c>
      <c r="M2000" s="11">
        <v>22</v>
      </c>
      <c r="N2000" s="3">
        <v>6</v>
      </c>
      <c r="O2000" s="3">
        <v>0</v>
      </c>
      <c r="P2000" s="3">
        <v>0</v>
      </c>
      <c r="Q2000" s="10">
        <v>0</v>
      </c>
      <c r="R2000" s="3">
        <f>(Таблица1[Размер кредита]-$AA$2)/$AA$3</f>
        <v>-1.0252490106780014</v>
      </c>
      <c r="S2000" s="3">
        <f>(Таблица1[Кредитный рейтинг]-$AA$7)/($AA$8-$AA$7)</f>
        <v>0</v>
      </c>
      <c r="T2000" s="3">
        <f>(Таблица1[Срок с последнего нарушения кредитного договора (мес,)]-$AA$12)/($AA$13-$AA$12)</f>
        <v>0.25</v>
      </c>
      <c r="U2000" s="3">
        <f>(Таблица1[Количество кредитных карт]-$AA$18)/($AA$19-$AA$18)</f>
        <v>0.11904761904761904</v>
      </c>
      <c r="V2000" s="3">
        <f>(Таблица1[Число нарушений кредитных договоров]-$AA$23)/($AA$24-$AA$23)</f>
        <v>0</v>
      </c>
      <c r="W2000" s="3">
        <f>Таблица1[[#This Row],[Годовой доход]]/12</f>
        <v>97337</v>
      </c>
      <c r="X2000" s="3">
        <f>Таблица1[[#This Row],[Ежемесячный платеж]]/Таблица1[[#This Row],[Ежем доход]]</f>
        <v>3.1914893617021275E-3</v>
      </c>
      <c r="Y2000" s="3"/>
      <c r="Z2000" s="3"/>
      <c r="AA2000" s="3"/>
      <c r="AB2000" s="3"/>
    </row>
    <row r="2001" spans="1:28" x14ac:dyDescent="0.2">
      <c r="A2001">
        <v>1986</v>
      </c>
      <c r="B2001" t="s">
        <v>2022</v>
      </c>
      <c r="C2001" t="s">
        <v>18</v>
      </c>
      <c r="D2001" t="s">
        <v>19</v>
      </c>
      <c r="E2001" t="s">
        <v>41</v>
      </c>
      <c r="F2001" t="s">
        <v>27</v>
      </c>
      <c r="G2001" t="s">
        <v>70</v>
      </c>
      <c r="H2001" s="1">
        <v>388168</v>
      </c>
      <c r="I2001" s="3">
        <v>693</v>
      </c>
      <c r="J2001" s="3">
        <v>1042929</v>
      </c>
      <c r="K2001" s="3">
        <v>0</v>
      </c>
      <c r="L2001" s="2">
        <v>19.8</v>
      </c>
      <c r="M2001" s="11">
        <v>35.265240640000002</v>
      </c>
      <c r="N2001" s="3">
        <v>2</v>
      </c>
      <c r="O2001" s="3">
        <v>0</v>
      </c>
      <c r="P2001" s="3">
        <v>0</v>
      </c>
      <c r="Q2001" s="10">
        <v>0</v>
      </c>
      <c r="R2001" s="3">
        <f>(Таблица1[Размер кредита]-$AA$2)/$AA$3</f>
        <v>0.4473408679852236</v>
      </c>
      <c r="S2001" s="3">
        <f>(Таблица1[Кредитный рейтинг]-$AA$7)/($AA$8-$AA$7)</f>
        <v>0.92276964047936083</v>
      </c>
      <c r="T2001" s="3">
        <f>(Таблица1[Срок с последнего нарушения кредитного договора (мес,)]-$AA$12)/($AA$13-$AA$12)</f>
        <v>0.40074137090909095</v>
      </c>
      <c r="U2001" s="3">
        <f>(Таблица1[Количество кредитных карт]-$AA$18)/($AA$19-$AA$18)</f>
        <v>2.3809523809523808E-2</v>
      </c>
      <c r="V2001" s="3">
        <f>(Таблица1[Число нарушений кредитных договоров]-$AA$23)/($AA$24-$AA$23)</f>
        <v>0</v>
      </c>
      <c r="W2001" s="3">
        <f>Таблица1[[#This Row],[Годовой доход]]/12</f>
        <v>86910.75</v>
      </c>
      <c r="X2001" s="3">
        <f>Таблица1[[#This Row],[Ежемесячный платеж]]/Таблица1[[#This Row],[Ежем доход]]</f>
        <v>0</v>
      </c>
      <c r="Y2001" s="3"/>
      <c r="Z2001" s="3"/>
      <c r="AA2001" s="3"/>
      <c r="AB2001" s="3"/>
    </row>
  </sheetData>
  <phoneticPr fontId="2" type="noConversion"/>
  <conditionalFormatting sqref="AD19:AM19">
    <cfRule type="cellIs" dxfId="17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7E3C-6C28-FE44-AED6-394F6593163A}">
  <dimension ref="A3:B28"/>
  <sheetViews>
    <sheetView tabSelected="1" workbookViewId="0">
      <selection activeCell="F24" sqref="F24"/>
    </sheetView>
  </sheetViews>
  <sheetFormatPr baseColWidth="10" defaultRowHeight="16" x14ac:dyDescent="0.2"/>
  <cols>
    <col min="1" max="1" width="17.1640625" bestFit="1" customWidth="1"/>
    <col min="2" max="2" width="48" bestFit="1" customWidth="1"/>
    <col min="3" max="3" width="5.5" bestFit="1" customWidth="1"/>
    <col min="4" max="4" width="7.5" bestFit="1" customWidth="1"/>
    <col min="5" max="7" width="6.5" bestFit="1" customWidth="1"/>
    <col min="8" max="12" width="5.5" bestFit="1" customWidth="1"/>
    <col min="13" max="13" width="11.5" bestFit="1" customWidth="1"/>
  </cols>
  <sheetData>
    <row r="3" spans="1:2" x14ac:dyDescent="0.2">
      <c r="A3" s="16" t="s">
        <v>2077</v>
      </c>
      <c r="B3" t="s">
        <v>2079</v>
      </c>
    </row>
    <row r="4" spans="1:2" x14ac:dyDescent="0.2">
      <c r="A4" s="17" t="s">
        <v>35</v>
      </c>
      <c r="B4" s="15">
        <v>464</v>
      </c>
    </row>
    <row r="5" spans="1:2" x14ac:dyDescent="0.2">
      <c r="A5" s="18" t="s">
        <v>37</v>
      </c>
      <c r="B5" s="15">
        <v>40</v>
      </c>
    </row>
    <row r="6" spans="1:2" x14ac:dyDescent="0.2">
      <c r="A6" s="18" t="s">
        <v>63</v>
      </c>
      <c r="B6" s="15">
        <v>33</v>
      </c>
    </row>
    <row r="7" spans="1:2" x14ac:dyDescent="0.2">
      <c r="A7" s="18" t="s">
        <v>24</v>
      </c>
      <c r="B7" s="15">
        <v>160</v>
      </c>
    </row>
    <row r="8" spans="1:2" x14ac:dyDescent="0.2">
      <c r="A8" s="18" t="s">
        <v>41</v>
      </c>
      <c r="B8" s="15">
        <v>50</v>
      </c>
    </row>
    <row r="9" spans="1:2" x14ac:dyDescent="0.2">
      <c r="A9" s="18" t="s">
        <v>30</v>
      </c>
      <c r="B9" s="15">
        <v>31</v>
      </c>
    </row>
    <row r="10" spans="1:2" x14ac:dyDescent="0.2">
      <c r="A10" s="18" t="s">
        <v>47</v>
      </c>
      <c r="B10" s="15">
        <v>34</v>
      </c>
    </row>
    <row r="11" spans="1:2" x14ac:dyDescent="0.2">
      <c r="A11" s="18" t="s">
        <v>32</v>
      </c>
      <c r="B11" s="15">
        <v>27</v>
      </c>
    </row>
    <row r="12" spans="1:2" x14ac:dyDescent="0.2">
      <c r="A12" s="18" t="s">
        <v>69</v>
      </c>
      <c r="B12" s="15">
        <v>23</v>
      </c>
    </row>
    <row r="13" spans="1:2" x14ac:dyDescent="0.2">
      <c r="A13" s="18" t="s">
        <v>52</v>
      </c>
      <c r="B13" s="15">
        <v>29</v>
      </c>
    </row>
    <row r="14" spans="1:2" x14ac:dyDescent="0.2">
      <c r="A14" s="18" t="s">
        <v>20</v>
      </c>
      <c r="B14" s="15">
        <v>18</v>
      </c>
    </row>
    <row r="15" spans="1:2" x14ac:dyDescent="0.2">
      <c r="A15" s="18" t="s">
        <v>50</v>
      </c>
      <c r="B15" s="15">
        <v>19</v>
      </c>
    </row>
    <row r="16" spans="1:2" x14ac:dyDescent="0.2">
      <c r="A16" s="17" t="s">
        <v>18</v>
      </c>
      <c r="B16" s="15">
        <v>1536</v>
      </c>
    </row>
    <row r="17" spans="1:2" x14ac:dyDescent="0.2">
      <c r="A17" s="18" t="s">
        <v>37</v>
      </c>
      <c r="B17" s="15">
        <v>121</v>
      </c>
    </row>
    <row r="18" spans="1:2" x14ac:dyDescent="0.2">
      <c r="A18" s="18" t="s">
        <v>63</v>
      </c>
      <c r="B18" s="15">
        <v>108</v>
      </c>
    </row>
    <row r="19" spans="1:2" x14ac:dyDescent="0.2">
      <c r="A19" s="18" t="s">
        <v>24</v>
      </c>
      <c r="B19" s="15">
        <v>518</v>
      </c>
    </row>
    <row r="20" spans="1:2" x14ac:dyDescent="0.2">
      <c r="A20" s="18" t="s">
        <v>41</v>
      </c>
      <c r="B20" s="15">
        <v>131</v>
      </c>
    </row>
    <row r="21" spans="1:2" x14ac:dyDescent="0.2">
      <c r="A21" s="18" t="s">
        <v>30</v>
      </c>
      <c r="B21" s="15">
        <v>113</v>
      </c>
    </row>
    <row r="22" spans="1:2" x14ac:dyDescent="0.2">
      <c r="A22" s="18" t="s">
        <v>47</v>
      </c>
      <c r="B22" s="15">
        <v>114</v>
      </c>
    </row>
    <row r="23" spans="1:2" x14ac:dyDescent="0.2">
      <c r="A23" s="18" t="s">
        <v>32</v>
      </c>
      <c r="B23" s="15">
        <v>103</v>
      </c>
    </row>
    <row r="24" spans="1:2" x14ac:dyDescent="0.2">
      <c r="A24" s="18" t="s">
        <v>69</v>
      </c>
      <c r="B24" s="15">
        <v>99</v>
      </c>
    </row>
    <row r="25" spans="1:2" x14ac:dyDescent="0.2">
      <c r="A25" s="18" t="s">
        <v>52</v>
      </c>
      <c r="B25" s="15">
        <v>94</v>
      </c>
    </row>
    <row r="26" spans="1:2" x14ac:dyDescent="0.2">
      <c r="A26" s="18" t="s">
        <v>20</v>
      </c>
      <c r="B26" s="15">
        <v>75</v>
      </c>
    </row>
    <row r="27" spans="1:2" x14ac:dyDescent="0.2">
      <c r="A27" s="18" t="s">
        <v>50</v>
      </c>
      <c r="B27" s="15">
        <v>60</v>
      </c>
    </row>
    <row r="28" spans="1:2" x14ac:dyDescent="0.2">
      <c r="A28" s="17" t="s">
        <v>2078</v>
      </c>
      <c r="B28" s="1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2021-10-04T07:34:26Z</dcterms:created>
  <dcterms:modified xsi:type="dcterms:W3CDTF">2021-10-06T12:32:42Z</dcterms:modified>
</cp:coreProperties>
</file>