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Excel/"/>
    </mc:Choice>
  </mc:AlternateContent>
  <xr:revisionPtr revIDLastSave="0" documentId="13_ncr:1_{481B9152-9872-AC4A-9BDD-CDBC7DB05049}" xr6:coauthVersionLast="47" xr6:coauthVersionMax="47" xr10:uidLastSave="{00000000-0000-0000-0000-000000000000}"/>
  <bookViews>
    <workbookView xWindow="0" yWindow="460" windowWidth="28460" windowHeight="15220" activeTab="9" xr2:uid="{00000000-000D-0000-FFFF-FFFF00000000}"/>
  </bookViews>
  <sheets>
    <sheet name="Сводн табл" sheetId="18" r:id="rId1"/>
    <sheet name="Продажи" sheetId="16" r:id="rId2"/>
    <sheet name=" Информация Клиенты" sheetId="1" r:id="rId3"/>
    <sheet name="ИнформацияТовары" sheetId="2" r:id="rId4"/>
    <sheet name="Информация Менеджеры" sheetId="3" r:id="rId5"/>
    <sheet name="Премии" sheetId="14" r:id="rId6"/>
    <sheet name="Отчет1" sheetId="15" r:id="rId7"/>
    <sheet name="Отчет2" sheetId="17" r:id="rId8"/>
    <sheet name="Результативность" sheetId="19" r:id="rId9"/>
    <sheet name="Наибольшее" sheetId="20" r:id="rId10"/>
  </sheets>
  <externalReferences>
    <externalReference r:id="rId11"/>
    <externalReference r:id="rId12"/>
  </externalReferences>
  <definedNames>
    <definedName name="_xlnm._FilterDatabase" localSheetId="1" hidden="1">Продажи!$A$1:$G$52</definedName>
    <definedName name="Выплаты">'[1]Информация Менеджеры'!$D$1:$E$3</definedName>
    <definedName name="Дата" localSheetId="9">#REF!</definedName>
    <definedName name="Дата">Таблица1[Дата]</definedName>
    <definedName name="Дата_возрата_по_рекламации">#REF!</definedName>
    <definedName name="индекс_товара" localSheetId="9">#REF!</definedName>
    <definedName name="индекс_товара" localSheetId="8">#REF!</definedName>
    <definedName name="индекс_товара">Продажи!$I:$I</definedName>
    <definedName name="индексКлиенты" localSheetId="9">#REF!</definedName>
    <definedName name="индексКлиенты" localSheetId="8">#REF!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 localSheetId="9">#REF!</definedName>
    <definedName name="клиент" localSheetId="8">#REF!</definedName>
    <definedName name="клиент">' Информация Клиенты'!$A$2:$A$4</definedName>
    <definedName name="Количество" localSheetId="9">#REF!</definedName>
    <definedName name="Количество" localSheetId="8">#REF!</definedName>
    <definedName name="Количество">Продажи!$E$2:$E$131</definedName>
    <definedName name="Количество_к_возврату" localSheetId="9">#REF!</definedName>
    <definedName name="Количество_к_возврату" localSheetId="8">#REF!</definedName>
    <definedName name="Количество_к_возврату">Продажи!$I$2:$I$131</definedName>
    <definedName name="Конец_периода">Отчет1!$I$1</definedName>
    <definedName name="МЕНЕДЖЕРЫ">'[1]Информация Менеджеры'!$A$1:$B$6</definedName>
    <definedName name="Наименование_клиента" localSheetId="9">#REF!</definedName>
    <definedName name="Наименование_клиента" localSheetId="8">#REF!</definedName>
    <definedName name="Наименование_клиента">Продажи!$C$2:$C$131</definedName>
    <definedName name="Наименование_Товара" localSheetId="9">#REF!</definedName>
    <definedName name="Наименование_Товара" localSheetId="8">#REF!</definedName>
    <definedName name="Наименование_Товара">Продажи!$D$2:$D$131</definedName>
    <definedName name="Начало_периода">Отчет1!$F$1</definedName>
    <definedName name="общая_стоимость">Таблица1[[Общая стоимость ]]</definedName>
    <definedName name="отчет_ЕИ">[2]Отчет1!$A$12:$J$16</definedName>
    <definedName name="отчёт_ЕИ">Отчет1!$A$12:$I$16</definedName>
    <definedName name="отчёт_итог_ЕИ">Отчет1!$B$19:$I$19</definedName>
    <definedName name="отчет_колво_сделок_сумма">[2]Отчет1!$B$27:$I$27</definedName>
    <definedName name="отчёт_КС">Отчет1!$A$21:$J$25</definedName>
    <definedName name="отчёт_КС_итог">Отчет1!$B$26:$I$26</definedName>
    <definedName name="отчет_продажи_рубли">[2]Отчет1!$A$4:$J$8</definedName>
    <definedName name="отчёт_р">Отчет1!$A$4:$I$8</definedName>
    <definedName name="отчет_сделки_ЕИ">[2]Отчет1!$B$19:$I$19</definedName>
    <definedName name="отчёт_товар">Отчет1!$B$11:$I$11</definedName>
    <definedName name="Печенье_отчет">[2]Отчет1!$B$11:$I$11</definedName>
    <definedName name="премия">'[1]Информация Менеджеры'!$G$1:$L$5</definedName>
    <definedName name="Стоимость" localSheetId="9">#REF!</definedName>
    <definedName name="Стоимость" localSheetId="8">#REF!</definedName>
    <definedName name="Стоимость">Продажи!$G$2:$G$131</definedName>
    <definedName name="Стоимость_возврата" localSheetId="9">#REF!</definedName>
    <definedName name="Стоимость_возврата" localSheetId="8">#REF!</definedName>
    <definedName name="Стоимость_возврата">Продажи!$J$2:$J$131</definedName>
    <definedName name="Сумм_КС_менеджер">Отчет1!$J$21:$J$25</definedName>
    <definedName name="Сумм_менеджер">Отчет1!$J$4:$J$8</definedName>
    <definedName name="Сумм_менеджер_ЕИ">Отчет1!$J$12:$J$16</definedName>
    <definedName name="Сумм_товар_р">Отчет1!$B$9:$I$9</definedName>
    <definedName name="Сумм_товар_р_итог">Отчет1!$B$9:$J$9</definedName>
    <definedName name="сумма_колво_сделок_менеджеры">[2]Отчет1!$J$22:$J$26</definedName>
    <definedName name="суммы_ЕИ_менеджеры">[2]Отчет1!$J$12:$J$16</definedName>
    <definedName name="суммы_менеджеры">[2]Отчет1!$J$4:$J$8</definedName>
    <definedName name="суммы_печенье">[2]Отчет1!$B$9:$I$9</definedName>
    <definedName name="суммы_продажи_рубли">[2]Отчет1!$B$9:$J$9</definedName>
    <definedName name="Товар" localSheetId="9">#REF!</definedName>
    <definedName name="Товар" localSheetId="8">#REF!</definedName>
    <definedName name="Товар">ИнформацияТовары!$A$2:$A$10</definedName>
    <definedName name="Товары">[1]Товары!$F$1:$F$11</definedName>
    <definedName name="Товары__">#REF!</definedName>
    <definedName name="Товары1">#REF!</definedName>
    <definedName name="ФИО_мен">Таблица1[ФИО менеджера]</definedName>
    <definedName name="ФИО_менеджера" localSheetId="9">#REF!</definedName>
    <definedName name="ФИО1" localSheetId="9">#REF!</definedName>
    <definedName name="ХарактеристикаТовара" localSheetId="9">#REF!</definedName>
    <definedName name="ХарактеристикаТовара" localSheetId="8">#REF!</definedName>
    <definedName name="ХарактеристикаТовара">Товары_цена[#All]</definedName>
    <definedName name="Цена_продажи" localSheetId="9">#REF!</definedName>
    <definedName name="Цена_продажи" localSheetId="8">#REF!</definedName>
    <definedName name="Цена_продажи">Продажи!$G$2:$G$131</definedName>
    <definedName name="Цены" localSheetId="9">#REF!</definedName>
    <definedName name="Цены" localSheetId="8">#REF!</definedName>
    <definedName name="Цены">ИнформацияТовары!$H$1:$M$9</definedName>
  </definedNames>
  <calcPr calcId="191029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20" l="1"/>
  <c r="D4" i="20" a="1"/>
  <c r="D4" i="20" s="1"/>
  <c r="D5" i="20" a="1"/>
  <c r="D5" i="20"/>
  <c r="D6" i="20" a="1"/>
  <c r="D6" i="20" s="1"/>
  <c r="D7" i="20" a="1"/>
  <c r="D7" i="20" s="1"/>
  <c r="D3" i="20" a="1"/>
  <c r="D3" i="20" s="1"/>
  <c r="C4" i="20" a="1"/>
  <c r="C4" i="20" s="1"/>
  <c r="C5" i="20" a="1"/>
  <c r="C5" i="20" s="1"/>
  <c r="C6" i="20" a="1"/>
  <c r="C6" i="20" s="1"/>
  <c r="C7" i="20" a="1"/>
  <c r="C7" i="20" s="1"/>
  <c r="C3" i="20" a="1"/>
  <c r="C3" i="20" s="1"/>
  <c r="B4" i="20" a="1"/>
  <c r="B4" i="20" s="1"/>
  <c r="B5" i="20" a="1"/>
  <c r="B5" i="20" s="1"/>
  <c r="B6" i="20" a="1"/>
  <c r="B6" i="20" s="1"/>
  <c r="B7" i="20" a="1"/>
  <c r="B7" i="20" s="1"/>
  <c r="B3" i="20" a="1"/>
  <c r="B3" i="20" s="1"/>
  <c r="J21" i="15"/>
  <c r="B22" i="15"/>
  <c r="C22" i="15"/>
  <c r="D22" i="15"/>
  <c r="E22" i="15"/>
  <c r="F22" i="15"/>
  <c r="G22" i="15"/>
  <c r="H22" i="15"/>
  <c r="I22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21" i="15"/>
  <c r="B13" i="15"/>
  <c r="C13" i="15"/>
  <c r="D13" i="15"/>
  <c r="E13" i="15"/>
  <c r="F13" i="15"/>
  <c r="G13" i="15"/>
  <c r="H13" i="15"/>
  <c r="I13" i="15"/>
  <c r="B14" i="15"/>
  <c r="C14" i="15"/>
  <c r="D14" i="15"/>
  <c r="E14" i="15"/>
  <c r="F14" i="15"/>
  <c r="G14" i="15"/>
  <c r="H14" i="15"/>
  <c r="I14" i="15"/>
  <c r="B15" i="15"/>
  <c r="C15" i="15"/>
  <c r="D15" i="15"/>
  <c r="E15" i="15"/>
  <c r="F15" i="15"/>
  <c r="G15" i="15"/>
  <c r="H15" i="15"/>
  <c r="I15" i="15"/>
  <c r="B16" i="15"/>
  <c r="C16" i="15"/>
  <c r="D16" i="15"/>
  <c r="E16" i="15"/>
  <c r="F16" i="15"/>
  <c r="G16" i="15"/>
  <c r="G17" i="15" s="1"/>
  <c r="H16" i="15"/>
  <c r="I16" i="15"/>
  <c r="I17" i="15" s="1"/>
  <c r="B17" i="15"/>
  <c r="C17" i="15"/>
  <c r="D17" i="15"/>
  <c r="E17" i="15"/>
  <c r="F17" i="15"/>
  <c r="H17" i="15"/>
  <c r="C12" i="15"/>
  <c r="D12" i="15"/>
  <c r="E12" i="15"/>
  <c r="F12" i="15"/>
  <c r="G12" i="15"/>
  <c r="H12" i="15"/>
  <c r="I12" i="15"/>
  <c r="B12" i="15"/>
  <c r="B5" i="15"/>
  <c r="C5" i="15"/>
  <c r="D5" i="15"/>
  <c r="E5" i="15"/>
  <c r="F5" i="15"/>
  <c r="G5" i="15"/>
  <c r="H5" i="15"/>
  <c r="I5" i="15"/>
  <c r="B6" i="15"/>
  <c r="C6" i="15"/>
  <c r="D6" i="15"/>
  <c r="E6" i="15"/>
  <c r="E9" i="15" s="1"/>
  <c r="F6" i="15"/>
  <c r="G6" i="15"/>
  <c r="H6" i="15"/>
  <c r="I6" i="15"/>
  <c r="B7" i="15"/>
  <c r="C7" i="15"/>
  <c r="D7" i="15"/>
  <c r="E7" i="15"/>
  <c r="F7" i="15"/>
  <c r="G7" i="15"/>
  <c r="H7" i="15"/>
  <c r="H9" i="15" s="1"/>
  <c r="I7" i="15"/>
  <c r="B8" i="15"/>
  <c r="C8" i="15"/>
  <c r="D8" i="15"/>
  <c r="E8" i="15"/>
  <c r="F8" i="15"/>
  <c r="G8" i="15"/>
  <c r="H8" i="15"/>
  <c r="I8" i="15"/>
  <c r="C4" i="15"/>
  <c r="D4" i="15"/>
  <c r="E4" i="15"/>
  <c r="F4" i="15"/>
  <c r="F9" i="15" s="1"/>
  <c r="G4" i="15"/>
  <c r="H4" i="15"/>
  <c r="I4" i="15"/>
  <c r="B4" i="15"/>
  <c r="B9" i="15" s="1"/>
  <c r="D9" i="15"/>
  <c r="C9" i="15"/>
  <c r="B3" i="19" a="1"/>
  <c r="B3" i="19" s="1"/>
  <c r="B4" i="19" a="1"/>
  <c r="B4" i="19" s="1"/>
  <c r="C4" i="19" a="1"/>
  <c r="C4" i="19" s="1"/>
  <c r="D4" i="19" a="1"/>
  <c r="D4" i="19" s="1"/>
  <c r="E4" i="19" a="1"/>
  <c r="E4" i="19" s="1"/>
  <c r="F4" i="19" a="1"/>
  <c r="F4" i="19" s="1"/>
  <c r="G4" i="19" a="1"/>
  <c r="G4" i="19" s="1"/>
  <c r="H4" i="19" a="1"/>
  <c r="H4" i="19" s="1"/>
  <c r="B5" i="19" a="1"/>
  <c r="B5" i="19" s="1"/>
  <c r="C5" i="19" a="1"/>
  <c r="C5" i="19" s="1"/>
  <c r="D5" i="19" a="1"/>
  <c r="D5" i="19" s="1"/>
  <c r="E5" i="19" a="1"/>
  <c r="E5" i="19" s="1"/>
  <c r="F5" i="19" a="1"/>
  <c r="F5" i="19" s="1"/>
  <c r="G5" i="19" a="1"/>
  <c r="G5" i="19" s="1"/>
  <c r="H5" i="19" a="1"/>
  <c r="H5" i="19" s="1"/>
  <c r="B6" i="19" a="1"/>
  <c r="B6" i="19" s="1"/>
  <c r="C6" i="19" a="1"/>
  <c r="C6" i="19" s="1"/>
  <c r="D6" i="19" a="1"/>
  <c r="D6" i="19" s="1"/>
  <c r="E6" i="19" a="1"/>
  <c r="E6" i="19" s="1"/>
  <c r="F6" i="19" a="1"/>
  <c r="F6" i="19" s="1"/>
  <c r="G6" i="19" a="1"/>
  <c r="G6" i="19" s="1"/>
  <c r="H6" i="19" a="1"/>
  <c r="H6" i="19" s="1"/>
  <c r="B7" i="19" a="1"/>
  <c r="B7" i="19" s="1"/>
  <c r="C7" i="19" a="1"/>
  <c r="C7" i="19" s="1"/>
  <c r="D7" i="19" a="1"/>
  <c r="D7" i="19" s="1"/>
  <c r="E7" i="19" a="1"/>
  <c r="E7" i="19" s="1"/>
  <c r="F7" i="19" a="1"/>
  <c r="F7" i="19" s="1"/>
  <c r="G7" i="19" a="1"/>
  <c r="G7" i="19" s="1"/>
  <c r="H7" i="19" a="1"/>
  <c r="H7" i="19" s="1"/>
  <c r="C3" i="19" a="1"/>
  <c r="C3" i="19" s="1"/>
  <c r="D3" i="19" a="1"/>
  <c r="D3" i="19" s="1"/>
  <c r="E3" i="19" a="1"/>
  <c r="E3" i="19" s="1"/>
  <c r="F3" i="19" a="1"/>
  <c r="F3" i="19" s="1"/>
  <c r="G3" i="19" a="1"/>
  <c r="G3" i="19" s="1"/>
  <c r="H3" i="19" a="1"/>
  <c r="H3" i="19" s="1"/>
  <c r="N5" i="19"/>
  <c r="N3" i="16"/>
  <c r="J4" i="14"/>
  <c r="H4" i="14"/>
  <c r="I9" i="14"/>
  <c r="I5" i="14"/>
  <c r="I6" i="14"/>
  <c r="I7" i="14"/>
  <c r="I8" i="14"/>
  <c r="I4" i="14"/>
  <c r="H9" i="14"/>
  <c r="H5" i="14"/>
  <c r="H6" i="14"/>
  <c r="H7" i="14"/>
  <c r="H8" i="14"/>
  <c r="D4" i="14"/>
  <c r="C4" i="14"/>
  <c r="E4" i="14"/>
  <c r="D5" i="14"/>
  <c r="D6" i="14"/>
  <c r="D7" i="14"/>
  <c r="D8" i="14"/>
  <c r="B66" i="18"/>
  <c r="D18" i="15"/>
  <c r="C18" i="15"/>
  <c r="E18" i="15"/>
  <c r="F18" i="15"/>
  <c r="G18" i="15"/>
  <c r="H18" i="15"/>
  <c r="I18" i="15"/>
  <c r="B18" i="15"/>
  <c r="L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I9" i="15" l="1"/>
  <c r="G9" i="15"/>
  <c r="H17" i="19"/>
  <c r="H18" i="19"/>
  <c r="B14" i="19"/>
  <c r="G16" i="19"/>
  <c r="F15" i="19"/>
  <c r="E14" i="19"/>
  <c r="G18" i="19"/>
  <c r="C18" i="19"/>
  <c r="F17" i="19"/>
  <c r="B17" i="19"/>
  <c r="E16" i="19"/>
  <c r="H15" i="19"/>
  <c r="D15" i="19"/>
  <c r="H14" i="19"/>
  <c r="D14" i="19"/>
  <c r="F18" i="19"/>
  <c r="B18" i="19"/>
  <c r="E17" i="19"/>
  <c r="H16" i="19"/>
  <c r="D16" i="19"/>
  <c r="G15" i="19"/>
  <c r="C15" i="19"/>
  <c r="G14" i="19"/>
  <c r="C14" i="19"/>
  <c r="E18" i="19"/>
  <c r="D17" i="19"/>
  <c r="C16" i="19"/>
  <c r="B15" i="19"/>
  <c r="F14" i="19"/>
  <c r="D18" i="19"/>
  <c r="G17" i="19"/>
  <c r="C17" i="19"/>
  <c r="F16" i="19"/>
  <c r="B16" i="19"/>
  <c r="E15" i="19"/>
  <c r="F8" i="19"/>
  <c r="H8" i="19"/>
  <c r="D8" i="19"/>
  <c r="E8" i="19"/>
  <c r="G8" i="19"/>
  <c r="C8" i="19"/>
  <c r="B8" i="19"/>
  <c r="B7" i="17"/>
  <c r="C19" i="15"/>
  <c r="B10" i="17" s="1"/>
  <c r="B19" i="15"/>
  <c r="D19" i="15"/>
  <c r="H19" i="15"/>
  <c r="J16" i="15"/>
  <c r="J15" i="15"/>
  <c r="J14" i="15"/>
  <c r="J13" i="15"/>
  <c r="F19" i="15"/>
  <c r="E19" i="15"/>
  <c r="I19" i="15"/>
  <c r="J12" i="15"/>
  <c r="G19" i="15"/>
  <c r="E5" i="14"/>
  <c r="E6" i="14"/>
  <c r="E7" i="14"/>
  <c r="E8" i="14"/>
  <c r="F4" i="14"/>
  <c r="F5" i="14"/>
  <c r="F6" i="14"/>
  <c r="F7" i="14"/>
  <c r="F8" i="14"/>
  <c r="B5" i="14"/>
  <c r="B6" i="14"/>
  <c r="B7" i="14"/>
  <c r="B8" i="14"/>
  <c r="B4" i="14"/>
  <c r="C9" i="14"/>
  <c r="C5" i="14"/>
  <c r="C6" i="14"/>
  <c r="C7" i="14"/>
  <c r="C8" i="14"/>
  <c r="A79" i="18"/>
  <c r="A76" i="18"/>
  <c r="A73" i="18"/>
  <c r="A70" i="18"/>
  <c r="I69" i="18"/>
  <c r="I68" i="18"/>
  <c r="A67" i="18"/>
  <c r="F2" i="16"/>
  <c r="J2" i="16" s="1"/>
  <c r="F3" i="16"/>
  <c r="J3" i="16" s="1"/>
  <c r="F4" i="16"/>
  <c r="F5" i="16"/>
  <c r="G5" i="16" s="1"/>
  <c r="F6" i="16"/>
  <c r="J6" i="16" s="1"/>
  <c r="F7" i="16"/>
  <c r="F8" i="16"/>
  <c r="G8" i="16" s="1"/>
  <c r="F9" i="16"/>
  <c r="G9" i="16" s="1"/>
  <c r="F10" i="16"/>
  <c r="J10" i="16" s="1"/>
  <c r="F11" i="16"/>
  <c r="J11" i="16" s="1"/>
  <c r="F12" i="16"/>
  <c r="G12" i="16" s="1"/>
  <c r="F13" i="16"/>
  <c r="F14" i="16"/>
  <c r="J14" i="16" s="1"/>
  <c r="F15" i="16"/>
  <c r="J15" i="16" s="1"/>
  <c r="F16" i="16"/>
  <c r="G16" i="16" s="1"/>
  <c r="F17" i="16"/>
  <c r="G17" i="16" s="1"/>
  <c r="F18" i="16"/>
  <c r="J18" i="16" s="1"/>
  <c r="F19" i="16"/>
  <c r="J19" i="16" s="1"/>
  <c r="F20" i="16"/>
  <c r="F21" i="16"/>
  <c r="G21" i="16" s="1"/>
  <c r="F22" i="16"/>
  <c r="J22" i="16" s="1"/>
  <c r="F23" i="16"/>
  <c r="J23" i="16" s="1"/>
  <c r="F24" i="16"/>
  <c r="G24" i="16" s="1"/>
  <c r="F25" i="16"/>
  <c r="G25" i="16" s="1"/>
  <c r="F26" i="16"/>
  <c r="J26" i="16" s="1"/>
  <c r="F69" i="18" s="1"/>
  <c r="F27" i="16"/>
  <c r="J27" i="16" s="1"/>
  <c r="F28" i="16"/>
  <c r="G28" i="16" s="1"/>
  <c r="F29" i="16"/>
  <c r="G29" i="16" s="1"/>
  <c r="F30" i="16"/>
  <c r="J30" i="16" s="1"/>
  <c r="F31" i="16"/>
  <c r="J31" i="16" s="1"/>
  <c r="F32" i="16"/>
  <c r="G32" i="16" s="1"/>
  <c r="F33" i="16"/>
  <c r="G33" i="16" s="1"/>
  <c r="F34" i="16"/>
  <c r="J34" i="16" s="1"/>
  <c r="F35" i="16"/>
  <c r="J35" i="16" s="1"/>
  <c r="F36" i="16"/>
  <c r="G36" i="16" s="1"/>
  <c r="F37" i="16"/>
  <c r="G37" i="16" s="1"/>
  <c r="F38" i="16"/>
  <c r="J38" i="16" s="1"/>
  <c r="F39" i="16"/>
  <c r="J39" i="16" s="1"/>
  <c r="F40" i="16"/>
  <c r="G40" i="16" s="1"/>
  <c r="F41" i="16"/>
  <c r="G41" i="16" s="1"/>
  <c r="F42" i="16"/>
  <c r="J42" i="16" s="1"/>
  <c r="F78" i="18" s="1"/>
  <c r="F43" i="16"/>
  <c r="J43" i="16" s="1"/>
  <c r="D69" i="18" s="1"/>
  <c r="F44" i="16"/>
  <c r="G44" i="16" s="1"/>
  <c r="F45" i="16"/>
  <c r="G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J51" i="16" s="1"/>
  <c r="F52" i="16"/>
  <c r="G52" i="16" s="1"/>
  <c r="F53" i="16"/>
  <c r="G53" i="16" s="1"/>
  <c r="F54" i="16"/>
  <c r="J54" i="16" s="1"/>
  <c r="F55" i="16"/>
  <c r="J55" i="16" s="1"/>
  <c r="F56" i="16"/>
  <c r="G56" i="16" s="1"/>
  <c r="F57" i="16"/>
  <c r="G57" i="16" s="1"/>
  <c r="F58" i="16"/>
  <c r="J58" i="16" s="1"/>
  <c r="F59" i="16"/>
  <c r="J59" i="16" s="1"/>
  <c r="F60" i="16"/>
  <c r="G60" i="16" s="1"/>
  <c r="F61" i="16"/>
  <c r="G61" i="16" s="1"/>
  <c r="F62" i="16"/>
  <c r="J62" i="16" s="1"/>
  <c r="F63" i="16"/>
  <c r="J63" i="16" s="1"/>
  <c r="F64" i="16"/>
  <c r="G64" i="16" s="1"/>
  <c r="F65" i="16"/>
  <c r="F66" i="16"/>
  <c r="J66" i="16" s="1"/>
  <c r="F67" i="16"/>
  <c r="J67" i="16" s="1"/>
  <c r="F68" i="16"/>
  <c r="G68" i="16" s="1"/>
  <c r="F69" i="16"/>
  <c r="G69" i="16" s="1"/>
  <c r="F70" i="16"/>
  <c r="J70" i="16" s="1"/>
  <c r="F71" i="16"/>
  <c r="J71" i="16" s="1"/>
  <c r="F72" i="16"/>
  <c r="G72" i="16" s="1"/>
  <c r="F73" i="16"/>
  <c r="G73" i="16" s="1"/>
  <c r="F74" i="16"/>
  <c r="J74" i="16" s="1"/>
  <c r="F75" i="16"/>
  <c r="J75" i="16" s="1"/>
  <c r="F76" i="16"/>
  <c r="G76" i="16" s="1"/>
  <c r="F77" i="16"/>
  <c r="G77" i="16" s="1"/>
  <c r="F78" i="16"/>
  <c r="J78" i="16" s="1"/>
  <c r="F79" i="16"/>
  <c r="J79" i="16" s="1"/>
  <c r="F80" i="16"/>
  <c r="G80" i="16" s="1"/>
  <c r="F81" i="16"/>
  <c r="G81" i="16" s="1"/>
  <c r="F82" i="16"/>
  <c r="J82" i="16" s="1"/>
  <c r="F83" i="16"/>
  <c r="J83" i="16" s="1"/>
  <c r="F84" i="16"/>
  <c r="G84" i="16" s="1"/>
  <c r="F85" i="16"/>
  <c r="G85" i="16" s="1"/>
  <c r="F86" i="16"/>
  <c r="J86" i="16" s="1"/>
  <c r="F87" i="16"/>
  <c r="J87" i="16" s="1"/>
  <c r="F88" i="16"/>
  <c r="G88" i="16" s="1"/>
  <c r="F89" i="16"/>
  <c r="G89" i="16" s="1"/>
  <c r="F90" i="16"/>
  <c r="J90" i="16" s="1"/>
  <c r="F91" i="16"/>
  <c r="J91" i="16" s="1"/>
  <c r="F92" i="16"/>
  <c r="G92" i="16" s="1"/>
  <c r="F93" i="16"/>
  <c r="G93" i="16" s="1"/>
  <c r="F94" i="16"/>
  <c r="J94" i="16" s="1"/>
  <c r="F95" i="16"/>
  <c r="J95" i="16" s="1"/>
  <c r="F96" i="16"/>
  <c r="G96" i="16" s="1"/>
  <c r="F97" i="16"/>
  <c r="G97" i="16" s="1"/>
  <c r="F98" i="16"/>
  <c r="J98" i="16" s="1"/>
  <c r="F99" i="16"/>
  <c r="J99" i="16" s="1"/>
  <c r="F100" i="16"/>
  <c r="G100" i="16" s="1"/>
  <c r="F101" i="16"/>
  <c r="G101" i="16" s="1"/>
  <c r="F102" i="16"/>
  <c r="J102" i="16" s="1"/>
  <c r="F103" i="16"/>
  <c r="J103" i="16" s="1"/>
  <c r="F104" i="16"/>
  <c r="G104" i="16" s="1"/>
  <c r="F105" i="16"/>
  <c r="G105" i="16" s="1"/>
  <c r="F106" i="16"/>
  <c r="J106" i="16" s="1"/>
  <c r="F107" i="16"/>
  <c r="J107" i="16" s="1"/>
  <c r="F108" i="16"/>
  <c r="G108" i="16" s="1"/>
  <c r="F109" i="16"/>
  <c r="G109" i="16" s="1"/>
  <c r="F110" i="16"/>
  <c r="J110" i="16" s="1"/>
  <c r="F111" i="16"/>
  <c r="J111" i="16" s="1"/>
  <c r="F112" i="16"/>
  <c r="G112" i="16" s="1"/>
  <c r="F113" i="16"/>
  <c r="G113" i="16" s="1"/>
  <c r="F114" i="16"/>
  <c r="J114" i="16" s="1"/>
  <c r="F115" i="16"/>
  <c r="J115" i="16" s="1"/>
  <c r="F116" i="16"/>
  <c r="G116" i="16" s="1"/>
  <c r="F117" i="16"/>
  <c r="G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J123" i="16" s="1"/>
  <c r="F124" i="16"/>
  <c r="G124" i="16" s="1"/>
  <c r="F125" i="16"/>
  <c r="G125" i="16" s="1"/>
  <c r="F126" i="16"/>
  <c r="J126" i="16" s="1"/>
  <c r="F127" i="16"/>
  <c r="J127" i="16" s="1"/>
  <c r="F128" i="16"/>
  <c r="G128" i="16" s="1"/>
  <c r="F129" i="16"/>
  <c r="G129" i="16" s="1"/>
  <c r="F130" i="16"/>
  <c r="J130" i="16" s="1"/>
  <c r="H75" i="18" s="1"/>
  <c r="F131" i="16"/>
  <c r="J131" i="16" s="1"/>
  <c r="D16" i="17"/>
  <c r="B16" i="17"/>
  <c r="B26" i="15"/>
  <c r="C26" i="15"/>
  <c r="D26" i="15"/>
  <c r="E26" i="15"/>
  <c r="F26" i="15"/>
  <c r="G26" i="15"/>
  <c r="H26" i="15"/>
  <c r="I26" i="15"/>
  <c r="J25" i="15"/>
  <c r="J24" i="15"/>
  <c r="J23" i="15"/>
  <c r="J22" i="15"/>
  <c r="B8" i="17" l="1"/>
  <c r="E19" i="19"/>
  <c r="B19" i="19"/>
  <c r="D19" i="19"/>
  <c r="C19" i="19"/>
  <c r="H19" i="19"/>
  <c r="G19" i="19"/>
  <c r="F19" i="19"/>
  <c r="D21" i="17"/>
  <c r="D18" i="17"/>
  <c r="C21" i="17"/>
  <c r="C18" i="17"/>
  <c r="B9" i="17"/>
  <c r="B11" i="17"/>
  <c r="E10" i="17"/>
  <c r="D19" i="17"/>
  <c r="D20" i="17"/>
  <c r="C20" i="17"/>
  <c r="C19" i="17"/>
  <c r="E7" i="17"/>
  <c r="E9" i="17"/>
  <c r="J26" i="15"/>
  <c r="E11" i="17"/>
  <c r="E13" i="17"/>
  <c r="E14" i="17"/>
  <c r="E12" i="17"/>
  <c r="E8" i="17"/>
  <c r="E47" i="18"/>
  <c r="G78" i="18"/>
  <c r="E41" i="18"/>
  <c r="E77" i="18"/>
  <c r="G13" i="16"/>
  <c r="G65" i="16"/>
  <c r="D17" i="18"/>
  <c r="G65" i="18"/>
  <c r="G20" i="16"/>
  <c r="G4" i="16"/>
  <c r="D46" i="18"/>
  <c r="E48" i="18"/>
  <c r="E24" i="18"/>
  <c r="E22" i="18"/>
  <c r="J7" i="16"/>
  <c r="I70" i="18"/>
  <c r="G131" i="16"/>
  <c r="K131" i="16" s="1"/>
  <c r="G127" i="16"/>
  <c r="K127" i="16" s="1"/>
  <c r="G123" i="16"/>
  <c r="K123" i="16" s="1"/>
  <c r="G119" i="16"/>
  <c r="K119" i="16" s="1"/>
  <c r="G115" i="16"/>
  <c r="K115" i="16" s="1"/>
  <c r="G111" i="16"/>
  <c r="K111" i="16" s="1"/>
  <c r="G107" i="16"/>
  <c r="K107" i="16" s="1"/>
  <c r="G103" i="16"/>
  <c r="K103" i="16" s="1"/>
  <c r="G99" i="16"/>
  <c r="K99" i="16" s="1"/>
  <c r="G95" i="16"/>
  <c r="K95" i="16" s="1"/>
  <c r="G91" i="16"/>
  <c r="K91" i="16" s="1"/>
  <c r="G87" i="16"/>
  <c r="K87" i="16" s="1"/>
  <c r="G83" i="16"/>
  <c r="K83" i="16" s="1"/>
  <c r="G79" i="16"/>
  <c r="K79" i="16" s="1"/>
  <c r="G75" i="16"/>
  <c r="K75" i="16" s="1"/>
  <c r="G71" i="16"/>
  <c r="K71" i="16" s="1"/>
  <c r="G67" i="16"/>
  <c r="K67" i="16" s="1"/>
  <c r="G63" i="16"/>
  <c r="K63" i="16" s="1"/>
  <c r="G59" i="16"/>
  <c r="G55" i="16"/>
  <c r="K55" i="16" s="1"/>
  <c r="G51" i="16"/>
  <c r="K51" i="16" s="1"/>
  <c r="G47" i="16"/>
  <c r="G43" i="16"/>
  <c r="G39" i="16"/>
  <c r="K39" i="16" s="1"/>
  <c r="G35" i="16"/>
  <c r="K35" i="16" s="1"/>
  <c r="G31" i="16"/>
  <c r="G27" i="16"/>
  <c r="G23" i="16"/>
  <c r="K23" i="16" s="1"/>
  <c r="G19" i="16"/>
  <c r="G15" i="16"/>
  <c r="K15" i="16" s="1"/>
  <c r="G11" i="16"/>
  <c r="G7" i="16"/>
  <c r="G3" i="16"/>
  <c r="J129" i="16"/>
  <c r="K129" i="16" s="1"/>
  <c r="J125" i="16"/>
  <c r="K125" i="16" s="1"/>
  <c r="J121" i="16"/>
  <c r="K121" i="16" s="1"/>
  <c r="J117" i="16"/>
  <c r="K117" i="16" s="1"/>
  <c r="J113" i="16"/>
  <c r="K113" i="16" s="1"/>
  <c r="J109" i="16"/>
  <c r="E25" i="18" s="1"/>
  <c r="J105" i="16"/>
  <c r="K105" i="16" s="1"/>
  <c r="J101" i="16"/>
  <c r="K101" i="16" s="1"/>
  <c r="J97" i="16"/>
  <c r="K97" i="16" s="1"/>
  <c r="J93" i="16"/>
  <c r="K93" i="16" s="1"/>
  <c r="J89" i="16"/>
  <c r="J85" i="16"/>
  <c r="K85" i="16" s="1"/>
  <c r="J81" i="16"/>
  <c r="K81" i="16" s="1"/>
  <c r="J77" i="16"/>
  <c r="K77" i="16" s="1"/>
  <c r="J73" i="16"/>
  <c r="E31" i="18" s="1"/>
  <c r="J69" i="16"/>
  <c r="J65" i="16"/>
  <c r="J61" i="16"/>
  <c r="K61" i="16" s="1"/>
  <c r="J57" i="16"/>
  <c r="K57" i="16" s="1"/>
  <c r="J53" i="16"/>
  <c r="K53" i="16" s="1"/>
  <c r="J49" i="16"/>
  <c r="K49" i="16" s="1"/>
  <c r="J45" i="16"/>
  <c r="J41" i="16"/>
  <c r="K41" i="16" s="1"/>
  <c r="J37" i="16"/>
  <c r="K37" i="16" s="1"/>
  <c r="J33" i="16"/>
  <c r="K33" i="16" s="1"/>
  <c r="J29" i="16"/>
  <c r="K29" i="16" s="1"/>
  <c r="J25" i="16"/>
  <c r="K25" i="16" s="1"/>
  <c r="J21" i="16"/>
  <c r="K21" i="16" s="1"/>
  <c r="J17" i="16"/>
  <c r="J13" i="16"/>
  <c r="J9" i="16"/>
  <c r="J5" i="16"/>
  <c r="G130" i="16"/>
  <c r="G126" i="16"/>
  <c r="K126" i="16" s="1"/>
  <c r="G122" i="16"/>
  <c r="K122" i="16" s="1"/>
  <c r="G118" i="16"/>
  <c r="K118" i="16" s="1"/>
  <c r="G114" i="16"/>
  <c r="K114" i="16" s="1"/>
  <c r="G110" i="16"/>
  <c r="K110" i="16" s="1"/>
  <c r="G106" i="16"/>
  <c r="K106" i="16" s="1"/>
  <c r="G102" i="16"/>
  <c r="G98" i="16"/>
  <c r="K98" i="16" s="1"/>
  <c r="G94" i="16"/>
  <c r="K94" i="16" s="1"/>
  <c r="G90" i="16"/>
  <c r="K90" i="16" s="1"/>
  <c r="G86" i="16"/>
  <c r="G82" i="16"/>
  <c r="K82" i="16" s="1"/>
  <c r="G78" i="16"/>
  <c r="K78" i="16" s="1"/>
  <c r="G74" i="16"/>
  <c r="K74" i="16" s="1"/>
  <c r="G70" i="16"/>
  <c r="K70" i="16" s="1"/>
  <c r="G66" i="16"/>
  <c r="G62" i="16"/>
  <c r="K62" i="16" s="1"/>
  <c r="G58" i="16"/>
  <c r="K58" i="16" s="1"/>
  <c r="G54" i="16"/>
  <c r="K54" i="16" s="1"/>
  <c r="G50" i="16"/>
  <c r="K50" i="16" s="1"/>
  <c r="G46" i="16"/>
  <c r="K46" i="16" s="1"/>
  <c r="G42" i="16"/>
  <c r="G38" i="16"/>
  <c r="K38" i="16" s="1"/>
  <c r="G34" i="16"/>
  <c r="G30" i="16"/>
  <c r="K30" i="16" s="1"/>
  <c r="G26" i="16"/>
  <c r="G22" i="16"/>
  <c r="K22" i="16" s="1"/>
  <c r="G18" i="16"/>
  <c r="K18" i="16" s="1"/>
  <c r="G14" i="16"/>
  <c r="K14" i="16" s="1"/>
  <c r="G10" i="16"/>
  <c r="K10" i="16" s="1"/>
  <c r="G6" i="16"/>
  <c r="G2" i="16"/>
  <c r="K2" i="16" s="1"/>
  <c r="J128" i="16"/>
  <c r="K128" i="16" s="1"/>
  <c r="J124" i="16"/>
  <c r="K124" i="16" s="1"/>
  <c r="J120" i="16"/>
  <c r="K120" i="16" s="1"/>
  <c r="J116" i="16"/>
  <c r="K116" i="16" s="1"/>
  <c r="J112" i="16"/>
  <c r="J108" i="16"/>
  <c r="K108" i="16" s="1"/>
  <c r="J104" i="16"/>
  <c r="K104" i="16" s="1"/>
  <c r="J100" i="16"/>
  <c r="K100" i="16" s="1"/>
  <c r="J96" i="16"/>
  <c r="K96" i="16" s="1"/>
  <c r="J92" i="16"/>
  <c r="K92" i="16" s="1"/>
  <c r="J88" i="16"/>
  <c r="K88" i="16" s="1"/>
  <c r="J84" i="16"/>
  <c r="K84" i="16" s="1"/>
  <c r="J80" i="16"/>
  <c r="K80" i="16" s="1"/>
  <c r="J76" i="16"/>
  <c r="J72" i="16"/>
  <c r="K72" i="16" s="1"/>
  <c r="J68" i="16"/>
  <c r="K68" i="16" s="1"/>
  <c r="J64" i="16"/>
  <c r="E49" i="18" s="1"/>
  <c r="J60" i="16"/>
  <c r="K60" i="16" s="1"/>
  <c r="J56" i="16"/>
  <c r="K56" i="16" s="1"/>
  <c r="J52" i="16"/>
  <c r="K52" i="16" s="1"/>
  <c r="J48" i="16"/>
  <c r="K48" i="16" s="1"/>
  <c r="J44" i="16"/>
  <c r="K44" i="16" s="1"/>
  <c r="J40" i="16"/>
  <c r="K40" i="16" s="1"/>
  <c r="J36" i="16"/>
  <c r="K36" i="16" s="1"/>
  <c r="J32" i="16"/>
  <c r="J28" i="16"/>
  <c r="K28" i="16" s="1"/>
  <c r="J24" i="16"/>
  <c r="J20" i="16"/>
  <c r="J16" i="16"/>
  <c r="J12" i="16"/>
  <c r="K12" i="16" s="1"/>
  <c r="J8" i="16"/>
  <c r="K8" i="16" s="1"/>
  <c r="J4" i="16"/>
  <c r="N2" i="2"/>
  <c r="N3" i="2"/>
  <c r="N4" i="2"/>
  <c r="N5" i="2"/>
  <c r="N6" i="2"/>
  <c r="N7" i="2"/>
  <c r="N8" i="2"/>
  <c r="N9" i="2"/>
  <c r="E39" i="18" l="1"/>
  <c r="D7" i="18"/>
  <c r="G69" i="18"/>
  <c r="E42" i="18"/>
  <c r="F66" i="18"/>
  <c r="H68" i="18"/>
  <c r="D37" i="18"/>
  <c r="D28" i="18"/>
  <c r="D6" i="18"/>
  <c r="K26" i="16"/>
  <c r="F68" i="18"/>
  <c r="F70" i="18" s="1"/>
  <c r="D24" i="18"/>
  <c r="F24" i="18" s="1"/>
  <c r="K42" i="16"/>
  <c r="D47" i="18"/>
  <c r="F47" i="18" s="1"/>
  <c r="F77" i="18"/>
  <c r="F79" i="18" s="1"/>
  <c r="E69" i="18"/>
  <c r="E23" i="18"/>
  <c r="H66" i="18"/>
  <c r="E18" i="18"/>
  <c r="I78" i="18"/>
  <c r="E50" i="18"/>
  <c r="C78" i="18"/>
  <c r="E44" i="18"/>
  <c r="G66" i="18"/>
  <c r="G67" i="18" s="1"/>
  <c r="E17" i="18"/>
  <c r="E12" i="18"/>
  <c r="D4" i="18"/>
  <c r="D72" i="18"/>
  <c r="E29" i="18"/>
  <c r="D13" i="18"/>
  <c r="K11" i="16"/>
  <c r="C65" i="18"/>
  <c r="C4" i="18"/>
  <c r="F65" i="18"/>
  <c r="F67" i="18" s="1"/>
  <c r="K27" i="16"/>
  <c r="D16" i="18"/>
  <c r="K43" i="16"/>
  <c r="D22" i="18"/>
  <c r="F22" i="18" s="1"/>
  <c r="D68" i="18"/>
  <c r="D70" i="18" s="1"/>
  <c r="K59" i="16"/>
  <c r="D44" i="18"/>
  <c r="I75" i="18"/>
  <c r="E13" i="18"/>
  <c r="F72" i="18"/>
  <c r="E30" i="18"/>
  <c r="E34" i="18"/>
  <c r="D77" i="18"/>
  <c r="D35" i="18"/>
  <c r="B74" i="18"/>
  <c r="K20" i="16"/>
  <c r="D38" i="18"/>
  <c r="C77" i="18"/>
  <c r="K64" i="16"/>
  <c r="K89" i="16"/>
  <c r="D40" i="18"/>
  <c r="D23" i="18"/>
  <c r="B78" i="18"/>
  <c r="E43" i="18"/>
  <c r="D8" i="18"/>
  <c r="B75" i="18"/>
  <c r="E35" i="18"/>
  <c r="E15" i="18"/>
  <c r="E66" i="18"/>
  <c r="D31" i="18"/>
  <c r="F31" i="18" s="1"/>
  <c r="F71" i="18"/>
  <c r="C6" i="18"/>
  <c r="E6" i="18" s="1"/>
  <c r="K34" i="16"/>
  <c r="H71" i="18"/>
  <c r="D33" i="18"/>
  <c r="K66" i="16"/>
  <c r="G77" i="18"/>
  <c r="G79" i="18" s="1"/>
  <c r="D48" i="18"/>
  <c r="F48" i="18" s="1"/>
  <c r="H74" i="18"/>
  <c r="H76" i="18" s="1"/>
  <c r="K130" i="16"/>
  <c r="D41" i="18"/>
  <c r="F41" i="18" s="1"/>
  <c r="C72" i="18"/>
  <c r="E28" i="18"/>
  <c r="E21" i="18"/>
  <c r="C69" i="18"/>
  <c r="D66" i="18"/>
  <c r="E14" i="18"/>
  <c r="E27" i="18"/>
  <c r="B72" i="18"/>
  <c r="K31" i="16"/>
  <c r="I71" i="18"/>
  <c r="D34" i="18"/>
  <c r="K47" i="16"/>
  <c r="F74" i="18"/>
  <c r="D39" i="18"/>
  <c r="F39" i="18" s="1"/>
  <c r="E32" i="18"/>
  <c r="E72" i="18"/>
  <c r="E16" i="18"/>
  <c r="C66" i="18"/>
  <c r="D45" i="18"/>
  <c r="I77" i="18"/>
  <c r="D36" i="18"/>
  <c r="E65" i="18"/>
  <c r="K112" i="16"/>
  <c r="D27" i="18"/>
  <c r="B71" i="18"/>
  <c r="K65" i="16"/>
  <c r="G74" i="18"/>
  <c r="E68" i="18"/>
  <c r="C71" i="18"/>
  <c r="C73" i="18" s="1"/>
  <c r="D18" i="18"/>
  <c r="C68" i="18"/>
  <c r="K45" i="16"/>
  <c r="D14" i="18"/>
  <c r="I65" i="18"/>
  <c r="K109" i="16"/>
  <c r="G72" i="18"/>
  <c r="E26" i="18"/>
  <c r="H69" i="18"/>
  <c r="H70" i="18" s="1"/>
  <c r="E38" i="18"/>
  <c r="E75" i="18"/>
  <c r="D75" i="18"/>
  <c r="E37" i="18"/>
  <c r="F37" i="18" s="1"/>
  <c r="E78" i="18"/>
  <c r="E46" i="18"/>
  <c r="F46" i="18" s="1"/>
  <c r="C5" i="18"/>
  <c r="K7" i="16"/>
  <c r="B68" i="18"/>
  <c r="D20" i="18"/>
  <c r="B69" i="18"/>
  <c r="E20" i="18"/>
  <c r="D5" i="18"/>
  <c r="D50" i="18"/>
  <c r="F50" i="18" s="1"/>
  <c r="E33" i="18"/>
  <c r="D78" i="18"/>
  <c r="E45" i="18"/>
  <c r="F45" i="18" s="1"/>
  <c r="C75" i="18"/>
  <c r="E36" i="18"/>
  <c r="K6" i="16"/>
  <c r="G71" i="18"/>
  <c r="D32" i="18"/>
  <c r="F32" i="18" s="1"/>
  <c r="K86" i="16"/>
  <c r="D25" i="18"/>
  <c r="F25" i="18" s="1"/>
  <c r="G68" i="18"/>
  <c r="G70" i="18" s="1"/>
  <c r="G75" i="18"/>
  <c r="E40" i="18"/>
  <c r="E19" i="18"/>
  <c r="I66" i="18"/>
  <c r="K3" i="16"/>
  <c r="E71" i="18"/>
  <c r="E73" i="18" s="1"/>
  <c r="D30" i="18"/>
  <c r="F30" i="18" s="1"/>
  <c r="D49" i="18"/>
  <c r="F49" i="18" s="1"/>
  <c r="K19" i="16"/>
  <c r="H77" i="18"/>
  <c r="I72" i="18"/>
  <c r="H78" i="18"/>
  <c r="D43" i="18"/>
  <c r="F43" i="18" s="1"/>
  <c r="K4" i="16"/>
  <c r="B77" i="18"/>
  <c r="B79" i="18" s="1"/>
  <c r="C8" i="18"/>
  <c r="E8" i="18" s="1"/>
  <c r="D26" i="18"/>
  <c r="K16" i="16"/>
  <c r="C74" i="18"/>
  <c r="E74" i="18"/>
  <c r="F17" i="18"/>
  <c r="K73" i="16"/>
  <c r="K5" i="16"/>
  <c r="K17" i="16"/>
  <c r="H65" i="18"/>
  <c r="H67" i="18" s="1"/>
  <c r="D21" i="18"/>
  <c r="F21" i="18" s="1"/>
  <c r="D29" i="18"/>
  <c r="D65" i="18"/>
  <c r="K69" i="16"/>
  <c r="K24" i="16"/>
  <c r="K32" i="16"/>
  <c r="D15" i="18"/>
  <c r="D74" i="18"/>
  <c r="D76" i="18" s="1"/>
  <c r="K76" i="16"/>
  <c r="F75" i="18"/>
  <c r="K9" i="16"/>
  <c r="J4" i="15" s="1"/>
  <c r="B65" i="18"/>
  <c r="B67" i="18" s="1"/>
  <c r="D12" i="18"/>
  <c r="F12" i="18" s="1"/>
  <c r="K13" i="16"/>
  <c r="D71" i="18"/>
  <c r="D19" i="18"/>
  <c r="F19" i="18" s="1"/>
  <c r="E79" i="18"/>
  <c r="H72" i="18"/>
  <c r="K102" i="16"/>
  <c r="C7" i="18"/>
  <c r="E7" i="18" s="1"/>
  <c r="D42" i="18"/>
  <c r="I74" i="18"/>
  <c r="I76" i="18" s="1"/>
  <c r="F42" i="18" l="1"/>
  <c r="D67" i="18"/>
  <c r="E70" i="18"/>
  <c r="I79" i="18"/>
  <c r="D73" i="18"/>
  <c r="K133" i="16"/>
  <c r="F44" i="18"/>
  <c r="J7" i="15"/>
  <c r="J6" i="15"/>
  <c r="J5" i="15"/>
  <c r="J8" i="15"/>
  <c r="E5" i="18"/>
  <c r="E67" i="18"/>
  <c r="F27" i="18"/>
  <c r="H79" i="18"/>
  <c r="F20" i="18"/>
  <c r="C79" i="18"/>
  <c r="C70" i="18"/>
  <c r="B73" i="18"/>
  <c r="E76" i="18"/>
  <c r="G73" i="18"/>
  <c r="B70" i="18"/>
  <c r="G76" i="18"/>
  <c r="F40" i="18"/>
  <c r="F38" i="18"/>
  <c r="D79" i="18"/>
  <c r="C76" i="18"/>
  <c r="I67" i="18"/>
  <c r="I73" i="18"/>
  <c r="F14" i="18"/>
  <c r="F33" i="18"/>
  <c r="F15" i="18"/>
  <c r="F34" i="18"/>
  <c r="F13" i="18"/>
  <c r="F28" i="18"/>
  <c r="F26" i="18"/>
  <c r="F36" i="18"/>
  <c r="F76" i="18"/>
  <c r="H73" i="18"/>
  <c r="B76" i="18"/>
  <c r="E4" i="18"/>
  <c r="F29" i="18"/>
  <c r="F18" i="18"/>
  <c r="F23" i="18"/>
  <c r="F35" i="18"/>
  <c r="F73" i="18"/>
  <c r="F16" i="18"/>
  <c r="C67" i="18"/>
  <c r="J9" i="15" l="1"/>
  <c r="B19" i="17"/>
  <c r="B21" i="17"/>
  <c r="B18" i="17"/>
  <c r="B20" i="17" l="1"/>
</calcChain>
</file>

<file path=xl/sharedStrings.xml><?xml version="1.0" encoding="utf-8"?>
<sst xmlns="http://schemas.openxmlformats.org/spreadsheetml/2006/main" count="709" uniqueCount="109">
  <si>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</si>
  <si>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</si>
  <si>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</si>
  <si>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</si>
  <si>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</si>
  <si>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</si>
  <si>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</si>
  <si>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</si>
  <si>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</si>
  <si>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</si>
  <si>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</si>
  <si>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</si>
  <si>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</si>
  <si>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</si>
  <si>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</si>
  <si>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</si>
  <si>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</si>
  <si>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</si>
  <si>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</si>
  <si>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</si>
  <si>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</si>
  <si>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</si>
  <si>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</si>
  <si>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</si>
  <si>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</si>
  <si>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</si>
  <si>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</si>
  <si>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</si>
  <si>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</si>
  <si>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</si>
  <si>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</si>
  <si>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</si>
  <si>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</si>
  <si>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</si>
  <si>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</si>
  <si>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</si>
  <si>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</si>
  <si>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</si>
  <si>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</si>
  <si>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</si>
  <si>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</si>
  <si>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</si>
  <si>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</si>
  <si>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</si>
  <si>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</si>
  <si>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</si>
  <si>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</si>
  <si>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</si>
  <si>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</si>
  <si>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</si>
  <si>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</si>
  <si>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</si>
  <si>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</si>
  <si>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</si>
  <si>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</si>
  <si>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</si>
  <si>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</si>
  <si>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</si>
  <si>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</si>
  <si>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</si>
  <si>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</si>
  <si>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</si>
  <si>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</si>
  <si>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</si>
  <si>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</si>
  <si>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</si>
  <si>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</si>
  <si>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</si>
  <si>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</si>
  <si>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</si>
  <si>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</si>
  <si>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</si>
  <si>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</si>
  <si>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</si>
  <si>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</si>
  <si>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</si>
  <si>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</si>
  <si>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</si>
  <si>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</si>
  <si>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</si>
  <si>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</si>
  <si>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</si>
  <si>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</si>
  <si>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</si>
  <si>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</si>
  <si>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</si>
  <si>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</si>
  <si>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</si>
  <si>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</si>
  <si>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</si>
  <si>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</si>
  <si>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</si>
  <si>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</si>
  <si>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</si>
  <si>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 xml:space="preserve">Общая стоимость </t>
  </si>
  <si>
    <t>Сумма по полю Поле1</t>
  </si>
  <si>
    <t>Чистое количество</t>
  </si>
  <si>
    <t>ИТОГ</t>
  </si>
  <si>
    <t>план</t>
  </si>
  <si>
    <t>Средняя нагрузка на день недели</t>
  </si>
  <si>
    <t>Дни недели/Менеджеры</t>
  </si>
  <si>
    <t>Распределение выработки менеджеров по дням недели (в процентах от общего числа сделок менеджера)</t>
  </si>
  <si>
    <t>Итого на день недели</t>
  </si>
  <si>
    <t>Год</t>
  </si>
  <si>
    <t>Месяц с</t>
  </si>
  <si>
    <t>Распределение выработки менеджеров по дням недели  (по количеству заключенных сделок)</t>
  </si>
  <si>
    <t>Месяц</t>
  </si>
  <si>
    <t>Показатели трех наибольших значений продаж за месяц (за вычетом возврата)</t>
  </si>
  <si>
    <t>Общ стоимость за март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</si>
</sst>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р.&quot;;\-#,##0.00\ &quot;р.&quot;"/>
    <numFmt numFmtId="165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44" fontId="2" fillId="0" borderId="0" xfId="1" applyFont="1" applyAlignment="1">
      <alignment wrapText="1"/>
    </xf>
    <xf numFmtId="44" fontId="0" fillId="0" borderId="4" xfId="1" applyFont="1" applyFill="1" applyBorder="1"/>
    <xf numFmtId="44" fontId="0" fillId="0" borderId="3" xfId="1" applyFont="1" applyFill="1" applyBorder="1"/>
    <xf numFmtId="44" fontId="0" fillId="0" borderId="5" xfId="1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4" fontId="7" fillId="0" borderId="0" xfId="1" applyFont="1"/>
    <xf numFmtId="44" fontId="2" fillId="0" borderId="3" xfId="0" applyNumberFormat="1" applyFont="1" applyBorder="1"/>
    <xf numFmtId="9" fontId="0" fillId="0" borderId="3" xfId="2" applyFont="1" applyBorder="1"/>
    <xf numFmtId="44" fontId="6" fillId="0" borderId="0" xfId="0" applyNumberFormat="1" applyFont="1" applyFill="1"/>
    <xf numFmtId="44" fontId="7" fillId="0" borderId="3" xfId="1" applyFont="1" applyBorder="1"/>
    <xf numFmtId="0" fontId="7" fillId="0" borderId="3" xfId="0" applyFont="1" applyBorder="1"/>
    <xf numFmtId="0" fontId="7" fillId="0" borderId="3" xfId="1" applyNumberFormat="1" applyFont="1" applyBorder="1"/>
    <xf numFmtId="0" fontId="8" fillId="0" borderId="6" xfId="0" applyFont="1" applyFill="1" applyBorder="1"/>
    <xf numFmtId="165" fontId="1" fillId="0" borderId="3" xfId="0" applyNumberFormat="1" applyFont="1" applyBorder="1"/>
    <xf numFmtId="0" fontId="0" fillId="0" borderId="6" xfId="0" applyFill="1" applyBorder="1" applyAlignment="1">
      <alignment wrapText="1"/>
    </xf>
    <xf numFmtId="44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4" fontId="1" fillId="0" borderId="0" xfId="0" applyNumberFormat="1" applyFont="1"/>
    <xf numFmtId="0" fontId="6" fillId="0" borderId="0" xfId="0" applyFont="1"/>
    <xf numFmtId="0" fontId="1" fillId="0" borderId="2" xfId="0" applyFont="1" applyBorder="1"/>
    <xf numFmtId="0" fontId="0" fillId="0" borderId="0" xfId="0" applyFont="1"/>
    <xf numFmtId="9" fontId="1" fillId="0" borderId="0" xfId="2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1051;&#1077;&#1090;&#1086;%2017%20&#1075;&#1086;&#1076;&#1072;/&#1054;&#1088;&#1075;&#1072;&#1085;&#1080;&#1079;&#1072;&#1094;&#1080;&#1103;%20&#1076;&#1072;&#1085;&#1085;&#1099;&#1093;%20&#1055;&#1077;&#1088;&#1074;&#1099;&#1081;%20&#1091;&#1088;&#1086;&#1074;&#1077;&#1085;&#1100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alazareva/Downloads/Seminar_16-17_Prodazhi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дажи__ (2)"/>
      <sheetName val=" Информация Продажи"/>
      <sheetName val="Товары"/>
      <sheetName val="Информация Менеджеры"/>
      <sheetName val="Вознаграждение менеджерам"/>
      <sheetName val="Вознаграждение менеджерам__"/>
      <sheetName val="Новый ABCXYZ"/>
      <sheetName val="Новый ABCXYZ_"/>
      <sheetName val="Отчеты простые"/>
      <sheetName val="Организация данных Первый урове"/>
    </sheetNames>
    <sheetDataSet>
      <sheetData sheetId="0"/>
      <sheetData sheetId="1"/>
      <sheetData sheetId="2">
        <row r="1">
          <cell r="F1" t="str">
            <v>Наименование Товара</v>
          </cell>
        </row>
        <row r="2">
          <cell r="F2" t="str">
            <v>Печенье Солнышко</v>
          </cell>
        </row>
        <row r="3">
          <cell r="F3" t="str">
            <v>Печенье Вкусное</v>
          </cell>
        </row>
        <row r="4">
          <cell r="F4" t="str">
            <v>Печенье Доброе</v>
          </cell>
        </row>
        <row r="5">
          <cell r="F5" t="str">
            <v>Вафли Радость</v>
          </cell>
        </row>
        <row r="6">
          <cell r="F6" t="str">
            <v>Вафли Грусть</v>
          </cell>
        </row>
        <row r="7">
          <cell r="F7" t="str">
            <v>СТ Мишка с шишками</v>
          </cell>
        </row>
        <row r="8">
          <cell r="F8" t="str">
            <v>Вафли Смех</v>
          </cell>
        </row>
        <row r="9">
          <cell r="F9" t="str">
            <v>Голланские</v>
          </cell>
        </row>
        <row r="10">
          <cell r="F10" t="str">
            <v>СТ Полярный</v>
          </cell>
        </row>
        <row r="11">
          <cell r="F11" t="str">
            <v>СТ Балтийский</v>
          </cell>
        </row>
      </sheetData>
      <sheetData sheetId="3">
        <row r="1">
          <cell r="A1" t="str">
            <v>ФИО менеджера</v>
          </cell>
          <cell r="B1" t="str">
            <v>Подразделение</v>
          </cell>
          <cell r="D1" t="str">
            <v>Подразделение</v>
          </cell>
          <cell r="E1" t="str">
            <v>Фиксированная выплата менеджеру</v>
          </cell>
          <cell r="G1" t="str">
            <v>%</v>
          </cell>
          <cell r="H1">
            <v>0</v>
          </cell>
          <cell r="I1">
            <v>3</v>
          </cell>
          <cell r="J1">
            <v>7</v>
          </cell>
          <cell r="K1">
            <v>9</v>
          </cell>
          <cell r="L1">
            <v>11</v>
          </cell>
        </row>
        <row r="2">
          <cell r="A2" t="str">
            <v>Волокушин Иван Иванович</v>
          </cell>
          <cell r="B2" t="str">
            <v>Кондитерское Восток</v>
          </cell>
          <cell r="D2" t="str">
            <v>Кондитерское Восток</v>
          </cell>
          <cell r="E2">
            <v>3500</v>
          </cell>
          <cell r="G2">
            <v>0</v>
          </cell>
          <cell r="H2">
            <v>1.9E-2</v>
          </cell>
          <cell r="I2">
            <v>2.7E-2</v>
          </cell>
          <cell r="J2">
            <v>0.03</v>
          </cell>
          <cell r="K2">
            <v>3.7999999999999999E-2</v>
          </cell>
          <cell r="L2">
            <v>0.04</v>
          </cell>
        </row>
        <row r="3">
          <cell r="A3" t="str">
            <v>Григорьев Сергей Петрович</v>
          </cell>
          <cell r="B3" t="str">
            <v>Кондитерское Восток</v>
          </cell>
          <cell r="D3" t="str">
            <v>Кондитерское Запад</v>
          </cell>
          <cell r="E3">
            <v>4100</v>
          </cell>
          <cell r="G3">
            <v>10000</v>
          </cell>
          <cell r="H3">
            <v>0.03</v>
          </cell>
          <cell r="I3">
            <v>0.04</v>
          </cell>
          <cell r="J3">
            <v>4.4999999999999998E-2</v>
          </cell>
          <cell r="K3">
            <v>5.8000000000000003E-2</v>
          </cell>
          <cell r="L3">
            <v>0.06</v>
          </cell>
        </row>
        <row r="4">
          <cell r="A4" t="str">
            <v>Поснова Ольга Евгеньевна</v>
          </cell>
          <cell r="B4" t="str">
            <v>Кондитерское Восток</v>
          </cell>
          <cell r="G4">
            <v>25000</v>
          </cell>
          <cell r="H4">
            <v>0.05</v>
          </cell>
          <cell r="I4">
            <v>0.06</v>
          </cell>
          <cell r="J4">
            <v>7.0000000000000007E-2</v>
          </cell>
          <cell r="K4">
            <v>0.08</v>
          </cell>
          <cell r="L4">
            <v>8.5000000000000006E-2</v>
          </cell>
        </row>
        <row r="5">
          <cell r="A5" t="str">
            <v>Белова Анастасия Ивановна</v>
          </cell>
          <cell r="B5" t="str">
            <v>Кондитерское Запад</v>
          </cell>
          <cell r="G5">
            <v>38000</v>
          </cell>
          <cell r="H5">
            <v>7.0000000000000007E-2</v>
          </cell>
          <cell r="I5">
            <v>0.08</v>
          </cell>
          <cell r="J5">
            <v>8.5000000000000006E-2</v>
          </cell>
          <cell r="K5">
            <v>9.4E-2</v>
          </cell>
          <cell r="L5">
            <v>0.1</v>
          </cell>
        </row>
        <row r="6">
          <cell r="A6" t="str">
            <v>Ракушко Игорь Харитонович</v>
          </cell>
          <cell r="B6" t="str">
            <v>Кондитерское Запад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pivot table 2"/>
      <sheetName val="Продажи"/>
      <sheetName val=" Информация Клиенты"/>
      <sheetName val="Информация Товары"/>
      <sheetName val="Информация Менеджеры"/>
      <sheetName val="Премии"/>
      <sheetName val="Отчет1"/>
      <sheetName val="Отчет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Волокушин Иван Иванович</v>
          </cell>
          <cell r="B4">
            <v>0</v>
          </cell>
          <cell r="C4">
            <v>3200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55000</v>
          </cell>
          <cell r="I4">
            <v>5440</v>
          </cell>
          <cell r="J4">
            <v>63640</v>
          </cell>
        </row>
        <row r="5">
          <cell r="A5" t="str">
            <v>Григорьев Сергей Петрович</v>
          </cell>
          <cell r="B5">
            <v>3900</v>
          </cell>
          <cell r="C5">
            <v>9600</v>
          </cell>
          <cell r="D5">
            <v>4500</v>
          </cell>
          <cell r="E5">
            <v>0</v>
          </cell>
          <cell r="F5">
            <v>0</v>
          </cell>
          <cell r="G5">
            <v>26970</v>
          </cell>
          <cell r="H5">
            <v>0</v>
          </cell>
          <cell r="I5">
            <v>0</v>
          </cell>
          <cell r="J5">
            <v>44970</v>
          </cell>
        </row>
        <row r="6">
          <cell r="A6" t="str">
            <v>Поснова Ольга Евгеньевна</v>
          </cell>
          <cell r="B6">
            <v>3750</v>
          </cell>
          <cell r="C6">
            <v>0</v>
          </cell>
          <cell r="D6">
            <v>0</v>
          </cell>
          <cell r="E6">
            <v>6966</v>
          </cell>
          <cell r="F6">
            <v>0</v>
          </cell>
          <cell r="G6">
            <v>0</v>
          </cell>
          <cell r="H6">
            <v>0</v>
          </cell>
          <cell r="I6">
            <v>17680</v>
          </cell>
          <cell r="J6">
            <v>28396</v>
          </cell>
        </row>
        <row r="7">
          <cell r="A7" t="str">
            <v>Белова Анастасия Ивановна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26100</v>
          </cell>
          <cell r="H7">
            <v>0</v>
          </cell>
          <cell r="I7">
            <v>8160</v>
          </cell>
          <cell r="J7">
            <v>34260</v>
          </cell>
        </row>
        <row r="8">
          <cell r="A8" t="str">
            <v>Ракушко Игорь Харитонович</v>
          </cell>
          <cell r="B8">
            <v>0</v>
          </cell>
          <cell r="C8">
            <v>0</v>
          </cell>
          <cell r="D8">
            <v>0</v>
          </cell>
          <cell r="E8">
            <v>4860</v>
          </cell>
          <cell r="F8">
            <v>14950</v>
          </cell>
          <cell r="G8">
            <v>0</v>
          </cell>
          <cell r="H8">
            <v>13200</v>
          </cell>
          <cell r="I8">
            <v>14960</v>
          </cell>
          <cell r="J8">
            <v>47970</v>
          </cell>
        </row>
        <row r="9">
          <cell r="B9">
            <v>7650</v>
          </cell>
          <cell r="C9">
            <v>12800</v>
          </cell>
          <cell r="D9">
            <v>4500</v>
          </cell>
          <cell r="E9">
            <v>11826</v>
          </cell>
          <cell r="F9">
            <v>14950</v>
          </cell>
          <cell r="G9">
            <v>53070</v>
          </cell>
          <cell r="H9">
            <v>68200</v>
          </cell>
          <cell r="I9">
            <v>46240</v>
          </cell>
          <cell r="J9">
            <v>219236</v>
          </cell>
        </row>
        <row r="11">
          <cell r="B11" t="str">
            <v>Печенье Солнышко</v>
          </cell>
          <cell r="C11" t="str">
            <v>Печенье Вкусное</v>
          </cell>
          <cell r="D11" t="str">
            <v>Печенье Доброе</v>
          </cell>
          <cell r="E11" t="str">
            <v>Снежок</v>
          </cell>
          <cell r="F11" t="str">
            <v>Нежные</v>
          </cell>
          <cell r="G11" t="str">
            <v>Голландские</v>
          </cell>
          <cell r="H11" t="str">
            <v>Полярный</v>
          </cell>
          <cell r="I11" t="str">
            <v>Балтийский</v>
          </cell>
        </row>
        <row r="12">
          <cell r="A12" t="str">
            <v>Волокушин Иван Иванович</v>
          </cell>
          <cell r="B12">
            <v>0</v>
          </cell>
          <cell r="C12">
            <v>100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500</v>
          </cell>
          <cell r="I12">
            <v>40</v>
          </cell>
          <cell r="J12">
            <v>640</v>
          </cell>
        </row>
        <row r="13">
          <cell r="A13" t="str">
            <v>Григорьев Сергей Петрович</v>
          </cell>
          <cell r="B13">
            <v>156</v>
          </cell>
          <cell r="C13">
            <v>300</v>
          </cell>
          <cell r="D13">
            <v>100</v>
          </cell>
          <cell r="E13">
            <v>0</v>
          </cell>
          <cell r="F13">
            <v>0</v>
          </cell>
          <cell r="G13">
            <v>310</v>
          </cell>
          <cell r="H13">
            <v>0</v>
          </cell>
          <cell r="I13">
            <v>0</v>
          </cell>
          <cell r="J13">
            <v>866</v>
          </cell>
        </row>
        <row r="14">
          <cell r="A14" t="str">
            <v>Поснова Ольга Евгеньевна</v>
          </cell>
          <cell r="B14">
            <v>150</v>
          </cell>
          <cell r="C14">
            <v>0</v>
          </cell>
          <cell r="D14">
            <v>0</v>
          </cell>
          <cell r="E14">
            <v>129</v>
          </cell>
          <cell r="F14">
            <v>0</v>
          </cell>
          <cell r="G14">
            <v>0</v>
          </cell>
          <cell r="H14">
            <v>0</v>
          </cell>
          <cell r="I14">
            <v>130</v>
          </cell>
          <cell r="J14">
            <v>409</v>
          </cell>
        </row>
        <row r="15">
          <cell r="A15" t="str">
            <v>Белова Анастасия Ивановна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0</v>
          </cell>
          <cell r="I15">
            <v>60</v>
          </cell>
          <cell r="J15">
            <v>360</v>
          </cell>
        </row>
        <row r="16">
          <cell r="A16" t="str">
            <v>Ракушко Игорь Харитонович</v>
          </cell>
          <cell r="B16">
            <v>0</v>
          </cell>
          <cell r="C16">
            <v>0</v>
          </cell>
          <cell r="D16">
            <v>0</v>
          </cell>
          <cell r="E16">
            <v>90</v>
          </cell>
          <cell r="F16">
            <v>230</v>
          </cell>
          <cell r="G16">
            <v>0</v>
          </cell>
          <cell r="H16">
            <v>120</v>
          </cell>
          <cell r="I16">
            <v>110</v>
          </cell>
          <cell r="J16">
            <v>550</v>
          </cell>
        </row>
        <row r="19">
          <cell r="B19">
            <v>306</v>
          </cell>
          <cell r="C19">
            <v>400</v>
          </cell>
          <cell r="D19">
            <v>100</v>
          </cell>
          <cell r="E19">
            <v>219</v>
          </cell>
          <cell r="F19">
            <v>230</v>
          </cell>
          <cell r="G19">
            <v>610</v>
          </cell>
          <cell r="H19">
            <v>620</v>
          </cell>
          <cell r="I19">
            <v>340</v>
          </cell>
        </row>
        <row r="22">
          <cell r="J22">
            <v>3</v>
          </cell>
        </row>
        <row r="23">
          <cell r="J23">
            <v>7</v>
          </cell>
        </row>
        <row r="24">
          <cell r="J24">
            <v>4</v>
          </cell>
        </row>
        <row r="25">
          <cell r="J25">
            <v>2</v>
          </cell>
        </row>
        <row r="26">
          <cell r="J26">
            <v>4</v>
          </cell>
        </row>
        <row r="27">
          <cell r="B27">
            <v>4</v>
          </cell>
          <cell r="C27">
            <v>4</v>
          </cell>
          <cell r="D27">
            <v>1</v>
          </cell>
          <cell r="E27">
            <v>2</v>
          </cell>
          <cell r="F27">
            <v>1</v>
          </cell>
          <cell r="G27">
            <v>2</v>
          </cell>
          <cell r="H27">
            <v>2</v>
          </cell>
          <cell r="I27">
            <v>4</v>
          </cell>
        </row>
      </sheetData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7.41272615741" createdVersion="7" refreshedVersion="7" minRefreshableVersion="3" recordCount="130" xr:uid="{BE65E089-C9B3-3D47-95C3-B2E98C7FB254}">
  <cacheSource type="worksheet">
    <worksheetSource name="Таблица1"/>
  </cacheSource>
  <cacheFields count="12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44">
      <sharedItems containsSemiMixedTypes="0" containsString="0" containsNumber="1" containsInteger="1" minValue="0" maxValue="10880"/>
    </cacheField>
    <cacheField name="Общая стоимость " numFmtId="0">
      <sharedItems containsNonDate="0" containsString="0" containsBlank="1"/>
    </cacheField>
    <cacheField name="Поле1" numFmtId="0" formula="Стоимость-'Стоимость возврата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x v="0"/>
    <d v="2017-01-16T00:00:00"/>
    <n v="20"/>
    <n v="900"/>
    <m/>
  </r>
  <r>
    <d v="2017-01-11T00:00:00"/>
    <x v="0"/>
    <s v="ООО Четвертый"/>
    <x v="1"/>
    <n v="110"/>
    <n v="32"/>
    <x v="1"/>
    <m/>
    <m/>
    <n v="0"/>
    <m/>
  </r>
  <r>
    <d v="2017-01-12T00:00:00"/>
    <x v="1"/>
    <s v="ООО Второй"/>
    <x v="2"/>
    <n v="110"/>
    <n v="136"/>
    <x v="2"/>
    <m/>
    <m/>
    <n v="0"/>
    <m/>
  </r>
  <r>
    <d v="2017-01-17T00:00:00"/>
    <x v="2"/>
    <s v="ООО Первый"/>
    <x v="3"/>
    <n v="70"/>
    <n v="25"/>
    <x v="3"/>
    <m/>
    <m/>
    <n v="0"/>
    <m/>
  </r>
  <r>
    <d v="2017-01-19T00:00:00"/>
    <x v="0"/>
    <s v="ООО Первый"/>
    <x v="3"/>
    <n v="78"/>
    <n v="25"/>
    <x v="4"/>
    <m/>
    <m/>
    <n v="0"/>
    <m/>
  </r>
  <r>
    <d v="2017-01-24T00:00:00"/>
    <x v="3"/>
    <s v="ООО Четвертый"/>
    <x v="2"/>
    <n v="120"/>
    <n v="136"/>
    <x v="5"/>
    <d v="2017-01-30T00:00:00"/>
    <n v="80"/>
    <n v="10880"/>
    <m/>
  </r>
  <r>
    <d v="2017-01-24T00:00:00"/>
    <x v="1"/>
    <s v="ООО Второй"/>
    <x v="4"/>
    <n v="230"/>
    <n v="65"/>
    <x v="6"/>
    <m/>
    <m/>
    <n v="0"/>
    <m/>
  </r>
  <r>
    <d v="2017-01-25T00:00:00"/>
    <x v="3"/>
    <s v="ООО Первый"/>
    <x v="1"/>
    <n v="100"/>
    <n v="32"/>
    <x v="7"/>
    <m/>
    <m/>
    <n v="0"/>
    <m/>
  </r>
  <r>
    <d v="2017-01-31T00:00:00"/>
    <x v="2"/>
    <s v="ООО Четвертый"/>
    <x v="5"/>
    <n v="129"/>
    <n v="54"/>
    <x v="8"/>
    <m/>
    <m/>
    <n v="0"/>
    <m/>
  </r>
  <r>
    <d v="2017-02-02T00:00:00"/>
    <x v="4"/>
    <s v="ООО Четвертый"/>
    <x v="6"/>
    <n v="300"/>
    <n v="87"/>
    <x v="9"/>
    <m/>
    <m/>
    <n v="0"/>
    <m/>
  </r>
  <r>
    <d v="2017-02-03T00:00:00"/>
    <x v="3"/>
    <s v="ООО Второй"/>
    <x v="7"/>
    <n v="500"/>
    <n v="110"/>
    <x v="10"/>
    <m/>
    <m/>
    <n v="0"/>
    <m/>
  </r>
  <r>
    <d v="2017-02-03T00:00:00"/>
    <x v="4"/>
    <s v="ООО Первый"/>
    <x v="2"/>
    <n v="110"/>
    <n v="136"/>
    <x v="2"/>
    <d v="2017-02-20T00:00:00"/>
    <n v="50"/>
    <n v="6800"/>
    <m/>
  </r>
  <r>
    <d v="2017-02-03T00:00:00"/>
    <x v="2"/>
    <s v="ООО Первый"/>
    <x v="3"/>
    <n v="80"/>
    <n v="25"/>
    <x v="11"/>
    <m/>
    <m/>
    <n v="0"/>
    <m/>
  </r>
  <r>
    <d v="2017-02-08T00:00:00"/>
    <x v="0"/>
    <s v="ООО Четвертый"/>
    <x v="1"/>
    <n v="150"/>
    <n v="32"/>
    <x v="12"/>
    <d v="2017-02-16T00:00:00"/>
    <n v="50"/>
    <n v="1600"/>
    <m/>
  </r>
  <r>
    <d v="2017-02-09T00:00:00"/>
    <x v="1"/>
    <s v="ООО Второй"/>
    <x v="5"/>
    <n v="90"/>
    <n v="54"/>
    <x v="13"/>
    <m/>
    <m/>
    <n v="0"/>
    <m/>
  </r>
  <r>
    <d v="2017-02-17T00:00:00"/>
    <x v="0"/>
    <s v="ООО Четвертый"/>
    <x v="6"/>
    <n v="310"/>
    <n v="87"/>
    <x v="14"/>
    <m/>
    <m/>
    <n v="0"/>
    <m/>
  </r>
  <r>
    <d v="2017-02-17T00:00:00"/>
    <x v="0"/>
    <s v="ООО Четвертый"/>
    <x v="1"/>
    <n v="100"/>
    <n v="32"/>
    <x v="7"/>
    <d v="2017-03-01T00:00:00"/>
    <n v="10"/>
    <n v="320"/>
    <m/>
  </r>
  <r>
    <d v="2017-02-20T00:00:00"/>
    <x v="1"/>
    <s v="ООО Четвертый"/>
    <x v="7"/>
    <n v="120"/>
    <n v="110"/>
    <x v="15"/>
    <m/>
    <m/>
    <n v="0"/>
    <m/>
  </r>
  <r>
    <d v="2017-02-21T00:00:00"/>
    <x v="2"/>
    <s v="ООО Второй"/>
    <x v="2"/>
    <n v="130"/>
    <n v="136"/>
    <x v="16"/>
    <m/>
    <m/>
    <n v="0"/>
    <m/>
  </r>
  <r>
    <d v="2017-02-21T00:00:00"/>
    <x v="0"/>
    <s v="ООО Первый"/>
    <x v="3"/>
    <n v="78"/>
    <n v="25"/>
    <x v="4"/>
    <m/>
    <m/>
    <n v="0"/>
    <m/>
  </r>
  <r>
    <d v="2017-03-13T00:00:00"/>
    <x v="3"/>
    <s v="ООО Первый"/>
    <x v="1"/>
    <n v="89"/>
    <n v="32"/>
    <x v="17"/>
    <m/>
    <m/>
    <n v="0"/>
    <m/>
  </r>
  <r>
    <d v="2017-03-13T00:00:00"/>
    <x v="1"/>
    <s v="ООО Четвертый"/>
    <x v="5"/>
    <n v="140"/>
    <n v="54"/>
    <x v="18"/>
    <m/>
    <m/>
    <n v="0"/>
    <m/>
  </r>
  <r>
    <d v="2017-03-14T00:00:00"/>
    <x v="2"/>
    <s v="ООО Второй"/>
    <x v="6"/>
    <n v="160"/>
    <n v="87"/>
    <x v="19"/>
    <d v="2017-03-29T00:00:00"/>
    <n v="60"/>
    <n v="5220"/>
    <m/>
  </r>
  <r>
    <d v="2017-03-15T00:00:00"/>
    <x v="4"/>
    <s v="ООО Четвертый"/>
    <x v="7"/>
    <n v="160"/>
    <n v="110"/>
    <x v="20"/>
    <d v="2017-03-30T00:00:00"/>
    <n v="40"/>
    <n v="4400"/>
    <m/>
  </r>
  <r>
    <d v="2017-03-16T00:00:00"/>
    <x v="3"/>
    <s v="ООО Четвертый"/>
    <x v="0"/>
    <n v="56"/>
    <n v="45"/>
    <x v="21"/>
    <m/>
    <m/>
    <n v="0"/>
    <m/>
  </r>
  <r>
    <d v="2017-03-17T00:00:00"/>
    <x v="4"/>
    <s v="ООО Второй"/>
    <x v="0"/>
    <n v="120"/>
    <n v="45"/>
    <x v="0"/>
    <m/>
    <m/>
    <n v="0"/>
    <m/>
  </r>
  <r>
    <d v="2017-03-17T00:00:00"/>
    <x v="2"/>
    <s v="ООО Первый"/>
    <x v="1"/>
    <n v="80"/>
    <n v="32"/>
    <x v="22"/>
    <d v="2017-03-20T00:00:00"/>
    <n v="10"/>
    <n v="320"/>
    <m/>
  </r>
  <r>
    <d v="2017-03-17T00:00:00"/>
    <x v="0"/>
    <s v="ООО Первый"/>
    <x v="1"/>
    <n v="70"/>
    <n v="32"/>
    <x v="23"/>
    <m/>
    <m/>
    <n v="0"/>
    <m/>
  </r>
  <r>
    <d v="2017-03-18T00:00:00"/>
    <x v="0"/>
    <s v="ООО Четвертый"/>
    <x v="1"/>
    <n v="60"/>
    <n v="32"/>
    <x v="24"/>
    <m/>
    <m/>
    <n v="0"/>
    <m/>
  </r>
  <r>
    <d v="2017-03-20T00:00:00"/>
    <x v="0"/>
    <s v="ООО Второй"/>
    <x v="5"/>
    <n v="150"/>
    <n v="54"/>
    <x v="25"/>
    <d v="2017-04-01T00:00:00"/>
    <n v="50"/>
    <n v="2700"/>
    <m/>
  </r>
  <r>
    <d v="2017-03-20T00:00:00"/>
    <x v="1"/>
    <s v="ООО Второй"/>
    <x v="6"/>
    <n v="166"/>
    <n v="87"/>
    <x v="26"/>
    <m/>
    <m/>
    <n v="0"/>
    <m/>
  </r>
  <r>
    <d v="2017-03-21T00:00:00"/>
    <x v="3"/>
    <s v="ООО Четвертый"/>
    <x v="6"/>
    <n v="120"/>
    <n v="87"/>
    <x v="27"/>
    <m/>
    <m/>
    <n v="0"/>
    <m/>
  </r>
  <r>
    <d v="2017-03-23T00:00:00"/>
    <x v="0"/>
    <s v="ООО Второй"/>
    <x v="7"/>
    <n v="190"/>
    <n v="110"/>
    <x v="28"/>
    <m/>
    <m/>
    <n v="0"/>
    <m/>
  </r>
  <r>
    <d v="2017-03-24T00:00:00"/>
    <x v="1"/>
    <s v="ООО Четвертый"/>
    <x v="7"/>
    <n v="210"/>
    <n v="110"/>
    <x v="29"/>
    <d v="2017-04-02T00:00:00"/>
    <n v="30"/>
    <n v="3300"/>
    <m/>
  </r>
  <r>
    <d v="2017-03-27T00:00:00"/>
    <x v="2"/>
    <s v="ООО Четвертый"/>
    <x v="3"/>
    <n v="160"/>
    <n v="25"/>
    <x v="30"/>
    <m/>
    <m/>
    <n v="0"/>
    <m/>
  </r>
  <r>
    <d v="2017-04-13T00:00:00"/>
    <x v="4"/>
    <s v="ООО Четвертый"/>
    <x v="6"/>
    <n v="120"/>
    <n v="87"/>
    <x v="27"/>
    <m/>
    <m/>
    <n v="0"/>
    <m/>
  </r>
  <r>
    <d v="2017-04-14T00:00:00"/>
    <x v="2"/>
    <s v="ООО Второй"/>
    <x v="3"/>
    <n v="135"/>
    <n v="25"/>
    <x v="31"/>
    <d v="2017-04-23T00:00:00"/>
    <n v="48"/>
    <n v="1200"/>
    <m/>
  </r>
  <r>
    <d v="2017-04-14T00:00:00"/>
    <x v="0"/>
    <s v="ООО Первый"/>
    <x v="3"/>
    <n v="80"/>
    <n v="25"/>
    <x v="11"/>
    <m/>
    <m/>
    <n v="0"/>
    <m/>
  </r>
  <r>
    <d v="2017-04-18T00:00:00"/>
    <x v="3"/>
    <s v="ООО Первый"/>
    <x v="7"/>
    <n v="80"/>
    <n v="110"/>
    <x v="32"/>
    <d v="2017-04-22T00:00:00"/>
    <n v="20"/>
    <n v="2200"/>
    <m/>
  </r>
  <r>
    <d v="2017-04-17T00:00:00"/>
    <x v="0"/>
    <s v="ООО Четвертый"/>
    <x v="1"/>
    <n v="150"/>
    <n v="32"/>
    <x v="12"/>
    <m/>
    <m/>
    <n v="0"/>
    <m/>
  </r>
  <r>
    <d v="2017-04-17T00:00:00"/>
    <x v="1"/>
    <s v="ООО Второй"/>
    <x v="0"/>
    <n v="213"/>
    <n v="45"/>
    <x v="33"/>
    <m/>
    <m/>
    <n v="0"/>
    <m/>
  </r>
  <r>
    <d v="2017-04-17T00:00:00"/>
    <x v="3"/>
    <s v="ООО Второй"/>
    <x v="4"/>
    <n v="210"/>
    <n v="65"/>
    <x v="34"/>
    <d v="2017-04-25T00:00:00"/>
    <n v="40"/>
    <n v="2600"/>
    <m/>
  </r>
  <r>
    <d v="2017-04-18T00:00:00"/>
    <x v="3"/>
    <s v="ООО Второй"/>
    <x v="7"/>
    <n v="120"/>
    <n v="110"/>
    <x v="15"/>
    <m/>
    <m/>
    <n v="0"/>
    <m/>
  </r>
  <r>
    <d v="2017-04-19T00:00:00"/>
    <x v="0"/>
    <s v="ООО Первый"/>
    <x v="4"/>
    <n v="100"/>
    <n v="65"/>
    <x v="35"/>
    <m/>
    <m/>
    <n v="0"/>
    <m/>
  </r>
  <r>
    <d v="2017-04-20T00:00:00"/>
    <x v="0"/>
    <s v="ООО Четвертый"/>
    <x v="7"/>
    <n v="90"/>
    <n v="110"/>
    <x v="36"/>
    <m/>
    <m/>
    <n v="0"/>
    <m/>
  </r>
  <r>
    <d v="2017-04-21T00:00:00"/>
    <x v="2"/>
    <s v="ООО Второй"/>
    <x v="0"/>
    <n v="110"/>
    <n v="45"/>
    <x v="37"/>
    <m/>
    <m/>
    <n v="0"/>
    <m/>
  </r>
  <r>
    <d v="2017-04-20T00:00:00"/>
    <x v="0"/>
    <s v="ООО Четвертый"/>
    <x v="7"/>
    <n v="100"/>
    <n v="110"/>
    <x v="38"/>
    <d v="2017-04-30T00:00:00"/>
    <n v="60"/>
    <n v="6600"/>
    <m/>
  </r>
  <r>
    <d v="2017-04-21T00:00:00"/>
    <x v="4"/>
    <s v="ООО Второй"/>
    <x v="4"/>
    <n v="310"/>
    <n v="65"/>
    <x v="39"/>
    <m/>
    <m/>
    <n v="0"/>
    <m/>
  </r>
  <r>
    <d v="2017-04-22T00:00:00"/>
    <x v="2"/>
    <s v="ООО Четвертый"/>
    <x v="1"/>
    <n v="231"/>
    <n v="32"/>
    <x v="40"/>
    <m/>
    <m/>
    <n v="0"/>
    <m/>
  </r>
  <r>
    <d v="2017-04-24T00:00:00"/>
    <x v="0"/>
    <s v="ООО Второй"/>
    <x v="1"/>
    <n v="80"/>
    <n v="32"/>
    <x v="22"/>
    <m/>
    <m/>
    <n v="0"/>
    <m/>
  </r>
  <r>
    <d v="2017-04-24T00:00:00"/>
    <x v="4"/>
    <s v="ООО Первый"/>
    <x v="1"/>
    <n v="60"/>
    <n v="32"/>
    <x v="24"/>
    <m/>
    <m/>
    <n v="0"/>
    <m/>
  </r>
  <r>
    <d v="2017-05-17T00:00:00"/>
    <x v="2"/>
    <s v="ООО Первый"/>
    <x v="1"/>
    <n v="130"/>
    <n v="32"/>
    <x v="41"/>
    <d v="2017-05-20T00:00:00"/>
    <n v="30"/>
    <n v="960"/>
    <m/>
  </r>
  <r>
    <d v="2017-05-25T00:00:00"/>
    <x v="2"/>
    <s v="ООО Первый"/>
    <x v="3"/>
    <n v="56"/>
    <n v="25"/>
    <x v="42"/>
    <m/>
    <m/>
    <n v="0"/>
    <m/>
  </r>
  <r>
    <d v="2017-05-25T00:00:00"/>
    <x v="4"/>
    <s v="ООО Четвертый"/>
    <x v="4"/>
    <n v="120"/>
    <n v="65"/>
    <x v="43"/>
    <d v="2017-06-01T00:00:00"/>
    <n v="34"/>
    <n v="2210"/>
    <m/>
  </r>
  <r>
    <d v="2017-05-26T00:00:00"/>
    <x v="4"/>
    <s v="ООО Четвертый"/>
    <x v="1"/>
    <n v="100"/>
    <n v="32"/>
    <x v="7"/>
    <m/>
    <m/>
    <n v="0"/>
    <m/>
  </r>
  <r>
    <d v="2017-05-26T00:00:00"/>
    <x v="2"/>
    <s v="ООО Второй"/>
    <x v="3"/>
    <n v="60"/>
    <n v="25"/>
    <x v="44"/>
    <m/>
    <m/>
    <n v="0"/>
    <m/>
  </r>
  <r>
    <d v="2017-05-27T00:00:00"/>
    <x v="2"/>
    <s v="ООО Второй"/>
    <x v="1"/>
    <n v="200"/>
    <n v="32"/>
    <x v="45"/>
    <m/>
    <m/>
    <n v="0"/>
    <m/>
  </r>
  <r>
    <d v="2017-06-06T00:00:00"/>
    <x v="1"/>
    <s v="ООО Второй"/>
    <x v="6"/>
    <n v="210"/>
    <n v="87"/>
    <x v="46"/>
    <d v="2017-06-18T00:00:00"/>
    <n v="50"/>
    <n v="4350"/>
    <m/>
  </r>
  <r>
    <d v="2017-06-08T00:00:00"/>
    <x v="2"/>
    <s v="ООО Первый"/>
    <x v="4"/>
    <n v="120"/>
    <n v="65"/>
    <x v="43"/>
    <m/>
    <m/>
    <n v="0"/>
    <m/>
  </r>
  <r>
    <d v="2017-06-09T00:00:00"/>
    <x v="4"/>
    <s v="ООО Первый"/>
    <x v="2"/>
    <n v="180"/>
    <n v="136"/>
    <x v="47"/>
    <d v="2017-06-28T00:00:00"/>
    <n v="80"/>
    <n v="10880"/>
    <m/>
  </r>
  <r>
    <d v="2017-06-10T00:00:00"/>
    <x v="4"/>
    <s v="ООО Четвертый"/>
    <x v="7"/>
    <n v="12"/>
    <n v="110"/>
    <x v="48"/>
    <m/>
    <m/>
    <n v="0"/>
    <m/>
  </r>
  <r>
    <d v="2017-06-13T00:00:00"/>
    <x v="0"/>
    <s v="ООО Второй"/>
    <x v="6"/>
    <n v="160"/>
    <n v="87"/>
    <x v="19"/>
    <m/>
    <m/>
    <n v="0"/>
    <m/>
  </r>
  <r>
    <d v="2017-06-12T00:00:00"/>
    <x v="1"/>
    <s v="ООО Второй"/>
    <x v="7"/>
    <n v="41"/>
    <n v="110"/>
    <x v="49"/>
    <m/>
    <m/>
    <n v="0"/>
    <m/>
  </r>
  <r>
    <d v="2017-06-13T00:00:00"/>
    <x v="0"/>
    <s v="ООО Второй"/>
    <x v="2"/>
    <n v="20"/>
    <n v="136"/>
    <x v="50"/>
    <m/>
    <m/>
    <n v="0"/>
    <m/>
  </r>
  <r>
    <d v="2017-06-15T00:00:00"/>
    <x v="1"/>
    <s v="ООО Первый"/>
    <x v="3"/>
    <n v="100"/>
    <n v="25"/>
    <x v="51"/>
    <d v="2017-07-01T00:00:00"/>
    <n v="12"/>
    <n v="300"/>
    <m/>
  </r>
  <r>
    <d v="2017-06-15T00:00:00"/>
    <x v="4"/>
    <s v="ООО Первый"/>
    <x v="1"/>
    <n v="210"/>
    <n v="32"/>
    <x v="52"/>
    <d v="2017-06-26T00:00:00"/>
    <n v="80"/>
    <n v="2560"/>
    <m/>
  </r>
  <r>
    <d v="2017-07-15T00:00:00"/>
    <x v="2"/>
    <s v="ООО Первый"/>
    <x v="1"/>
    <n v="100"/>
    <n v="32"/>
    <x v="7"/>
    <m/>
    <m/>
    <n v="0"/>
    <m/>
  </r>
  <r>
    <d v="2017-07-16T00:00:00"/>
    <x v="4"/>
    <s v="ООО Четвертый"/>
    <x v="5"/>
    <n v="40"/>
    <n v="54"/>
    <x v="53"/>
    <m/>
    <m/>
    <n v="0"/>
    <m/>
  </r>
  <r>
    <d v="2017-07-17T00:00:00"/>
    <x v="2"/>
    <s v="ООО Второй"/>
    <x v="6"/>
    <n v="60"/>
    <n v="87"/>
    <x v="54"/>
    <m/>
    <m/>
    <n v="0"/>
    <m/>
  </r>
  <r>
    <d v="2017-07-18T00:00:00"/>
    <x v="0"/>
    <s v="ООО Второй"/>
    <x v="7"/>
    <n v="90"/>
    <n v="110"/>
    <x v="36"/>
    <d v="2017-07-20T00:00:00"/>
    <n v="10"/>
    <n v="1100"/>
    <m/>
  </r>
  <r>
    <d v="2017-07-19T00:00:00"/>
    <x v="1"/>
    <s v="ООО Второй"/>
    <x v="2"/>
    <n v="100"/>
    <n v="136"/>
    <x v="55"/>
    <m/>
    <m/>
    <n v="0"/>
    <m/>
  </r>
  <r>
    <d v="2017-07-20T00:00:00"/>
    <x v="0"/>
    <s v="ООО Первый"/>
    <x v="0"/>
    <n v="80"/>
    <n v="45"/>
    <x v="56"/>
    <m/>
    <m/>
    <n v="0"/>
    <m/>
  </r>
  <r>
    <d v="2017-07-21T00:00:00"/>
    <x v="1"/>
    <s v="ООО Первый"/>
    <x v="3"/>
    <n v="90"/>
    <n v="25"/>
    <x v="57"/>
    <m/>
    <m/>
    <n v="0"/>
    <m/>
  </r>
  <r>
    <d v="2017-07-22T00:00:00"/>
    <x v="4"/>
    <s v="ООО Первый"/>
    <x v="1"/>
    <n v="56"/>
    <n v="32"/>
    <x v="58"/>
    <m/>
    <m/>
    <n v="0"/>
    <m/>
  </r>
  <r>
    <d v="2017-07-23T00:00:00"/>
    <x v="2"/>
    <s v="ООО Четвертый"/>
    <x v="0"/>
    <n v="120"/>
    <n v="45"/>
    <x v="0"/>
    <d v="2017-07-27T00:00:00"/>
    <n v="40"/>
    <n v="1800"/>
    <m/>
  </r>
  <r>
    <d v="2017-07-24T00:00:00"/>
    <x v="4"/>
    <s v="ООО Второй"/>
    <x v="5"/>
    <n v="80"/>
    <n v="54"/>
    <x v="59"/>
    <m/>
    <m/>
    <n v="0"/>
    <m/>
  </r>
  <r>
    <d v="2017-07-24T00:00:00"/>
    <x v="4"/>
    <s v="ООО Второй"/>
    <x v="5"/>
    <n v="80"/>
    <n v="54"/>
    <x v="59"/>
    <m/>
    <m/>
    <n v="0"/>
    <m/>
  </r>
  <r>
    <d v="2017-07-25T00:00:00"/>
    <x v="2"/>
    <s v="ООО Второй"/>
    <x v="4"/>
    <n v="40"/>
    <n v="65"/>
    <x v="60"/>
    <m/>
    <m/>
    <n v="0"/>
    <m/>
  </r>
  <r>
    <d v="2017-07-25T00:00:00"/>
    <x v="2"/>
    <s v="ООО Второй"/>
    <x v="4"/>
    <n v="40"/>
    <n v="65"/>
    <x v="60"/>
    <m/>
    <m/>
    <n v="0"/>
    <m/>
  </r>
  <r>
    <d v="2017-07-26T00:00:00"/>
    <x v="0"/>
    <s v="ООО Второй"/>
    <x v="6"/>
    <n v="70"/>
    <n v="87"/>
    <x v="61"/>
    <d v="2017-08-01T00:00:00"/>
    <n v="10"/>
    <n v="870"/>
    <m/>
  </r>
  <r>
    <d v="2017-07-26T00:00:00"/>
    <x v="0"/>
    <s v="ООО Второй"/>
    <x v="6"/>
    <n v="70"/>
    <n v="87"/>
    <x v="61"/>
    <m/>
    <m/>
    <n v="0"/>
    <m/>
  </r>
  <r>
    <d v="2017-07-27T00:00:00"/>
    <x v="1"/>
    <s v="ООО Первый"/>
    <x v="7"/>
    <n v="170"/>
    <n v="110"/>
    <x v="62"/>
    <d v="2014-07-30T00:00:00"/>
    <n v="40"/>
    <n v="4400"/>
    <m/>
  </r>
  <r>
    <d v="2017-07-27T00:00:00"/>
    <x v="1"/>
    <s v="ООО Первый"/>
    <x v="7"/>
    <n v="170"/>
    <n v="110"/>
    <x v="62"/>
    <m/>
    <m/>
    <n v="0"/>
    <m/>
  </r>
  <r>
    <d v="2017-07-28T00:00:00"/>
    <x v="0"/>
    <s v="ООО Первый"/>
    <x v="2"/>
    <n v="49"/>
    <n v="136"/>
    <x v="63"/>
    <m/>
    <m/>
    <n v="0"/>
    <m/>
  </r>
  <r>
    <d v="2017-07-29T00:00:00"/>
    <x v="3"/>
    <s v="ООО Первый"/>
    <x v="3"/>
    <n v="120"/>
    <n v="25"/>
    <x v="64"/>
    <m/>
    <m/>
    <n v="0"/>
    <m/>
  </r>
  <r>
    <d v="2017-08-09T00:00:00"/>
    <x v="2"/>
    <s v="ООО Четвертый"/>
    <x v="1"/>
    <n v="100"/>
    <n v="32"/>
    <x v="7"/>
    <m/>
    <m/>
    <n v="0"/>
    <m/>
  </r>
  <r>
    <d v="2017-08-10T00:00:00"/>
    <x v="4"/>
    <s v="ООО Второй"/>
    <x v="0"/>
    <n v="50"/>
    <n v="45"/>
    <x v="57"/>
    <d v="2017-08-12T00:00:00"/>
    <n v="10"/>
    <n v="450"/>
    <m/>
  </r>
  <r>
    <d v="2017-08-11T00:00:00"/>
    <x v="2"/>
    <s v="ООО Первый"/>
    <x v="5"/>
    <n v="100"/>
    <n v="54"/>
    <x v="0"/>
    <m/>
    <m/>
    <n v="0"/>
    <m/>
  </r>
  <r>
    <d v="2017-08-12T00:00:00"/>
    <x v="0"/>
    <s v="ООО Первый"/>
    <x v="4"/>
    <n v="180"/>
    <n v="65"/>
    <x v="65"/>
    <m/>
    <m/>
    <n v="0"/>
    <m/>
  </r>
  <r>
    <d v="2017-08-13T00:00:00"/>
    <x v="1"/>
    <s v="ООО Четвертый"/>
    <x v="6"/>
    <n v="170"/>
    <n v="87"/>
    <x v="66"/>
    <m/>
    <m/>
    <n v="0"/>
    <m/>
  </r>
  <r>
    <d v="2017-08-14T00:00:00"/>
    <x v="0"/>
    <s v="ООО Второй"/>
    <x v="7"/>
    <n v="80"/>
    <n v="110"/>
    <x v="32"/>
    <m/>
    <m/>
    <n v="0"/>
    <m/>
  </r>
  <r>
    <d v="2017-08-14T00:00:00"/>
    <x v="0"/>
    <s v="ООО Второй"/>
    <x v="7"/>
    <n v="80"/>
    <n v="110"/>
    <x v="32"/>
    <d v="2017-08-20T00:00:00"/>
    <n v="20"/>
    <n v="2200"/>
    <m/>
  </r>
  <r>
    <d v="2017-08-15T00:00:00"/>
    <x v="3"/>
    <s v="ООО Второй"/>
    <x v="2"/>
    <n v="60"/>
    <n v="136"/>
    <x v="67"/>
    <m/>
    <m/>
    <n v="0"/>
    <m/>
  </r>
  <r>
    <d v="2017-08-15T00:00:00"/>
    <x v="3"/>
    <s v="ООО Второй"/>
    <x v="7"/>
    <n v="60"/>
    <n v="110"/>
    <x v="68"/>
    <m/>
    <m/>
    <n v="0"/>
    <m/>
  </r>
  <r>
    <d v="2017-08-16T00:00:00"/>
    <x v="2"/>
    <s v="ООО Второй"/>
    <x v="3"/>
    <n v="130"/>
    <n v="25"/>
    <x v="69"/>
    <d v="2017-08-20T00:00:00"/>
    <n v="40"/>
    <n v="1000"/>
    <m/>
  </r>
  <r>
    <d v="2017-08-16T00:00:00"/>
    <x v="2"/>
    <s v="ООО Второй"/>
    <x v="1"/>
    <n v="130"/>
    <n v="32"/>
    <x v="41"/>
    <m/>
    <m/>
    <n v="0"/>
    <m/>
  </r>
  <r>
    <d v="2017-08-17T00:00:00"/>
    <x v="0"/>
    <s v="ООО Четвертый"/>
    <x v="1"/>
    <n v="56"/>
    <n v="32"/>
    <x v="58"/>
    <m/>
    <m/>
    <n v="0"/>
    <m/>
  </r>
  <r>
    <d v="2017-08-17T00:00:00"/>
    <x v="3"/>
    <s v="ООО Четвертый"/>
    <x v="6"/>
    <n v="56"/>
    <n v="87"/>
    <x v="70"/>
    <m/>
    <m/>
    <n v="0"/>
    <m/>
  </r>
  <r>
    <d v="2017-08-18T00:00:00"/>
    <x v="2"/>
    <s v="ООО Четвертый"/>
    <x v="0"/>
    <n v="135"/>
    <n v="45"/>
    <x v="71"/>
    <d v="2017-08-22T00:00:00"/>
    <n v="34"/>
    <n v="1530"/>
    <m/>
  </r>
  <r>
    <d v="2017-08-18T00:00:00"/>
    <x v="4"/>
    <s v="ООО Четвертый"/>
    <x v="0"/>
    <n v="135"/>
    <n v="45"/>
    <x v="71"/>
    <m/>
    <m/>
    <n v="0"/>
    <m/>
  </r>
  <r>
    <d v="2017-08-19T00:00:00"/>
    <x v="2"/>
    <s v="ООО Второй"/>
    <x v="5"/>
    <n v="80"/>
    <n v="54"/>
    <x v="59"/>
    <m/>
    <m/>
    <n v="0"/>
    <m/>
  </r>
  <r>
    <d v="2017-08-19T00:00:00"/>
    <x v="0"/>
    <s v="ООО Второй"/>
    <x v="2"/>
    <n v="80"/>
    <n v="136"/>
    <x v="72"/>
    <m/>
    <m/>
    <n v="0"/>
    <m/>
  </r>
  <r>
    <d v="2017-08-20T00:00:00"/>
    <x v="1"/>
    <s v="ООО Первый"/>
    <x v="4"/>
    <n v="80"/>
    <n v="65"/>
    <x v="73"/>
    <m/>
    <m/>
    <n v="0"/>
    <m/>
  </r>
  <r>
    <d v="2017-08-20T00:00:00"/>
    <x v="1"/>
    <s v="ООО Первый"/>
    <x v="1"/>
    <n v="80"/>
    <n v="32"/>
    <x v="22"/>
    <m/>
    <m/>
    <n v="0"/>
    <m/>
  </r>
  <r>
    <d v="2017-08-21T00:00:00"/>
    <x v="0"/>
    <s v="ООО Первый"/>
    <x v="6"/>
    <n v="150"/>
    <n v="87"/>
    <x v="74"/>
    <m/>
    <m/>
    <n v="0"/>
    <m/>
  </r>
  <r>
    <d v="2017-08-21T00:00:00"/>
    <x v="0"/>
    <s v="ООО Первый"/>
    <x v="7"/>
    <n v="150"/>
    <n v="110"/>
    <x v="75"/>
    <d v="2017-08-25T00:00:00"/>
    <n v="45"/>
    <n v="4950"/>
    <m/>
  </r>
  <r>
    <d v="2017-08-22T00:00:00"/>
    <x v="3"/>
    <s v="ООО Четвертый"/>
    <x v="7"/>
    <n v="135"/>
    <n v="110"/>
    <x v="76"/>
    <d v="2017-08-24T00:00:00"/>
    <n v="20"/>
    <n v="2200"/>
    <m/>
  </r>
  <r>
    <d v="2017-08-22T00:00:00"/>
    <x v="3"/>
    <s v="ООО Четвертый"/>
    <x v="3"/>
    <n v="135"/>
    <n v="25"/>
    <x v="31"/>
    <m/>
    <m/>
    <n v="0"/>
    <m/>
  </r>
  <r>
    <d v="2017-08-23T00:00:00"/>
    <x v="2"/>
    <s v="ООО Второй"/>
    <x v="2"/>
    <n v="80"/>
    <n v="136"/>
    <x v="72"/>
    <m/>
    <m/>
    <n v="0"/>
    <m/>
  </r>
  <r>
    <d v="2017-08-23T00:00:00"/>
    <x v="3"/>
    <s v="ООО Второй"/>
    <x v="7"/>
    <n v="80"/>
    <n v="110"/>
    <x v="32"/>
    <d v="2017-08-25T00:00:00"/>
    <n v="20"/>
    <n v="2200"/>
    <m/>
  </r>
  <r>
    <d v="2018-09-03T00:00:00"/>
    <x v="4"/>
    <s v="ООО Первый"/>
    <x v="3"/>
    <n v="80"/>
    <n v="25"/>
    <x v="11"/>
    <m/>
    <m/>
    <n v="0"/>
    <m/>
  </r>
  <r>
    <d v="2018-09-03T00:00:00"/>
    <x v="4"/>
    <s v="ООО Первый"/>
    <x v="4"/>
    <n v="80"/>
    <n v="65"/>
    <x v="73"/>
    <m/>
    <m/>
    <n v="0"/>
    <m/>
  </r>
  <r>
    <d v="2018-09-04T00:00:00"/>
    <x v="0"/>
    <s v="ООО Второй"/>
    <x v="7"/>
    <n v="90"/>
    <n v="110"/>
    <x v="36"/>
    <m/>
    <m/>
    <n v="0"/>
    <m/>
  </r>
  <r>
    <d v="2018-09-04T00:00:00"/>
    <x v="0"/>
    <s v="ООО Второй"/>
    <x v="2"/>
    <n v="80"/>
    <n v="136"/>
    <x v="72"/>
    <m/>
    <m/>
    <n v="0"/>
    <m/>
  </r>
  <r>
    <d v="2018-09-05T00:00:00"/>
    <x v="3"/>
    <s v="ООО Второй"/>
    <x v="2"/>
    <n v="160"/>
    <n v="136"/>
    <x v="77"/>
    <d v="2017-09-08T00:00:00"/>
    <n v="30"/>
    <n v="4080"/>
    <m/>
  </r>
  <r>
    <d v="2018-09-05T00:00:00"/>
    <x v="2"/>
    <s v="ООО Второй"/>
    <x v="5"/>
    <n v="110"/>
    <n v="54"/>
    <x v="78"/>
    <m/>
    <m/>
    <n v="0"/>
    <m/>
  </r>
  <r>
    <d v="2018-09-06T00:00:00"/>
    <x v="2"/>
    <s v="ООО Четвертый"/>
    <x v="3"/>
    <n v="230"/>
    <n v="25"/>
    <x v="79"/>
    <m/>
    <m/>
    <n v="0"/>
    <m/>
  </r>
  <r>
    <d v="2018-09-06T00:00:00"/>
    <x v="2"/>
    <s v="ООО Четвертый"/>
    <x v="0"/>
    <n v="230"/>
    <n v="45"/>
    <x v="80"/>
    <d v="2017-09-11T00:00:00"/>
    <n v="30"/>
    <n v="1350"/>
    <m/>
  </r>
  <r>
    <d v="2018-09-07T00:00:00"/>
    <x v="4"/>
    <s v="ООО Четвертый"/>
    <x v="1"/>
    <n v="60"/>
    <n v="32"/>
    <x v="24"/>
    <m/>
    <m/>
    <n v="0"/>
    <m/>
  </r>
  <r>
    <d v="2018-09-07T00:00:00"/>
    <x v="4"/>
    <s v="ООО Четвертый"/>
    <x v="2"/>
    <n v="25"/>
    <n v="136"/>
    <x v="81"/>
    <m/>
    <m/>
    <n v="0"/>
    <m/>
  </r>
  <r>
    <d v="2018-09-10T00:00:00"/>
    <x v="2"/>
    <s v="ООО Второй"/>
    <x v="0"/>
    <n v="170"/>
    <n v="45"/>
    <x v="82"/>
    <m/>
    <m/>
    <n v="0"/>
    <m/>
  </r>
  <r>
    <d v="2018-09-10T00:00:00"/>
    <x v="2"/>
    <s v="ООО Второй"/>
    <x v="3"/>
    <n v="170"/>
    <n v="25"/>
    <x v="83"/>
    <m/>
    <m/>
    <n v="0"/>
    <m/>
  </r>
  <r>
    <d v="2018-09-11T00:00:00"/>
    <x v="2"/>
    <s v="ООО Первый"/>
    <x v="5"/>
    <n v="56"/>
    <n v="54"/>
    <x v="84"/>
    <m/>
    <m/>
    <n v="0"/>
    <m/>
  </r>
  <r>
    <d v="2018-09-11T00:00:00"/>
    <x v="0"/>
    <s v="ООО Первый"/>
    <x v="5"/>
    <n v="56"/>
    <n v="54"/>
    <x v="84"/>
    <d v="2017-09-15T00:00:00"/>
    <n v="21"/>
    <n v="1134"/>
    <m/>
  </r>
  <r>
    <d v="2018-09-12T00:00:00"/>
    <x v="1"/>
    <s v="ООО Первый"/>
    <x v="4"/>
    <n v="90"/>
    <n v="65"/>
    <x v="85"/>
    <m/>
    <m/>
    <n v="0"/>
    <m/>
  </r>
  <r>
    <d v="2018-09-12T00:00:00"/>
    <x v="1"/>
    <s v="ООО Первый"/>
    <x v="5"/>
    <n v="90"/>
    <n v="54"/>
    <x v="13"/>
    <m/>
    <m/>
    <n v="0"/>
    <m/>
  </r>
  <r>
    <d v="2018-09-13T00:00:00"/>
    <x v="3"/>
    <s v="ООО Четвертый"/>
    <x v="6"/>
    <n v="70"/>
    <n v="87"/>
    <x v="61"/>
    <m/>
    <m/>
    <n v="0"/>
    <m/>
  </r>
  <r>
    <d v="2018-09-13T00:00:00"/>
    <x v="0"/>
    <s v="ООО Четвертый"/>
    <x v="6"/>
    <n v="70"/>
    <n v="87"/>
    <x v="61"/>
    <m/>
    <m/>
    <n v="0"/>
    <m/>
  </r>
  <r>
    <d v="2018-09-14T00:00:00"/>
    <x v="2"/>
    <s v="ООО Второй"/>
    <x v="7"/>
    <n v="50"/>
    <n v="110"/>
    <x v="86"/>
    <m/>
    <m/>
    <n v="0"/>
    <m/>
  </r>
  <r>
    <d v="2018-09-14T00:00:00"/>
    <x v="3"/>
    <s v="ООО Второй"/>
    <x v="7"/>
    <n v="50"/>
    <n v="110"/>
    <x v="86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D4347-3638-004C-9975-F500A2F617D4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11:C51" firstHeaderRow="1" firstDataRow="1" firstDataCol="2"/>
  <pivotFields count="12"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3"/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4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Поле1" fld="1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D574C-60E6-8E4B-8546-C43DB6292946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/>
    <pivotField numFmtId="44" showAll="0"/>
    <pivotField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Поле1" fld="1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C3976-7AAE-0149-8525-32AFA5EC9BCD}" name="Сводная таблица3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56:J63" firstHeaderRow="1" firstDataRow="2" firstDataCol="1"/>
  <pivotFields count="12"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3"/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Поле1" fld="1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28" dataDxfId="27" tableBorderDxfId="26">
  <autoFilter ref="A1:L131" xr:uid="{00000000-0009-0000-0100-000001000000}"/>
  <tableColumns count="12">
    <tableColumn id="1" xr3:uid="{A8113154-9406-AF47-8935-9A510E7D72E1}" name="Дата" dataDxfId="25"/>
    <tableColumn id="2" xr3:uid="{1334C2B4-20B2-A442-A4F3-671B65ECB11B}" name="ФИО менеджера" dataDxfId="24"/>
    <tableColumn id="3" xr3:uid="{CA6F0B49-B211-6E46-A299-C6DACE5210CE}" name="Наименование клиента" dataDxfId="23"/>
    <tableColumn id="4" xr3:uid="{B128F39C-208F-8846-AB45-F8C694832C2F}" name="Наименование Товара" dataDxfId="22"/>
    <tableColumn id="5" xr3:uid="{7CB16B93-A4C3-2F48-832A-8F28980BA11D}" name="Количество" dataDxfId="21"/>
    <tableColumn id="7" xr3:uid="{99D661F8-5861-B74E-89C2-D864F4865FCB}" name="Цена" dataDxfId="20">
      <calculatedColumnFormula>VLOOKUP(Таблица1[[#This Row],[Наименование Товара]],ИнформацияТовары!$A$2:$C$9,3,0)</calculatedColumnFormula>
    </tableColumn>
    <tableColumn id="6" xr3:uid="{D4F76BCB-83CB-B54B-AA28-1AB0558F8AC3}" name="Стоимость" dataDxfId="19" dataCellStyle="Денежный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18"/>
    <tableColumn id="9" xr3:uid="{328C5F7A-1219-D645-A955-70AAC1579211}" name="Количество к возврату" dataDxfId="17"/>
    <tableColumn id="10" xr3:uid="{6F63CF1B-9A06-5C42-BC36-634DBDFBB63D}" name="Стоимость возврата" dataDxfId="16" dataCellStyle="Денежный">
      <calculatedColumnFormula>Таблица1[[#This Row],[Количество к возврату]]*Таблица1[[#This Row],[Цена]]</calculatedColumnFormula>
    </tableColumn>
    <tableColumn id="11" xr3:uid="{64D7CA37-496D-8944-895E-EE56E15D2D1D}" name="Общая стоимость " dataDxfId="15">
      <calculatedColumnFormula>Таблица1[[#This Row],[Стоимость]]-Таблица1[[#This Row],[Стоимость возврата]]</calculatedColumnFormula>
    </tableColumn>
    <tableColumn id="12" xr3:uid="{A0D1E3AD-E651-7A42-8D87-1A1FB439905C}" name="Чистое количество" dataDxfId="14">
      <calculatedColumnFormula>Таблица1[[#This Row],[Количество]]-Таблица1[[#This Row],[Количество к возврату]]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3" tableBorderDxfId="12">
  <autoFilter ref="A1:C10" xr:uid="{454C3029-940F-4B72-A163-E14653329684}"/>
  <tableColumns count="3">
    <tableColumn id="1" xr3:uid="{C21BE010-591F-4F91-976D-C3ACDAC571D2}" name="Наименование Товара" dataDxfId="11"/>
    <tableColumn id="2" xr3:uid="{6D28B93F-29BB-4C84-BAC1-094B469F8D36}" name="Товарная группа"/>
    <tableColumn id="3" xr3:uid="{C07542A1-29C5-4DCC-8FBD-CD4C8416012D}" name="Цена товара (фикс)" dataDxfId="1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9" dataDxfId="8" dataCellStyle="Денежный">
  <autoFilter ref="H1:O9" xr:uid="{6CD477E7-D69C-4286-BD95-23EB993B86AF}"/>
  <tableColumns count="8">
    <tableColumn id="1" xr3:uid="{D620B6AA-BC38-42E8-8574-40BE31879CA6}" name="Наименование Товара" dataDxfId="7"/>
    <tableColumn id="2" xr3:uid="{D4DE033C-B84C-443A-A956-9D0C318FE2E5}" name="01.01.2017" dataDxfId="6" dataCellStyle="Денежный"/>
    <tableColumn id="3" xr3:uid="{A9D0B3E3-B7C7-4FB4-BC1A-33516CD49D1A}" name="01.03.2017" dataDxfId="5" dataCellStyle="Денежный"/>
    <tableColumn id="4" xr3:uid="{A023DE96-F723-4D35-BE1F-3FFEC926F7BD}" name="01.05.2017" dataDxfId="4" dataCellStyle="Денежный"/>
    <tableColumn id="5" xr3:uid="{066AC885-6762-4C56-B4AC-F2D0BFC45461}" name="01.07.2017" dataDxfId="3" dataCellStyle="Денежный"/>
    <tableColumn id="6" xr3:uid="{B5A31CE2-7123-46F3-B909-69F6B480159B}" name="01.11.2017" dataDxfId="2" dataCellStyle="Денежный"/>
    <tableColumn id="7" xr3:uid="{04D930A7-BDE4-4452-A8B2-372913D81B00}" name="Среднее" dataDxfId="1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0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628D-41DE-8148-BEC3-6669A42D9138}">
  <dimension ref="A3:J79"/>
  <sheetViews>
    <sheetView workbookViewId="0">
      <selection activeCell="B4" sqref="B4:B8"/>
    </sheetView>
  </sheetViews>
  <sheetFormatPr baseColWidth="10" defaultRowHeight="15" x14ac:dyDescent="0.2"/>
  <cols>
    <col min="1" max="1" width="23.6640625" bestFit="1" customWidth="1"/>
    <col min="2" max="9" width="21.83203125" bestFit="1" customWidth="1"/>
    <col min="10" max="10" width="12" bestFit="1" customWidth="1"/>
  </cols>
  <sheetData>
    <row r="3" spans="1:6" x14ac:dyDescent="0.2">
      <c r="A3" s="53" t="s">
        <v>45</v>
      </c>
      <c r="B3" t="s">
        <v>95</v>
      </c>
    </row>
    <row r="4" spans="1:6" x14ac:dyDescent="0.2">
      <c r="A4" s="54" t="s">
        <v>19</v>
      </c>
      <c r="B4" s="55">
        <v>146227</v>
      </c>
      <c r="C4" t="e">
        <f>SUMIF(ФИО_менеджера,A4,Стоимость)</f>
        <v>#NAME?</v>
      </c>
      <c r="D4" t="e">
        <f>SUMIF(ФИО_менеджера,A4,Стоимость_возврата)</f>
        <v>#NAME?</v>
      </c>
      <c r="E4" s="56" t="e">
        <f>C4-D4</f>
        <v>#NAME?</v>
      </c>
    </row>
    <row r="5" spans="1:6" x14ac:dyDescent="0.2">
      <c r="A5" s="54" t="s">
        <v>16</v>
      </c>
      <c r="B5" s="55">
        <v>184825</v>
      </c>
      <c r="C5" t="e">
        <f>SUMIF(ФИО_менеджера,A5,Стоимость)</f>
        <v>#NAME?</v>
      </c>
      <c r="D5" t="e">
        <f>SUMIF(ФИО_менеджера,A5,Стоимость_возврата)</f>
        <v>#NAME?</v>
      </c>
      <c r="E5" s="56" t="e">
        <f t="shared" ref="E5:E8" si="0">C5-D5</f>
        <v>#NAME?</v>
      </c>
    </row>
    <row r="6" spans="1:6" x14ac:dyDescent="0.2">
      <c r="A6" s="54" t="s">
        <v>17</v>
      </c>
      <c r="B6" s="55">
        <v>245736</v>
      </c>
      <c r="C6" t="e">
        <f>SUMIF(ФИО_менеджера,A6,Стоимость)</f>
        <v>#NAME?</v>
      </c>
      <c r="D6" t="e">
        <f>SUMIF(ФИО_менеджера,A6,Стоимость_возврата)</f>
        <v>#NAME?</v>
      </c>
      <c r="E6" s="56" t="e">
        <f t="shared" si="0"/>
        <v>#NAME?</v>
      </c>
    </row>
    <row r="7" spans="1:6" x14ac:dyDescent="0.2">
      <c r="A7" s="54" t="s">
        <v>18</v>
      </c>
      <c r="B7" s="55">
        <v>171242</v>
      </c>
      <c r="C7" t="e">
        <f>SUMIF(ФИО_менеджера,A7,Стоимость)</f>
        <v>#NAME?</v>
      </c>
      <c r="D7" t="e">
        <f>SUMIF(ФИО_менеджера,A7,Стоимость_возврата)</f>
        <v>#NAME?</v>
      </c>
      <c r="E7" s="56" t="e">
        <f t="shared" si="0"/>
        <v>#NAME?</v>
      </c>
    </row>
    <row r="8" spans="1:6" x14ac:dyDescent="0.2">
      <c r="A8" s="54" t="s">
        <v>20</v>
      </c>
      <c r="B8" s="55">
        <v>202097</v>
      </c>
      <c r="C8" t="e">
        <f>SUMIF(ФИО_менеджера,A8,Стоимость)</f>
        <v>#NAME?</v>
      </c>
      <c r="D8" t="e">
        <f>SUMIF(ФИО_менеджера,A8,Стоимость_возврата)</f>
        <v>#NAME?</v>
      </c>
      <c r="E8" s="56" t="e">
        <f t="shared" si="0"/>
        <v>#NAME?</v>
      </c>
    </row>
    <row r="9" spans="1:6" x14ac:dyDescent="0.2">
      <c r="A9" s="54" t="s">
        <v>40</v>
      </c>
      <c r="B9" s="55">
        <v>950127</v>
      </c>
    </row>
    <row r="11" spans="1:6" x14ac:dyDescent="0.2">
      <c r="A11" s="53" t="s">
        <v>13</v>
      </c>
      <c r="B11" s="53" t="s">
        <v>5</v>
      </c>
      <c r="C11" t="s">
        <v>95</v>
      </c>
    </row>
    <row r="12" spans="1:6" x14ac:dyDescent="0.2">
      <c r="A12" t="s">
        <v>19</v>
      </c>
      <c r="B12" t="s">
        <v>65</v>
      </c>
      <c r="C12" s="55">
        <v>25160</v>
      </c>
      <c r="D12" t="e">
        <f>SUMIFS(Стоимость,ФИО_менеджера,A12,Наименование_Товара,B12)</f>
        <v>#NAME?</v>
      </c>
      <c r="E12" t="e">
        <f t="shared" ref="E12:E50" si="1">SUMIFS(Стоимость_возврата,ФИО_менеджера,A12,Наименование_Товара,B12)</f>
        <v>#NAME?</v>
      </c>
      <c r="F12" s="56" t="e">
        <f>D12-E12</f>
        <v>#NAME?</v>
      </c>
    </row>
    <row r="13" spans="1:6" x14ac:dyDescent="0.2">
      <c r="A13" t="s">
        <v>19</v>
      </c>
      <c r="B13" t="s">
        <v>28</v>
      </c>
      <c r="C13" s="55">
        <v>36540</v>
      </c>
      <c r="D13" t="e">
        <f t="shared" ref="D13:D50" si="2">SUMIFS(Стоимость,ФИО_менеджера,A13,Наименование_Товара,B13)</f>
        <v>#NAME?</v>
      </c>
      <c r="E13" t="e">
        <f t="shared" si="1"/>
        <v>#NAME?</v>
      </c>
      <c r="F13" s="56" t="e">
        <f t="shared" ref="F13:F50" si="3">D13-E13</f>
        <v>#NAME?</v>
      </c>
    </row>
    <row r="14" spans="1:6" x14ac:dyDescent="0.2">
      <c r="A14" t="s">
        <v>19</v>
      </c>
      <c r="B14" t="s">
        <v>27</v>
      </c>
      <c r="C14" s="55">
        <v>30940</v>
      </c>
      <c r="D14" t="e">
        <f t="shared" si="2"/>
        <v>#NAME?</v>
      </c>
      <c r="E14" t="e">
        <f t="shared" si="1"/>
        <v>#NAME?</v>
      </c>
      <c r="F14" s="56" t="e">
        <f t="shared" si="3"/>
        <v>#NAME?</v>
      </c>
    </row>
    <row r="15" spans="1:6" x14ac:dyDescent="0.2">
      <c r="A15" t="s">
        <v>19</v>
      </c>
      <c r="B15" t="s">
        <v>9</v>
      </c>
      <c r="C15" s="55">
        <v>12992</v>
      </c>
      <c r="D15" t="e">
        <f t="shared" si="2"/>
        <v>#NAME?</v>
      </c>
      <c r="E15" t="e">
        <f t="shared" si="1"/>
        <v>#NAME?</v>
      </c>
      <c r="F15" s="56" t="e">
        <f t="shared" si="3"/>
        <v>#NAME?</v>
      </c>
    </row>
    <row r="16" spans="1:6" x14ac:dyDescent="0.2">
      <c r="A16" t="s">
        <v>19</v>
      </c>
      <c r="B16" t="s">
        <v>10</v>
      </c>
      <c r="C16" s="55">
        <v>13275</v>
      </c>
      <c r="D16" t="e">
        <f t="shared" si="2"/>
        <v>#NAME?</v>
      </c>
      <c r="E16" t="e">
        <f t="shared" si="1"/>
        <v>#NAME?</v>
      </c>
      <c r="F16" s="56" t="e">
        <f t="shared" si="3"/>
        <v>#NAME?</v>
      </c>
    </row>
    <row r="17" spans="1:6" x14ac:dyDescent="0.2">
      <c r="A17" t="s">
        <v>19</v>
      </c>
      <c r="B17" t="s">
        <v>7</v>
      </c>
      <c r="C17" s="55">
        <v>2000</v>
      </c>
      <c r="D17" t="e">
        <f t="shared" si="2"/>
        <v>#NAME?</v>
      </c>
      <c r="E17" t="e">
        <f t="shared" si="1"/>
        <v>#NAME?</v>
      </c>
      <c r="F17" s="56" t="e">
        <f t="shared" si="3"/>
        <v>#NAME?</v>
      </c>
    </row>
    <row r="18" spans="1:6" x14ac:dyDescent="0.2">
      <c r="A18" t="s">
        <v>19</v>
      </c>
      <c r="B18" t="s">
        <v>64</v>
      </c>
      <c r="C18" s="55">
        <v>14520</v>
      </c>
      <c r="D18" t="e">
        <f t="shared" si="2"/>
        <v>#NAME?</v>
      </c>
      <c r="E18" t="e">
        <f t="shared" si="1"/>
        <v>#NAME?</v>
      </c>
      <c r="F18" s="56" t="e">
        <f t="shared" si="3"/>
        <v>#NAME?</v>
      </c>
    </row>
    <row r="19" spans="1:6" x14ac:dyDescent="0.2">
      <c r="A19" t="s">
        <v>19</v>
      </c>
      <c r="B19" t="s">
        <v>26</v>
      </c>
      <c r="C19" s="55">
        <v>10800</v>
      </c>
      <c r="D19" t="e">
        <f t="shared" si="2"/>
        <v>#NAME?</v>
      </c>
      <c r="E19" t="e">
        <f t="shared" si="1"/>
        <v>#NAME?</v>
      </c>
      <c r="F19" s="56" t="e">
        <f t="shared" si="3"/>
        <v>#NAME?</v>
      </c>
    </row>
    <row r="20" spans="1:6" x14ac:dyDescent="0.2">
      <c r="A20" t="s">
        <v>16</v>
      </c>
      <c r="B20" t="s">
        <v>65</v>
      </c>
      <c r="C20" s="55">
        <v>31280</v>
      </c>
      <c r="D20" t="e">
        <f t="shared" si="2"/>
        <v>#NAME?</v>
      </c>
      <c r="E20" t="e">
        <f t="shared" si="1"/>
        <v>#NAME?</v>
      </c>
      <c r="F20" s="56" t="e">
        <f t="shared" si="3"/>
        <v>#NAME?</v>
      </c>
    </row>
    <row r="21" spans="1:6" x14ac:dyDescent="0.2">
      <c r="A21" t="s">
        <v>16</v>
      </c>
      <c r="B21" t="s">
        <v>28</v>
      </c>
      <c r="C21" s="55">
        <v>21402</v>
      </c>
      <c r="D21" t="e">
        <f t="shared" si="2"/>
        <v>#NAME?</v>
      </c>
      <c r="E21" t="e">
        <f t="shared" si="1"/>
        <v>#NAME?</v>
      </c>
      <c r="F21" s="56" t="e">
        <f t="shared" si="3"/>
        <v>#NAME?</v>
      </c>
    </row>
    <row r="22" spans="1:6" x14ac:dyDescent="0.2">
      <c r="A22" t="s">
        <v>16</v>
      </c>
      <c r="B22" t="s">
        <v>27</v>
      </c>
      <c r="C22" s="55">
        <v>11050</v>
      </c>
      <c r="D22" t="e">
        <f t="shared" si="2"/>
        <v>#NAME?</v>
      </c>
      <c r="E22" t="e">
        <f t="shared" si="1"/>
        <v>#NAME?</v>
      </c>
      <c r="F22" s="56" t="e">
        <f t="shared" si="3"/>
        <v>#NAME?</v>
      </c>
    </row>
    <row r="23" spans="1:6" x14ac:dyDescent="0.2">
      <c r="A23" t="s">
        <v>16</v>
      </c>
      <c r="B23" t="s">
        <v>9</v>
      </c>
      <c r="C23" s="55">
        <v>6048</v>
      </c>
      <c r="D23" t="e">
        <f t="shared" si="2"/>
        <v>#NAME?</v>
      </c>
      <c r="E23" t="e">
        <f t="shared" si="1"/>
        <v>#NAME?</v>
      </c>
      <c r="F23" s="56" t="e">
        <f t="shared" si="3"/>
        <v>#NAME?</v>
      </c>
    </row>
    <row r="24" spans="1:6" x14ac:dyDescent="0.2">
      <c r="A24" t="s">
        <v>16</v>
      </c>
      <c r="B24" t="s">
        <v>10</v>
      </c>
      <c r="C24" s="55">
        <v>2520</v>
      </c>
      <c r="D24" t="e">
        <f t="shared" si="2"/>
        <v>#NAME?</v>
      </c>
      <c r="E24" t="e">
        <f t="shared" si="1"/>
        <v>#NAME?</v>
      </c>
      <c r="F24" s="56" t="e">
        <f t="shared" si="3"/>
        <v>#NAME?</v>
      </c>
    </row>
    <row r="25" spans="1:6" x14ac:dyDescent="0.2">
      <c r="A25" t="s">
        <v>16</v>
      </c>
      <c r="B25" t="s">
        <v>7</v>
      </c>
      <c r="C25" s="55">
        <v>6375</v>
      </c>
      <c r="D25" t="e">
        <f t="shared" si="2"/>
        <v>#NAME?</v>
      </c>
      <c r="E25" t="e">
        <f t="shared" si="1"/>
        <v>#NAME?</v>
      </c>
      <c r="F25" s="56" t="e">
        <f t="shared" si="3"/>
        <v>#NAME?</v>
      </c>
    </row>
    <row r="26" spans="1:6" x14ac:dyDescent="0.2">
      <c r="A26" t="s">
        <v>16</v>
      </c>
      <c r="B26" t="s">
        <v>64</v>
      </c>
      <c r="C26" s="55">
        <v>106150</v>
      </c>
      <c r="D26" t="e">
        <f t="shared" si="2"/>
        <v>#NAME?</v>
      </c>
      <c r="E26" t="e">
        <f t="shared" si="1"/>
        <v>#NAME?</v>
      </c>
      <c r="F26" s="56" t="e">
        <f t="shared" si="3"/>
        <v>#NAME?</v>
      </c>
    </row>
    <row r="27" spans="1:6" x14ac:dyDescent="0.2">
      <c r="A27" t="s">
        <v>17</v>
      </c>
      <c r="B27" t="s">
        <v>65</v>
      </c>
      <c r="C27" s="55">
        <v>31144</v>
      </c>
      <c r="D27" t="e">
        <f t="shared" si="2"/>
        <v>#NAME?</v>
      </c>
      <c r="E27" t="e">
        <f t="shared" si="1"/>
        <v>#NAME?</v>
      </c>
      <c r="F27" s="56" t="e">
        <f t="shared" si="3"/>
        <v>#NAME?</v>
      </c>
    </row>
    <row r="28" spans="1:6" x14ac:dyDescent="0.2">
      <c r="A28" t="s">
        <v>17</v>
      </c>
      <c r="B28" t="s">
        <v>28</v>
      </c>
      <c r="C28" s="55">
        <v>71340</v>
      </c>
      <c r="D28" t="e">
        <f t="shared" si="2"/>
        <v>#NAME?</v>
      </c>
      <c r="E28" t="e">
        <f t="shared" si="1"/>
        <v>#NAME?</v>
      </c>
      <c r="F28" s="56" t="e">
        <f t="shared" si="3"/>
        <v>#NAME?</v>
      </c>
    </row>
    <row r="29" spans="1:6" x14ac:dyDescent="0.2">
      <c r="A29" t="s">
        <v>17</v>
      </c>
      <c r="B29" t="s">
        <v>27</v>
      </c>
      <c r="C29" s="55">
        <v>18200</v>
      </c>
      <c r="D29" t="e">
        <f t="shared" si="2"/>
        <v>#NAME?</v>
      </c>
      <c r="E29" t="e">
        <f t="shared" si="1"/>
        <v>#NAME?</v>
      </c>
      <c r="F29" s="56" t="e">
        <f t="shared" si="3"/>
        <v>#NAME?</v>
      </c>
    </row>
    <row r="30" spans="1:6" x14ac:dyDescent="0.2">
      <c r="A30" t="s">
        <v>17</v>
      </c>
      <c r="B30" t="s">
        <v>9</v>
      </c>
      <c r="C30" s="55">
        <v>22912</v>
      </c>
      <c r="D30" t="e">
        <f t="shared" si="2"/>
        <v>#NAME?</v>
      </c>
      <c r="E30" t="e">
        <f t="shared" si="1"/>
        <v>#NAME?</v>
      </c>
      <c r="F30" s="56" t="e">
        <f t="shared" si="3"/>
        <v>#NAME?</v>
      </c>
    </row>
    <row r="31" spans="1:6" x14ac:dyDescent="0.2">
      <c r="A31" t="s">
        <v>17</v>
      </c>
      <c r="B31" t="s">
        <v>10</v>
      </c>
      <c r="C31" s="55">
        <v>8100</v>
      </c>
      <c r="D31" t="e">
        <f t="shared" si="2"/>
        <v>#NAME?</v>
      </c>
      <c r="E31" t="e">
        <f t="shared" si="1"/>
        <v>#NAME?</v>
      </c>
      <c r="F31" s="56" t="e">
        <f t="shared" si="3"/>
        <v>#NAME?</v>
      </c>
    </row>
    <row r="32" spans="1:6" x14ac:dyDescent="0.2">
      <c r="A32" t="s">
        <v>17</v>
      </c>
      <c r="B32" t="s">
        <v>7</v>
      </c>
      <c r="C32" s="55">
        <v>5900</v>
      </c>
      <c r="D32" t="e">
        <f t="shared" si="2"/>
        <v>#NAME?</v>
      </c>
      <c r="E32" t="e">
        <f t="shared" si="1"/>
        <v>#NAME?</v>
      </c>
      <c r="F32" s="56" t="e">
        <f t="shared" si="3"/>
        <v>#NAME?</v>
      </c>
    </row>
    <row r="33" spans="1:6" x14ac:dyDescent="0.2">
      <c r="A33" t="s">
        <v>17</v>
      </c>
      <c r="B33" t="s">
        <v>64</v>
      </c>
      <c r="C33" s="55">
        <v>80850</v>
      </c>
      <c r="D33" t="e">
        <f t="shared" si="2"/>
        <v>#NAME?</v>
      </c>
      <c r="E33" t="e">
        <f t="shared" si="1"/>
        <v>#NAME?</v>
      </c>
      <c r="F33" s="56" t="e">
        <f t="shared" si="3"/>
        <v>#NAME?</v>
      </c>
    </row>
    <row r="34" spans="1:6" x14ac:dyDescent="0.2">
      <c r="A34" t="s">
        <v>17</v>
      </c>
      <c r="B34" t="s">
        <v>26</v>
      </c>
      <c r="C34" s="55">
        <v>7290</v>
      </c>
      <c r="D34" t="e">
        <f t="shared" si="2"/>
        <v>#NAME?</v>
      </c>
      <c r="E34" t="e">
        <f t="shared" si="1"/>
        <v>#NAME?</v>
      </c>
      <c r="F34" s="56" t="e">
        <f t="shared" si="3"/>
        <v>#NAME?</v>
      </c>
    </row>
    <row r="35" spans="1:6" x14ac:dyDescent="0.2">
      <c r="A35" t="s">
        <v>18</v>
      </c>
      <c r="B35" t="s">
        <v>65</v>
      </c>
      <c r="C35" s="55">
        <v>28560</v>
      </c>
      <c r="D35" t="e">
        <f t="shared" si="2"/>
        <v>#NAME?</v>
      </c>
      <c r="E35" t="e">
        <f t="shared" si="1"/>
        <v>#NAME?</v>
      </c>
      <c r="F35" s="56" t="e">
        <f t="shared" si="3"/>
        <v>#NAME?</v>
      </c>
    </row>
    <row r="36" spans="1:6" x14ac:dyDescent="0.2">
      <c r="A36" t="s">
        <v>18</v>
      </c>
      <c r="B36" t="s">
        <v>28</v>
      </c>
      <c r="C36" s="55">
        <v>13920</v>
      </c>
      <c r="D36" t="e">
        <f t="shared" si="2"/>
        <v>#NAME?</v>
      </c>
      <c r="E36" t="e">
        <f t="shared" si="1"/>
        <v>#NAME?</v>
      </c>
      <c r="F36" s="56" t="e">
        <f t="shared" si="3"/>
        <v>#NAME?</v>
      </c>
    </row>
    <row r="37" spans="1:6" x14ac:dyDescent="0.2">
      <c r="A37" t="s">
        <v>18</v>
      </c>
      <c r="B37" t="s">
        <v>27</v>
      </c>
      <c r="C37" s="55">
        <v>13000</v>
      </c>
      <c r="D37" t="e">
        <f t="shared" si="2"/>
        <v>#NAME?</v>
      </c>
      <c r="E37" t="e">
        <f t="shared" si="1"/>
        <v>#NAME?</v>
      </c>
      <c r="F37" s="56" t="e">
        <f t="shared" si="3"/>
        <v>#NAME?</v>
      </c>
    </row>
    <row r="38" spans="1:6" x14ac:dyDescent="0.2">
      <c r="A38" t="s">
        <v>18</v>
      </c>
      <c r="B38" t="s">
        <v>9</v>
      </c>
      <c r="C38" s="55">
        <v>29792</v>
      </c>
      <c r="D38" t="e">
        <f t="shared" si="2"/>
        <v>#NAME?</v>
      </c>
      <c r="E38" t="e">
        <f t="shared" si="1"/>
        <v>#NAME?</v>
      </c>
      <c r="F38" s="56" t="e">
        <f t="shared" si="3"/>
        <v>#NAME?</v>
      </c>
    </row>
    <row r="39" spans="1:6" x14ac:dyDescent="0.2">
      <c r="A39" t="s">
        <v>18</v>
      </c>
      <c r="B39" t="s">
        <v>10</v>
      </c>
      <c r="C39" s="55">
        <v>29745</v>
      </c>
      <c r="D39" t="e">
        <f t="shared" si="2"/>
        <v>#NAME?</v>
      </c>
      <c r="E39" t="e">
        <f t="shared" si="1"/>
        <v>#NAME?</v>
      </c>
      <c r="F39" s="56" t="e">
        <f t="shared" si="3"/>
        <v>#NAME?</v>
      </c>
    </row>
    <row r="40" spans="1:6" x14ac:dyDescent="0.2">
      <c r="A40" t="s">
        <v>18</v>
      </c>
      <c r="B40" t="s">
        <v>7</v>
      </c>
      <c r="C40" s="55">
        <v>25075</v>
      </c>
      <c r="D40" t="e">
        <f t="shared" si="2"/>
        <v>#NAME?</v>
      </c>
      <c r="E40" t="e">
        <f t="shared" si="1"/>
        <v>#NAME?</v>
      </c>
      <c r="F40" s="56" t="e">
        <f t="shared" si="3"/>
        <v>#NAME?</v>
      </c>
    </row>
    <row r="41" spans="1:6" x14ac:dyDescent="0.2">
      <c r="A41" t="s">
        <v>18</v>
      </c>
      <c r="B41" t="s">
        <v>64</v>
      </c>
      <c r="C41" s="55">
        <v>5500</v>
      </c>
      <c r="D41" t="e">
        <f t="shared" si="2"/>
        <v>#NAME?</v>
      </c>
      <c r="E41" t="e">
        <f t="shared" si="1"/>
        <v>#NAME?</v>
      </c>
      <c r="F41" s="56" t="e">
        <f t="shared" si="3"/>
        <v>#NAME?</v>
      </c>
    </row>
    <row r="42" spans="1:6" x14ac:dyDescent="0.2">
      <c r="A42" t="s">
        <v>18</v>
      </c>
      <c r="B42" t="s">
        <v>26</v>
      </c>
      <c r="C42" s="55">
        <v>25650</v>
      </c>
      <c r="D42" t="e">
        <f t="shared" si="2"/>
        <v>#NAME?</v>
      </c>
      <c r="E42" t="e">
        <f t="shared" si="1"/>
        <v>#NAME?</v>
      </c>
      <c r="F42" s="56" t="e">
        <f t="shared" si="3"/>
        <v>#NAME?</v>
      </c>
    </row>
    <row r="43" spans="1:6" x14ac:dyDescent="0.2">
      <c r="A43" t="s">
        <v>20</v>
      </c>
      <c r="B43" t="s">
        <v>65</v>
      </c>
      <c r="C43" s="55">
        <v>28560</v>
      </c>
      <c r="D43" t="e">
        <f t="shared" si="2"/>
        <v>#NAME?</v>
      </c>
      <c r="E43" t="e">
        <f t="shared" si="1"/>
        <v>#NAME?</v>
      </c>
      <c r="F43" s="56" t="e">
        <f t="shared" si="3"/>
        <v>#NAME?</v>
      </c>
    </row>
    <row r="44" spans="1:6" x14ac:dyDescent="0.2">
      <c r="A44" t="s">
        <v>20</v>
      </c>
      <c r="B44" t="s">
        <v>28</v>
      </c>
      <c r="C44" s="55">
        <v>43152</v>
      </c>
      <c r="D44" t="e">
        <f t="shared" si="2"/>
        <v>#NAME?</v>
      </c>
      <c r="E44" t="e">
        <f t="shared" si="1"/>
        <v>#NAME?</v>
      </c>
      <c r="F44" s="56" t="e">
        <f t="shared" si="3"/>
        <v>#NAME?</v>
      </c>
    </row>
    <row r="45" spans="1:6" x14ac:dyDescent="0.2">
      <c r="A45" t="s">
        <v>20</v>
      </c>
      <c r="B45" t="s">
        <v>27</v>
      </c>
      <c r="C45" s="55">
        <v>26000</v>
      </c>
      <c r="D45" t="e">
        <f t="shared" si="2"/>
        <v>#NAME?</v>
      </c>
      <c r="E45" t="e">
        <f t="shared" si="1"/>
        <v>#NAME?</v>
      </c>
      <c r="F45" s="56" t="e">
        <f t="shared" si="3"/>
        <v>#NAME?</v>
      </c>
    </row>
    <row r="46" spans="1:6" x14ac:dyDescent="0.2">
      <c r="A46" t="s">
        <v>20</v>
      </c>
      <c r="B46" t="s">
        <v>9</v>
      </c>
      <c r="C46" s="55">
        <v>2560</v>
      </c>
      <c r="D46" t="e">
        <f t="shared" si="2"/>
        <v>#NAME?</v>
      </c>
      <c r="E46" t="e">
        <f t="shared" si="1"/>
        <v>#NAME?</v>
      </c>
      <c r="F46" s="56" t="e">
        <f t="shared" si="3"/>
        <v>#NAME?</v>
      </c>
    </row>
    <row r="47" spans="1:6" x14ac:dyDescent="0.2">
      <c r="A47" t="s">
        <v>20</v>
      </c>
      <c r="B47" t="s">
        <v>10</v>
      </c>
      <c r="C47" s="55">
        <v>9585</v>
      </c>
      <c r="D47" t="e">
        <f t="shared" si="2"/>
        <v>#NAME?</v>
      </c>
      <c r="E47" t="e">
        <f t="shared" si="1"/>
        <v>#NAME?</v>
      </c>
      <c r="F47" s="56" t="e">
        <f t="shared" si="3"/>
        <v>#NAME?</v>
      </c>
    </row>
    <row r="48" spans="1:6" x14ac:dyDescent="0.2">
      <c r="A48" t="s">
        <v>20</v>
      </c>
      <c r="B48" t="s">
        <v>7</v>
      </c>
      <c r="C48" s="55">
        <v>4450</v>
      </c>
      <c r="D48" t="e">
        <f t="shared" si="2"/>
        <v>#NAME?</v>
      </c>
      <c r="E48" t="e">
        <f t="shared" si="1"/>
        <v>#NAME?</v>
      </c>
      <c r="F48" s="56" t="e">
        <f t="shared" si="3"/>
        <v>#NAME?</v>
      </c>
    </row>
    <row r="49" spans="1:10" x14ac:dyDescent="0.2">
      <c r="A49" t="s">
        <v>20</v>
      </c>
      <c r="B49" t="s">
        <v>64</v>
      </c>
      <c r="C49" s="55">
        <v>70510</v>
      </c>
      <c r="D49" t="e">
        <f t="shared" si="2"/>
        <v>#NAME?</v>
      </c>
      <c r="E49" t="e">
        <f t="shared" si="1"/>
        <v>#NAME?</v>
      </c>
      <c r="F49" s="56" t="e">
        <f t="shared" si="3"/>
        <v>#NAME?</v>
      </c>
    </row>
    <row r="50" spans="1:10" x14ac:dyDescent="0.2">
      <c r="A50" t="s">
        <v>20</v>
      </c>
      <c r="B50" t="s">
        <v>26</v>
      </c>
      <c r="C50" s="55">
        <v>17280</v>
      </c>
      <c r="D50" t="e">
        <f t="shared" si="2"/>
        <v>#NAME?</v>
      </c>
      <c r="E50" t="e">
        <f t="shared" si="1"/>
        <v>#NAME?</v>
      </c>
      <c r="F50" s="56" t="e">
        <f t="shared" si="3"/>
        <v>#NAME?</v>
      </c>
    </row>
    <row r="51" spans="1:10" x14ac:dyDescent="0.2">
      <c r="A51" t="s">
        <v>40</v>
      </c>
      <c r="C51" s="55">
        <v>950127</v>
      </c>
    </row>
    <row r="56" spans="1:10" x14ac:dyDescent="0.2">
      <c r="A56" s="53" t="s">
        <v>95</v>
      </c>
      <c r="B56" s="53" t="s">
        <v>5</v>
      </c>
    </row>
    <row r="57" spans="1:10" x14ac:dyDescent="0.2">
      <c r="A57" s="53" t="s">
        <v>13</v>
      </c>
      <c r="B57" t="s">
        <v>65</v>
      </c>
      <c r="C57" t="s">
        <v>28</v>
      </c>
      <c r="D57" t="s">
        <v>27</v>
      </c>
      <c r="E57" t="s">
        <v>9</v>
      </c>
      <c r="F57" t="s">
        <v>10</v>
      </c>
      <c r="G57" t="s">
        <v>7</v>
      </c>
      <c r="H57" t="s">
        <v>64</v>
      </c>
      <c r="I57" t="s">
        <v>26</v>
      </c>
      <c r="J57" t="s">
        <v>40</v>
      </c>
    </row>
    <row r="58" spans="1:10" x14ac:dyDescent="0.2">
      <c r="A58" t="s">
        <v>19</v>
      </c>
      <c r="B58" s="55">
        <v>25160</v>
      </c>
      <c r="C58" s="55">
        <v>36540</v>
      </c>
      <c r="D58" s="55">
        <v>30940</v>
      </c>
      <c r="E58" s="55">
        <v>12992</v>
      </c>
      <c r="F58" s="55">
        <v>13275</v>
      </c>
      <c r="G58" s="55">
        <v>2000</v>
      </c>
      <c r="H58" s="55">
        <v>14520</v>
      </c>
      <c r="I58" s="55">
        <v>10800</v>
      </c>
      <c r="J58" s="55">
        <v>146227</v>
      </c>
    </row>
    <row r="59" spans="1:10" x14ac:dyDescent="0.2">
      <c r="A59" t="s">
        <v>16</v>
      </c>
      <c r="B59" s="55">
        <v>31280</v>
      </c>
      <c r="C59" s="55">
        <v>21402</v>
      </c>
      <c r="D59" s="55">
        <v>11050</v>
      </c>
      <c r="E59" s="55">
        <v>6048</v>
      </c>
      <c r="F59" s="55">
        <v>2520</v>
      </c>
      <c r="G59" s="55">
        <v>6375</v>
      </c>
      <c r="H59" s="55">
        <v>106150</v>
      </c>
      <c r="I59" s="55">
        <v>0</v>
      </c>
      <c r="J59" s="55">
        <v>184825</v>
      </c>
    </row>
    <row r="60" spans="1:10" x14ac:dyDescent="0.2">
      <c r="A60" t="s">
        <v>17</v>
      </c>
      <c r="B60" s="55">
        <v>31144</v>
      </c>
      <c r="C60" s="55">
        <v>71340</v>
      </c>
      <c r="D60" s="55">
        <v>18200</v>
      </c>
      <c r="E60" s="55">
        <v>22912</v>
      </c>
      <c r="F60" s="55">
        <v>8100</v>
      </c>
      <c r="G60" s="55">
        <v>5900</v>
      </c>
      <c r="H60" s="55">
        <v>80850</v>
      </c>
      <c r="I60" s="55">
        <v>7290</v>
      </c>
      <c r="J60" s="55">
        <v>245736</v>
      </c>
    </row>
    <row r="61" spans="1:10" x14ac:dyDescent="0.2">
      <c r="A61" t="s">
        <v>18</v>
      </c>
      <c r="B61" s="55">
        <v>28560</v>
      </c>
      <c r="C61" s="55">
        <v>13920</v>
      </c>
      <c r="D61" s="55">
        <v>13000</v>
      </c>
      <c r="E61" s="55">
        <v>29792</v>
      </c>
      <c r="F61" s="55">
        <v>29745</v>
      </c>
      <c r="G61" s="55">
        <v>25075</v>
      </c>
      <c r="H61" s="55">
        <v>5500</v>
      </c>
      <c r="I61" s="55">
        <v>25650</v>
      </c>
      <c r="J61" s="55">
        <v>171242</v>
      </c>
    </row>
    <row r="62" spans="1:10" x14ac:dyDescent="0.2">
      <c r="A62" t="s">
        <v>20</v>
      </c>
      <c r="B62" s="55">
        <v>28560</v>
      </c>
      <c r="C62" s="55">
        <v>43152</v>
      </c>
      <c r="D62" s="55">
        <v>26000</v>
      </c>
      <c r="E62" s="55">
        <v>2560</v>
      </c>
      <c r="F62" s="55">
        <v>9585</v>
      </c>
      <c r="G62" s="55">
        <v>4450</v>
      </c>
      <c r="H62" s="55">
        <v>70510</v>
      </c>
      <c r="I62" s="55">
        <v>17280</v>
      </c>
      <c r="J62" s="55">
        <v>202097</v>
      </c>
    </row>
    <row r="63" spans="1:10" x14ac:dyDescent="0.2">
      <c r="A63" t="s">
        <v>40</v>
      </c>
      <c r="B63" s="55">
        <v>144704</v>
      </c>
      <c r="C63" s="55">
        <v>186354</v>
      </c>
      <c r="D63" s="55">
        <v>99190</v>
      </c>
      <c r="E63" s="55">
        <v>74304</v>
      </c>
      <c r="F63" s="55">
        <v>63225</v>
      </c>
      <c r="G63" s="55">
        <v>43800</v>
      </c>
      <c r="H63" s="55">
        <v>277530</v>
      </c>
      <c r="I63" s="55">
        <v>61020</v>
      </c>
      <c r="J63" s="55">
        <v>950127</v>
      </c>
    </row>
    <row r="65" spans="1:9" x14ac:dyDescent="0.2">
      <c r="B65" t="e">
        <f t="shared" ref="B65:I65" si="4">SUMIFS(Стоимость,ФИО_менеджера,$A58,Наименование_Товара,B57)</f>
        <v>#NAME?</v>
      </c>
      <c r="C65" t="e">
        <f t="shared" si="4"/>
        <v>#NAME?</v>
      </c>
      <c r="D65" t="e">
        <f t="shared" si="4"/>
        <v>#NAME?</v>
      </c>
      <c r="E65" t="e">
        <f t="shared" si="4"/>
        <v>#NAME?</v>
      </c>
      <c r="F65" t="e">
        <f t="shared" si="4"/>
        <v>#NAME?</v>
      </c>
      <c r="G65" t="e">
        <f t="shared" si="4"/>
        <v>#NAME?</v>
      </c>
      <c r="H65" t="e">
        <f t="shared" si="4"/>
        <v>#NAME?</v>
      </c>
      <c r="I65" t="e">
        <f t="shared" si="4"/>
        <v>#NAME?</v>
      </c>
    </row>
    <row r="66" spans="1:9" x14ac:dyDescent="0.2">
      <c r="B66" t="e">
        <f>SUMIFS(Стоимость_возврата,ФИО_менеджера,$A58,Наименование_Товара,B57)</f>
        <v>#NAME?</v>
      </c>
      <c r="C66" t="e">
        <f t="shared" ref="C66:I66" si="5">SUMIFS(Стоимость_возврата,ФИО_менеджера,$A58,Наименование_Товара,C57)</f>
        <v>#NAME?</v>
      </c>
      <c r="D66" t="e">
        <f t="shared" si="5"/>
        <v>#NAME?</v>
      </c>
      <c r="E66" t="e">
        <f t="shared" si="5"/>
        <v>#NAME?</v>
      </c>
      <c r="F66" t="e">
        <f t="shared" si="5"/>
        <v>#NAME?</v>
      </c>
      <c r="G66" t="e">
        <f t="shared" si="5"/>
        <v>#NAME?</v>
      </c>
      <c r="H66" t="e">
        <f t="shared" si="5"/>
        <v>#NAME?</v>
      </c>
      <c r="I66" t="e">
        <f t="shared" si="5"/>
        <v>#NAME?</v>
      </c>
    </row>
    <row r="67" spans="1:9" x14ac:dyDescent="0.2">
      <c r="A67" t="str">
        <f>A58</f>
        <v>Белова Анастасия Ивановна</v>
      </c>
      <c r="B67" s="56" t="e">
        <f>B65-B66</f>
        <v>#NAME?</v>
      </c>
      <c r="C67" s="56" t="e">
        <f t="shared" ref="C67:I67" si="6">C65-C66</f>
        <v>#NAME?</v>
      </c>
      <c r="D67" s="56" t="e">
        <f t="shared" si="6"/>
        <v>#NAME?</v>
      </c>
      <c r="E67" s="56" t="e">
        <f t="shared" si="6"/>
        <v>#NAME?</v>
      </c>
      <c r="F67" s="56" t="e">
        <f t="shared" si="6"/>
        <v>#NAME?</v>
      </c>
      <c r="G67" s="56" t="e">
        <f t="shared" si="6"/>
        <v>#NAME?</v>
      </c>
      <c r="H67" s="56" t="e">
        <f t="shared" si="6"/>
        <v>#NAME?</v>
      </c>
      <c r="I67" s="56" t="e">
        <f t="shared" si="6"/>
        <v>#NAME?</v>
      </c>
    </row>
    <row r="68" spans="1:9" x14ac:dyDescent="0.2">
      <c r="B68" t="e">
        <f t="shared" ref="B68:I68" si="7">SUMIFS(Стоимость,ФИО_менеджера,$A59,Наименование_Товара,B57)</f>
        <v>#NAME?</v>
      </c>
      <c r="C68" t="e">
        <f t="shared" si="7"/>
        <v>#NAME?</v>
      </c>
      <c r="D68" t="e">
        <f t="shared" si="7"/>
        <v>#NAME?</v>
      </c>
      <c r="E68" t="e">
        <f t="shared" si="7"/>
        <v>#NAME?</v>
      </c>
      <c r="F68" t="e">
        <f t="shared" si="7"/>
        <v>#NAME?</v>
      </c>
      <c r="G68" t="e">
        <f t="shared" si="7"/>
        <v>#NAME?</v>
      </c>
      <c r="H68" t="e">
        <f t="shared" si="7"/>
        <v>#NAME?</v>
      </c>
      <c r="I68" t="e">
        <f t="shared" si="7"/>
        <v>#NAME?</v>
      </c>
    </row>
    <row r="69" spans="1:9" x14ac:dyDescent="0.2">
      <c r="B69" t="e">
        <f t="shared" ref="B69:I69" si="8">SUMIFS(Стоимость_возврата,ФИО_менеджера,$A59,Наименование_Товара,B57)</f>
        <v>#NAME?</v>
      </c>
      <c r="C69" t="e">
        <f t="shared" si="8"/>
        <v>#NAME?</v>
      </c>
      <c r="D69" t="e">
        <f t="shared" si="8"/>
        <v>#NAME?</v>
      </c>
      <c r="E69" t="e">
        <f t="shared" si="8"/>
        <v>#NAME?</v>
      </c>
      <c r="F69" t="e">
        <f t="shared" si="8"/>
        <v>#NAME?</v>
      </c>
      <c r="G69" t="e">
        <f t="shared" si="8"/>
        <v>#NAME?</v>
      </c>
      <c r="H69" t="e">
        <f t="shared" si="8"/>
        <v>#NAME?</v>
      </c>
      <c r="I69" t="e">
        <f t="shared" si="8"/>
        <v>#NAME?</v>
      </c>
    </row>
    <row r="70" spans="1:9" x14ac:dyDescent="0.2">
      <c r="A70" t="str">
        <f>A59</f>
        <v>Волокушин Иван Иванович</v>
      </c>
      <c r="B70" s="56" t="e">
        <f>B68-B69</f>
        <v>#NAME?</v>
      </c>
      <c r="C70" s="56" t="e">
        <f t="shared" ref="C70" si="9">C68-C69</f>
        <v>#NAME?</v>
      </c>
      <c r="D70" s="56" t="e">
        <f t="shared" ref="D70" si="10">D68-D69</f>
        <v>#NAME?</v>
      </c>
      <c r="E70" s="56" t="e">
        <f t="shared" ref="E70" si="11">E68-E69</f>
        <v>#NAME?</v>
      </c>
      <c r="F70" s="56" t="e">
        <f t="shared" ref="F70" si="12">F68-F69</f>
        <v>#NAME?</v>
      </c>
      <c r="G70" s="56" t="e">
        <f t="shared" ref="G70" si="13">G68-G69</f>
        <v>#NAME?</v>
      </c>
      <c r="H70" s="56" t="e">
        <f t="shared" ref="H70" si="14">H68-H69</f>
        <v>#NAME?</v>
      </c>
      <c r="I70" s="56" t="e">
        <f t="shared" ref="I70" si="15">I68-I69</f>
        <v>#NAME?</v>
      </c>
    </row>
    <row r="71" spans="1:9" x14ac:dyDescent="0.2">
      <c r="B71" t="e">
        <f t="shared" ref="B71:I71" si="16">SUMIFS(Стоимость,ФИО_менеджера,$A60,Наименование_Товара,B57)</f>
        <v>#NAME?</v>
      </c>
      <c r="C71" t="e">
        <f t="shared" si="16"/>
        <v>#NAME?</v>
      </c>
      <c r="D71" t="e">
        <f t="shared" si="16"/>
        <v>#NAME?</v>
      </c>
      <c r="E71" t="e">
        <f t="shared" si="16"/>
        <v>#NAME?</v>
      </c>
      <c r="F71" t="e">
        <f t="shared" si="16"/>
        <v>#NAME?</v>
      </c>
      <c r="G71" t="e">
        <f t="shared" si="16"/>
        <v>#NAME?</v>
      </c>
      <c r="H71" t="e">
        <f t="shared" si="16"/>
        <v>#NAME?</v>
      </c>
      <c r="I71" t="e">
        <f t="shared" si="16"/>
        <v>#NAME?</v>
      </c>
    </row>
    <row r="72" spans="1:9" x14ac:dyDescent="0.2">
      <c r="B72" t="e">
        <f t="shared" ref="B72:I72" si="17">SUMIFS(Стоимость_возврата,ФИО_менеджера,$A60,Наименование_Товара,B57)</f>
        <v>#NAME?</v>
      </c>
      <c r="C72" t="e">
        <f t="shared" si="17"/>
        <v>#NAME?</v>
      </c>
      <c r="D72" t="e">
        <f t="shared" si="17"/>
        <v>#NAME?</v>
      </c>
      <c r="E72" t="e">
        <f t="shared" si="17"/>
        <v>#NAME?</v>
      </c>
      <c r="F72" t="e">
        <f t="shared" si="17"/>
        <v>#NAME?</v>
      </c>
      <c r="G72" t="e">
        <f t="shared" si="17"/>
        <v>#NAME?</v>
      </c>
      <c r="H72" t="e">
        <f t="shared" si="17"/>
        <v>#NAME?</v>
      </c>
      <c r="I72" t="e">
        <f t="shared" si="17"/>
        <v>#NAME?</v>
      </c>
    </row>
    <row r="73" spans="1:9" x14ac:dyDescent="0.2">
      <c r="A73" t="str">
        <f>A60</f>
        <v>Григорьев Сергей Петрович</v>
      </c>
      <c r="B73" s="56" t="e">
        <f>B71-B72</f>
        <v>#NAME?</v>
      </c>
      <c r="C73" s="56" t="e">
        <f t="shared" ref="C73" si="18">C71-C72</f>
        <v>#NAME?</v>
      </c>
      <c r="D73" s="56" t="e">
        <f t="shared" ref="D73" si="19">D71-D72</f>
        <v>#NAME?</v>
      </c>
      <c r="E73" s="56" t="e">
        <f t="shared" ref="E73" si="20">E71-E72</f>
        <v>#NAME?</v>
      </c>
      <c r="F73" s="56" t="e">
        <f t="shared" ref="F73" si="21">F71-F72</f>
        <v>#NAME?</v>
      </c>
      <c r="G73" s="56" t="e">
        <f t="shared" ref="G73" si="22">G71-G72</f>
        <v>#NAME?</v>
      </c>
      <c r="H73" s="56" t="e">
        <f t="shared" ref="H73" si="23">H71-H72</f>
        <v>#NAME?</v>
      </c>
      <c r="I73" s="56" t="e">
        <f t="shared" ref="I73" si="24">I71-I72</f>
        <v>#NAME?</v>
      </c>
    </row>
    <row r="74" spans="1:9" x14ac:dyDescent="0.2">
      <c r="B74" t="e">
        <f t="shared" ref="B74:I74" si="25">SUMIFS(Стоимость,ФИО_менеджера,$A61,Наименование_Товара,B57)</f>
        <v>#NAME?</v>
      </c>
      <c r="C74" t="e">
        <f t="shared" si="25"/>
        <v>#NAME?</v>
      </c>
      <c r="D74" t="e">
        <f t="shared" si="25"/>
        <v>#NAME?</v>
      </c>
      <c r="E74" t="e">
        <f t="shared" si="25"/>
        <v>#NAME?</v>
      </c>
      <c r="F74" t="e">
        <f t="shared" si="25"/>
        <v>#NAME?</v>
      </c>
      <c r="G74" t="e">
        <f t="shared" si="25"/>
        <v>#NAME?</v>
      </c>
      <c r="H74" t="e">
        <f t="shared" si="25"/>
        <v>#NAME?</v>
      </c>
      <c r="I74" t="e">
        <f t="shared" si="25"/>
        <v>#NAME?</v>
      </c>
    </row>
    <row r="75" spans="1:9" x14ac:dyDescent="0.2">
      <c r="B75" t="e">
        <f t="shared" ref="B75:I75" si="26">SUMIFS(Стоимость_возврата,ФИО_менеджера,$A61,Наименование_Товара,B57)</f>
        <v>#NAME?</v>
      </c>
      <c r="C75" t="e">
        <f t="shared" si="26"/>
        <v>#NAME?</v>
      </c>
      <c r="D75" t="e">
        <f t="shared" si="26"/>
        <v>#NAME?</v>
      </c>
      <c r="E75" t="e">
        <f t="shared" si="26"/>
        <v>#NAME?</v>
      </c>
      <c r="F75" t="e">
        <f t="shared" si="26"/>
        <v>#NAME?</v>
      </c>
      <c r="G75" t="e">
        <f t="shared" si="26"/>
        <v>#NAME?</v>
      </c>
      <c r="H75" t="e">
        <f t="shared" si="26"/>
        <v>#NAME?</v>
      </c>
      <c r="I75" t="e">
        <f t="shared" si="26"/>
        <v>#NAME?</v>
      </c>
    </row>
    <row r="76" spans="1:9" x14ac:dyDescent="0.2">
      <c r="A76" t="str">
        <f>A61</f>
        <v>Поснова Ольга Евгеньевна</v>
      </c>
      <c r="B76" s="56" t="e">
        <f>B74-B75</f>
        <v>#NAME?</v>
      </c>
      <c r="C76" s="56" t="e">
        <f t="shared" ref="C76" si="27">C74-C75</f>
        <v>#NAME?</v>
      </c>
      <c r="D76" s="56" t="e">
        <f t="shared" ref="D76" si="28">D74-D75</f>
        <v>#NAME?</v>
      </c>
      <c r="E76" s="56" t="e">
        <f t="shared" ref="E76" si="29">E74-E75</f>
        <v>#NAME?</v>
      </c>
      <c r="F76" s="56" t="e">
        <f t="shared" ref="F76" si="30">F74-F75</f>
        <v>#NAME?</v>
      </c>
      <c r="G76" s="56" t="e">
        <f t="shared" ref="G76" si="31">G74-G75</f>
        <v>#NAME?</v>
      </c>
      <c r="H76" s="56" t="e">
        <f t="shared" ref="H76" si="32">H74-H75</f>
        <v>#NAME?</v>
      </c>
      <c r="I76" s="56" t="e">
        <f t="shared" ref="I76" si="33">I74-I75</f>
        <v>#NAME?</v>
      </c>
    </row>
    <row r="77" spans="1:9" x14ac:dyDescent="0.2">
      <c r="B77" t="e">
        <f t="shared" ref="B77:I77" si="34">SUMIFS(Стоимость,ФИО_менеджера,$A62,Наименование_Товара,B57)</f>
        <v>#NAME?</v>
      </c>
      <c r="C77" t="e">
        <f t="shared" si="34"/>
        <v>#NAME?</v>
      </c>
      <c r="D77" t="e">
        <f t="shared" si="34"/>
        <v>#NAME?</v>
      </c>
      <c r="E77" t="e">
        <f t="shared" si="34"/>
        <v>#NAME?</v>
      </c>
      <c r="F77" t="e">
        <f t="shared" si="34"/>
        <v>#NAME?</v>
      </c>
      <c r="G77" t="e">
        <f t="shared" si="34"/>
        <v>#NAME?</v>
      </c>
      <c r="H77" t="e">
        <f t="shared" si="34"/>
        <v>#NAME?</v>
      </c>
      <c r="I77" t="e">
        <f t="shared" si="34"/>
        <v>#NAME?</v>
      </c>
    </row>
    <row r="78" spans="1:9" x14ac:dyDescent="0.2">
      <c r="B78" t="e">
        <f t="shared" ref="B78:I78" si="35">SUMIFS(Стоимость_возврата,ФИО_менеджера,$A62,Наименование_Товара,B57)</f>
        <v>#NAME?</v>
      </c>
      <c r="C78" t="e">
        <f t="shared" si="35"/>
        <v>#NAME?</v>
      </c>
      <c r="D78" t="e">
        <f t="shared" si="35"/>
        <v>#NAME?</v>
      </c>
      <c r="E78" t="e">
        <f t="shared" si="35"/>
        <v>#NAME?</v>
      </c>
      <c r="F78" t="e">
        <f t="shared" si="35"/>
        <v>#NAME?</v>
      </c>
      <c r="G78" t="e">
        <f t="shared" si="35"/>
        <v>#NAME?</v>
      </c>
      <c r="H78" t="e">
        <f t="shared" si="35"/>
        <v>#NAME?</v>
      </c>
      <c r="I78" t="e">
        <f t="shared" si="35"/>
        <v>#NAME?</v>
      </c>
    </row>
    <row r="79" spans="1:9" x14ac:dyDescent="0.2">
      <c r="A79" t="str">
        <f>A62</f>
        <v>Ракушко Игорь Харитонович</v>
      </c>
      <c r="B79" s="56" t="e">
        <f>B77-B78</f>
        <v>#NAME?</v>
      </c>
      <c r="C79" s="56" t="e">
        <f t="shared" ref="C79" si="36">C77-C78</f>
        <v>#NAME?</v>
      </c>
      <c r="D79" s="56" t="e">
        <f t="shared" ref="D79" si="37">D77-D78</f>
        <v>#NAME?</v>
      </c>
      <c r="E79" s="56" t="e">
        <f t="shared" ref="E79" si="38">E77-E78</f>
        <v>#NAME?</v>
      </c>
      <c r="F79" s="56" t="e">
        <f t="shared" ref="F79" si="39">F77-F78</f>
        <v>#NAME?</v>
      </c>
      <c r="G79" s="56" t="e">
        <f t="shared" ref="G79" si="40">G77-G78</f>
        <v>#NAME?</v>
      </c>
      <c r="H79" s="56" t="e">
        <f t="shared" ref="H79" si="41">H77-H78</f>
        <v>#NAME?</v>
      </c>
      <c r="I79" s="56" t="e">
        <f t="shared" ref="I79" si="42">I77-I78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N133"/>
  <sheetViews>
    <sheetView zoomScale="115" workbookViewId="0">
      <pane ySplit="1" topLeftCell="A113" activePane="bottomLeft" state="frozen"/>
      <selection pane="bottomLeft" activeCell="E2" sqref="E2:E131"/>
    </sheetView>
  </sheetViews>
  <sheetFormatPr baseColWidth="10" defaultColWidth="8.83203125" defaultRowHeight="15" x14ac:dyDescent="0.2"/>
  <cols>
    <col min="1" max="1" width="10.1640625" bestFit="1" customWidth="1"/>
    <col min="2" max="2" width="27.5" bestFit="1" customWidth="1"/>
    <col min="3" max="3" width="24.83203125" customWidth="1"/>
    <col min="4" max="4" width="23.6640625" customWidth="1"/>
    <col min="5" max="6" width="13.6640625" customWidth="1"/>
    <col min="7" max="7" width="16.6640625" customWidth="1"/>
    <col min="8" max="8" width="19.6640625" customWidth="1"/>
    <col min="9" max="9" width="16.6640625" customWidth="1"/>
    <col min="10" max="10" width="13.1640625" style="3" customWidth="1"/>
    <col min="11" max="11" width="16.5" customWidth="1"/>
  </cols>
  <sheetData>
    <row r="1" spans="1:14" s="1" customFormat="1" ht="29.25" customHeight="1" x14ac:dyDescent="0.2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29" t="s">
        <v>72</v>
      </c>
      <c r="I1" s="29" t="s">
        <v>73</v>
      </c>
      <c r="J1" s="47" t="s">
        <v>74</v>
      </c>
      <c r="K1" s="52" t="s">
        <v>94</v>
      </c>
      <c r="L1" s="52" t="s">
        <v>96</v>
      </c>
    </row>
    <row r="2" spans="1:14" x14ac:dyDescent="0.2">
      <c r="A2" s="30">
        <v>42745</v>
      </c>
      <c r="B2" s="31" t="s">
        <v>17</v>
      </c>
      <c r="C2" s="31" t="s">
        <v>4</v>
      </c>
      <c r="D2" s="31" t="s">
        <v>10</v>
      </c>
      <c r="E2" s="31">
        <v>120</v>
      </c>
      <c r="F2" s="31">
        <f>VLOOKUP(Таблица1[[#This Row],[Наименование Товара]],ИнформацияТовары!$A$2:$C$9,3,0)</f>
        <v>45</v>
      </c>
      <c r="G2" s="32">
        <f>Таблица1[[#This Row],[Количество]]*Таблица1[[#This Row],[Цена]]</f>
        <v>5400</v>
      </c>
      <c r="H2" s="33">
        <v>42751</v>
      </c>
      <c r="I2" s="34">
        <v>20</v>
      </c>
      <c r="J2" s="48">
        <f>Таблица1[[#This Row],[Количество к возврату]]*Таблица1[[#This Row],[Цена]]</f>
        <v>900</v>
      </c>
      <c r="K2" s="59">
        <f>Таблица1[[#This Row],[Стоимость]]-Таблица1[[#This Row],[Стоимость возврата]]</f>
        <v>4500</v>
      </c>
      <c r="L2" s="51">
        <f>Таблица1[[#This Row],[Количество]]-Таблица1[[#This Row],[Количество к возврату]]</f>
        <v>100</v>
      </c>
    </row>
    <row r="3" spans="1:14" x14ac:dyDescent="0.2">
      <c r="A3" s="30">
        <v>42746</v>
      </c>
      <c r="B3" s="31" t="s">
        <v>17</v>
      </c>
      <c r="C3" s="31" t="s">
        <v>4</v>
      </c>
      <c r="D3" s="31" t="s">
        <v>9</v>
      </c>
      <c r="E3" s="31">
        <v>110</v>
      </c>
      <c r="F3" s="31">
        <f>VLOOKUP(Таблица1[[#This Row],[Наименование Товара]],ИнформацияТовары!$A$2:$C$9,3,0)</f>
        <v>32</v>
      </c>
      <c r="G3" s="32">
        <f>Таблица1[[#This Row],[Количество]]*Таблица1[[#This Row],[Цена]]</f>
        <v>3520</v>
      </c>
      <c r="H3" s="31"/>
      <c r="I3" s="31"/>
      <c r="J3" s="49">
        <f>Таблица1[[#This Row],[Количество к возврату]]*Таблица1[[#This Row],[Цена]]</f>
        <v>0</v>
      </c>
      <c r="K3" s="59">
        <f>Таблица1[[#This Row],[Стоимость]]-Таблица1[[#This Row],[Стоимость возврата]]</f>
        <v>3520</v>
      </c>
      <c r="L3" s="51">
        <f>Таблица1[[#This Row],[Количество]]-Таблица1[[#This Row],[Количество к возврату]]</f>
        <v>110</v>
      </c>
      <c r="N3">
        <f>WEEKDAY(A2,2)</f>
        <v>2</v>
      </c>
    </row>
    <row r="4" spans="1:14" x14ac:dyDescent="0.2">
      <c r="A4" s="30">
        <v>42747</v>
      </c>
      <c r="B4" s="31" t="s">
        <v>20</v>
      </c>
      <c r="C4" s="31" t="s">
        <v>3</v>
      </c>
      <c r="D4" s="31" t="s">
        <v>65</v>
      </c>
      <c r="E4" s="31">
        <v>110</v>
      </c>
      <c r="F4" s="31">
        <f>VLOOKUP(Таблица1[[#This Row],[Наименование Товара]],ИнформацияТовары!$A$2:$C$9,3,0)</f>
        <v>136</v>
      </c>
      <c r="G4" s="32">
        <f>Таблица1[[#This Row],[Количество]]*Таблица1[[#This Row],[Цена]]</f>
        <v>14960</v>
      </c>
      <c r="H4" s="31"/>
      <c r="I4" s="31"/>
      <c r="J4" s="49">
        <f>Таблица1[[#This Row],[Количество к возврату]]*Таблица1[[#This Row],[Цена]]</f>
        <v>0</v>
      </c>
      <c r="K4" s="59">
        <f>Таблица1[[#This Row],[Стоимость]]-Таблица1[[#This Row],[Стоимость возврата]]</f>
        <v>14960</v>
      </c>
      <c r="L4" s="51">
        <f>Таблица1[[#This Row],[Количество]]-Таблица1[[#This Row],[Количество к возврату]]</f>
        <v>110</v>
      </c>
    </row>
    <row r="5" spans="1:14" x14ac:dyDescent="0.2">
      <c r="A5" s="30">
        <v>42752</v>
      </c>
      <c r="B5" s="31" t="s">
        <v>18</v>
      </c>
      <c r="C5" s="31" t="s">
        <v>2</v>
      </c>
      <c r="D5" s="31" t="s">
        <v>7</v>
      </c>
      <c r="E5" s="31">
        <v>70</v>
      </c>
      <c r="F5" s="31">
        <f>VLOOKUP(Таблица1[[#This Row],[Наименование Товара]],ИнформацияТовары!$A$2:$C$9,3,0)</f>
        <v>25</v>
      </c>
      <c r="G5" s="32">
        <f>Таблица1[[#This Row],[Количество]]*Таблица1[[#This Row],[Цена]]</f>
        <v>1750</v>
      </c>
      <c r="H5" s="31"/>
      <c r="I5" s="31"/>
      <c r="J5" s="49">
        <f>Таблица1[[#This Row],[Количество к возврату]]*Таблица1[[#This Row],[Цена]]</f>
        <v>0</v>
      </c>
      <c r="K5" s="59">
        <f>Таблица1[[#This Row],[Стоимость]]-Таблица1[[#This Row],[Стоимость возврата]]</f>
        <v>1750</v>
      </c>
      <c r="L5" s="51">
        <f>Таблица1[[#This Row],[Количество]]-Таблица1[[#This Row],[Количество к возврату]]</f>
        <v>70</v>
      </c>
    </row>
    <row r="6" spans="1:14" x14ac:dyDescent="0.2">
      <c r="A6" s="30">
        <v>42754</v>
      </c>
      <c r="B6" s="31" t="s">
        <v>17</v>
      </c>
      <c r="C6" s="31" t="s">
        <v>2</v>
      </c>
      <c r="D6" s="31" t="s">
        <v>7</v>
      </c>
      <c r="E6" s="31">
        <v>78</v>
      </c>
      <c r="F6" s="31">
        <f>VLOOKUP(Таблица1[[#This Row],[Наименование Товара]],ИнформацияТовары!$A$2:$C$9,3,0)</f>
        <v>25</v>
      </c>
      <c r="G6" s="32">
        <f>Таблица1[[#This Row],[Количество]]*Таблица1[[#This Row],[Цена]]</f>
        <v>1950</v>
      </c>
      <c r="H6" s="31"/>
      <c r="I6" s="31"/>
      <c r="J6" s="49">
        <f>Таблица1[[#This Row],[Количество к возврату]]*Таблица1[[#This Row],[Цена]]</f>
        <v>0</v>
      </c>
      <c r="K6" s="59">
        <f>Таблица1[[#This Row],[Стоимость]]-Таблица1[[#This Row],[Стоимость возврата]]</f>
        <v>1950</v>
      </c>
      <c r="L6" s="51">
        <f>Таблица1[[#This Row],[Количество]]-Таблица1[[#This Row],[Количество к возврату]]</f>
        <v>78</v>
      </c>
    </row>
    <row r="7" spans="1:14" x14ac:dyDescent="0.2">
      <c r="A7" s="30">
        <v>42759</v>
      </c>
      <c r="B7" s="31" t="s">
        <v>16</v>
      </c>
      <c r="C7" s="31" t="s">
        <v>4</v>
      </c>
      <c r="D7" s="31" t="s">
        <v>65</v>
      </c>
      <c r="E7" s="31">
        <v>120</v>
      </c>
      <c r="F7" s="31">
        <f>VLOOKUP(Таблица1[[#This Row],[Наименование Товара]],ИнформацияТовары!$A$2:$C$9,3,0)</f>
        <v>136</v>
      </c>
      <c r="G7" s="32">
        <f>Таблица1[[#This Row],[Количество]]*Таблица1[[#This Row],[Цена]]</f>
        <v>16320</v>
      </c>
      <c r="H7" s="30">
        <v>42765</v>
      </c>
      <c r="I7" s="31">
        <v>80</v>
      </c>
      <c r="J7" s="49">
        <f>Таблица1[[#This Row],[Количество к возврату]]*Таблица1[[#This Row],[Цена]]</f>
        <v>10880</v>
      </c>
      <c r="K7" s="59">
        <f>Таблица1[[#This Row],[Стоимость]]-Таблица1[[#This Row],[Стоимость возврата]]</f>
        <v>5440</v>
      </c>
      <c r="L7" s="51">
        <f>Таблица1[[#This Row],[Количество]]-Таблица1[[#This Row],[Количество к возврату]]</f>
        <v>40</v>
      </c>
    </row>
    <row r="8" spans="1:14" x14ac:dyDescent="0.2">
      <c r="A8" s="30">
        <v>42759</v>
      </c>
      <c r="B8" s="31" t="s">
        <v>20</v>
      </c>
      <c r="C8" s="31" t="s">
        <v>3</v>
      </c>
      <c r="D8" s="31" t="s">
        <v>27</v>
      </c>
      <c r="E8" s="31">
        <v>230</v>
      </c>
      <c r="F8" s="31">
        <f>VLOOKUP(Таблица1[[#This Row],[Наименование Товара]],ИнформацияТовары!$A$2:$C$9,3,0)</f>
        <v>65</v>
      </c>
      <c r="G8" s="32">
        <f>Таблица1[[#This Row],[Количество]]*Таблица1[[#This Row],[Цена]]</f>
        <v>14950</v>
      </c>
      <c r="H8" s="31"/>
      <c r="I8" s="31"/>
      <c r="J8" s="49">
        <f>Таблица1[[#This Row],[Количество к возврату]]*Таблица1[[#This Row],[Цена]]</f>
        <v>0</v>
      </c>
      <c r="K8" s="59">
        <f>Таблица1[[#This Row],[Стоимость]]-Таблица1[[#This Row],[Стоимость возврата]]</f>
        <v>14950</v>
      </c>
      <c r="L8" s="51">
        <f>Таблица1[[#This Row],[Количество]]-Таблица1[[#This Row],[Количество к возврату]]</f>
        <v>230</v>
      </c>
    </row>
    <row r="9" spans="1:14" x14ac:dyDescent="0.2">
      <c r="A9" s="30">
        <v>42760</v>
      </c>
      <c r="B9" s="31" t="s">
        <v>16</v>
      </c>
      <c r="C9" s="31" t="s">
        <v>2</v>
      </c>
      <c r="D9" s="31" t="s">
        <v>9</v>
      </c>
      <c r="E9" s="31">
        <v>100</v>
      </c>
      <c r="F9" s="31">
        <f>VLOOKUP(Таблица1[[#This Row],[Наименование Товара]],ИнформацияТовары!$A$2:$C$9,3,0)</f>
        <v>32</v>
      </c>
      <c r="G9" s="32">
        <f>Таблица1[[#This Row],[Количество]]*Таблица1[[#This Row],[Цена]]</f>
        <v>3200</v>
      </c>
      <c r="H9" s="31"/>
      <c r="I9" s="31"/>
      <c r="J9" s="49">
        <f>Таблица1[[#This Row],[Количество к возврату]]*Таблица1[[#This Row],[Цена]]</f>
        <v>0</v>
      </c>
      <c r="K9" s="59">
        <f>Таблица1[[#This Row],[Стоимость]]-Таблица1[[#This Row],[Стоимость возврата]]</f>
        <v>3200</v>
      </c>
      <c r="L9" s="51">
        <f>Таблица1[[#This Row],[Количество]]-Таблица1[[#This Row],[Количество к возврату]]</f>
        <v>100</v>
      </c>
    </row>
    <row r="10" spans="1:14" x14ac:dyDescent="0.2">
      <c r="A10" s="30">
        <v>42766</v>
      </c>
      <c r="B10" s="31" t="s">
        <v>18</v>
      </c>
      <c r="C10" s="31" t="s">
        <v>4</v>
      </c>
      <c r="D10" s="31" t="s">
        <v>26</v>
      </c>
      <c r="E10" s="31">
        <v>129</v>
      </c>
      <c r="F10" s="31">
        <f>VLOOKUP(Таблица1[[#This Row],[Наименование Товара]],ИнформацияТовары!$A$2:$C$9,3,0)</f>
        <v>54</v>
      </c>
      <c r="G10" s="32">
        <f>Таблица1[[#This Row],[Количество]]*Таблица1[[#This Row],[Цена]]</f>
        <v>6966</v>
      </c>
      <c r="H10" s="31"/>
      <c r="I10" s="31"/>
      <c r="J10" s="49">
        <f>Таблица1[[#This Row],[Количество к возврату]]*Таблица1[[#This Row],[Цена]]</f>
        <v>0</v>
      </c>
      <c r="K10" s="59">
        <f>Таблица1[[#This Row],[Стоимость]]-Таблица1[[#This Row],[Стоимость возврата]]</f>
        <v>6966</v>
      </c>
      <c r="L10" s="51">
        <f>Таблица1[[#This Row],[Количество]]-Таблица1[[#This Row],[Количество к возврату]]</f>
        <v>129</v>
      </c>
    </row>
    <row r="11" spans="1:14" x14ac:dyDescent="0.2">
      <c r="A11" s="30">
        <v>42768</v>
      </c>
      <c r="B11" s="31" t="s">
        <v>19</v>
      </c>
      <c r="C11" s="31" t="s">
        <v>4</v>
      </c>
      <c r="D11" s="31" t="s">
        <v>28</v>
      </c>
      <c r="E11" s="31">
        <v>300</v>
      </c>
      <c r="F11" s="31">
        <f>VLOOKUP(Таблица1[[#This Row],[Наименование Товара]],ИнформацияТовары!$A$2:$C$9,3,0)</f>
        <v>87</v>
      </c>
      <c r="G11" s="32">
        <f>Таблица1[[#This Row],[Количество]]*Таблица1[[#This Row],[Цена]]</f>
        <v>26100</v>
      </c>
      <c r="H11" s="31"/>
      <c r="I11" s="31"/>
      <c r="J11" s="49">
        <f>Таблица1[[#This Row],[Количество к возврату]]*Таблица1[[#This Row],[Цена]]</f>
        <v>0</v>
      </c>
      <c r="K11" s="59">
        <f>Таблица1[[#This Row],[Стоимость]]-Таблица1[[#This Row],[Стоимость возврата]]</f>
        <v>26100</v>
      </c>
      <c r="L11" s="51">
        <f>Таблица1[[#This Row],[Количество]]-Таблица1[[#This Row],[Количество к возврату]]</f>
        <v>300</v>
      </c>
    </row>
    <row r="12" spans="1:14" x14ac:dyDescent="0.2">
      <c r="A12" s="30">
        <v>42769</v>
      </c>
      <c r="B12" s="31" t="s">
        <v>16</v>
      </c>
      <c r="C12" s="31" t="s">
        <v>3</v>
      </c>
      <c r="D12" s="31" t="s">
        <v>64</v>
      </c>
      <c r="E12" s="31">
        <v>500</v>
      </c>
      <c r="F12" s="31">
        <f>VLOOKUP(Таблица1[[#This Row],[Наименование Товара]],ИнформацияТовары!$A$2:$C$9,3,0)</f>
        <v>110</v>
      </c>
      <c r="G12" s="32">
        <f>Таблица1[[#This Row],[Количество]]*Таблица1[[#This Row],[Цена]]</f>
        <v>55000</v>
      </c>
      <c r="H12" s="31"/>
      <c r="I12" s="31"/>
      <c r="J12" s="49">
        <f>Таблица1[[#This Row],[Количество к возврату]]*Таблица1[[#This Row],[Цена]]</f>
        <v>0</v>
      </c>
      <c r="K12" s="59">
        <f>Таблица1[[#This Row],[Стоимость]]-Таблица1[[#This Row],[Стоимость возврата]]</f>
        <v>55000</v>
      </c>
      <c r="L12" s="51">
        <f>Таблица1[[#This Row],[Количество]]-Таблица1[[#This Row],[Количество к возврату]]</f>
        <v>500</v>
      </c>
    </row>
    <row r="13" spans="1:14" x14ac:dyDescent="0.2">
      <c r="A13" s="30">
        <v>42769</v>
      </c>
      <c r="B13" s="31" t="s">
        <v>19</v>
      </c>
      <c r="C13" s="31" t="s">
        <v>2</v>
      </c>
      <c r="D13" s="31" t="s">
        <v>65</v>
      </c>
      <c r="E13" s="31">
        <v>110</v>
      </c>
      <c r="F13" s="31">
        <f>VLOOKUP(Таблица1[[#This Row],[Наименование Товара]],ИнформацияТовары!$A$2:$C$9,3,0)</f>
        <v>136</v>
      </c>
      <c r="G13" s="32">
        <f>Таблица1[[#This Row],[Количество]]*Таблица1[[#This Row],[Цена]]</f>
        <v>14960</v>
      </c>
      <c r="H13" s="30">
        <v>42786</v>
      </c>
      <c r="I13" s="31">
        <v>50</v>
      </c>
      <c r="J13" s="49">
        <f>Таблица1[[#This Row],[Количество к возврату]]*Таблица1[[#This Row],[Цена]]</f>
        <v>6800</v>
      </c>
      <c r="K13" s="59">
        <f>Таблица1[[#This Row],[Стоимость]]-Таблица1[[#This Row],[Стоимость возврата]]</f>
        <v>8160</v>
      </c>
      <c r="L13" s="51">
        <f>Таблица1[[#This Row],[Количество]]-Таблица1[[#This Row],[Количество к возврату]]</f>
        <v>60</v>
      </c>
    </row>
    <row r="14" spans="1:14" x14ac:dyDescent="0.2">
      <c r="A14" s="30">
        <v>42769</v>
      </c>
      <c r="B14" s="31" t="s">
        <v>18</v>
      </c>
      <c r="C14" s="31" t="s">
        <v>2</v>
      </c>
      <c r="D14" s="31" t="s">
        <v>7</v>
      </c>
      <c r="E14" s="31">
        <v>80</v>
      </c>
      <c r="F14" s="31">
        <f>VLOOKUP(Таблица1[[#This Row],[Наименование Товара]],ИнформацияТовары!$A$2:$C$9,3,0)</f>
        <v>25</v>
      </c>
      <c r="G14" s="32">
        <f>Таблица1[[#This Row],[Количество]]*Таблица1[[#This Row],[Цена]]</f>
        <v>2000</v>
      </c>
      <c r="H14" s="31"/>
      <c r="I14" s="31"/>
      <c r="J14" s="49">
        <f>Таблица1[[#This Row],[Количество к возврату]]*Таблица1[[#This Row],[Цена]]</f>
        <v>0</v>
      </c>
      <c r="K14" s="59">
        <f>Таблица1[[#This Row],[Стоимость]]-Таблица1[[#This Row],[Стоимость возврата]]</f>
        <v>2000</v>
      </c>
      <c r="L14" s="51">
        <f>Таблица1[[#This Row],[Количество]]-Таблица1[[#This Row],[Количество к возврату]]</f>
        <v>80</v>
      </c>
    </row>
    <row r="15" spans="1:14" x14ac:dyDescent="0.2">
      <c r="A15" s="30">
        <v>42774</v>
      </c>
      <c r="B15" s="31" t="s">
        <v>17</v>
      </c>
      <c r="C15" s="31" t="s">
        <v>4</v>
      </c>
      <c r="D15" s="31" t="s">
        <v>9</v>
      </c>
      <c r="E15" s="31">
        <v>150</v>
      </c>
      <c r="F15" s="31">
        <f>VLOOKUP(Таблица1[[#This Row],[Наименование Товара]],ИнформацияТовары!$A$2:$C$9,3,0)</f>
        <v>32</v>
      </c>
      <c r="G15" s="32">
        <f>Таблица1[[#This Row],[Количество]]*Таблица1[[#This Row],[Цена]]</f>
        <v>4800</v>
      </c>
      <c r="H15" s="30">
        <v>42782</v>
      </c>
      <c r="I15" s="31">
        <v>50</v>
      </c>
      <c r="J15" s="49">
        <f>Таблица1[[#This Row],[Количество к возврату]]*Таблица1[[#This Row],[Цена]]</f>
        <v>1600</v>
      </c>
      <c r="K15" s="59">
        <f>Таблица1[[#This Row],[Стоимость]]-Таблица1[[#This Row],[Стоимость возврата]]</f>
        <v>3200</v>
      </c>
      <c r="L15" s="51">
        <f>Таблица1[[#This Row],[Количество]]-Таблица1[[#This Row],[Количество к возврату]]</f>
        <v>100</v>
      </c>
    </row>
    <row r="16" spans="1:14" x14ac:dyDescent="0.2">
      <c r="A16" s="30">
        <v>42775</v>
      </c>
      <c r="B16" s="31" t="s">
        <v>20</v>
      </c>
      <c r="C16" s="31" t="s">
        <v>3</v>
      </c>
      <c r="D16" s="31" t="s">
        <v>26</v>
      </c>
      <c r="E16" s="31">
        <v>90</v>
      </c>
      <c r="F16" s="31">
        <f>VLOOKUP(Таблица1[[#This Row],[Наименование Товара]],ИнформацияТовары!$A$2:$C$9,3,0)</f>
        <v>54</v>
      </c>
      <c r="G16" s="32">
        <f>Таблица1[[#This Row],[Количество]]*Таблица1[[#This Row],[Цена]]</f>
        <v>4860</v>
      </c>
      <c r="H16" s="31"/>
      <c r="I16" s="31"/>
      <c r="J16" s="49">
        <f>Таблица1[[#This Row],[Количество к возврату]]*Таблица1[[#This Row],[Цена]]</f>
        <v>0</v>
      </c>
      <c r="K16" s="59">
        <f>Таблица1[[#This Row],[Стоимость]]-Таблица1[[#This Row],[Стоимость возврата]]</f>
        <v>4860</v>
      </c>
      <c r="L16" s="51">
        <f>Таблица1[[#This Row],[Количество]]-Таблица1[[#This Row],[Количество к возврату]]</f>
        <v>90</v>
      </c>
    </row>
    <row r="17" spans="1:12" x14ac:dyDescent="0.2">
      <c r="A17" s="30">
        <v>42783</v>
      </c>
      <c r="B17" s="31" t="s">
        <v>17</v>
      </c>
      <c r="C17" s="31" t="s">
        <v>4</v>
      </c>
      <c r="D17" s="31" t="s">
        <v>28</v>
      </c>
      <c r="E17" s="31">
        <v>310</v>
      </c>
      <c r="F17" s="31">
        <f>VLOOKUP(Таблица1[[#This Row],[Наименование Товара]],ИнформацияТовары!$A$2:$C$9,3,0)</f>
        <v>87</v>
      </c>
      <c r="G17" s="32">
        <f>Таблица1[[#This Row],[Количество]]*Таблица1[[#This Row],[Цена]]</f>
        <v>26970</v>
      </c>
      <c r="H17" s="31"/>
      <c r="I17" s="31"/>
      <c r="J17" s="49">
        <f>Таблица1[[#This Row],[Количество к возврату]]*Таблица1[[#This Row],[Цена]]</f>
        <v>0</v>
      </c>
      <c r="K17" s="59">
        <f>Таблица1[[#This Row],[Стоимость]]-Таблица1[[#This Row],[Стоимость возврата]]</f>
        <v>26970</v>
      </c>
      <c r="L17" s="51">
        <f>Таблица1[[#This Row],[Количество]]-Таблица1[[#This Row],[Количество к возврату]]</f>
        <v>310</v>
      </c>
    </row>
    <row r="18" spans="1:12" x14ac:dyDescent="0.2">
      <c r="A18" s="30">
        <v>42783</v>
      </c>
      <c r="B18" s="31" t="s">
        <v>17</v>
      </c>
      <c r="C18" s="31" t="s">
        <v>4</v>
      </c>
      <c r="D18" s="31" t="s">
        <v>9</v>
      </c>
      <c r="E18" s="31">
        <v>100</v>
      </c>
      <c r="F18" s="31">
        <f>VLOOKUP(Таблица1[[#This Row],[Наименование Товара]],ИнформацияТовары!$A$2:$C$9,3,0)</f>
        <v>32</v>
      </c>
      <c r="G18" s="32">
        <f>Таблица1[[#This Row],[Количество]]*Таблица1[[#This Row],[Цена]]</f>
        <v>3200</v>
      </c>
      <c r="H18" s="30">
        <v>42795</v>
      </c>
      <c r="I18" s="31">
        <v>10</v>
      </c>
      <c r="J18" s="49">
        <f>Таблица1[[#This Row],[Количество к возврату]]*Таблица1[[#This Row],[Цена]]</f>
        <v>320</v>
      </c>
      <c r="K18" s="59">
        <f>Таблица1[[#This Row],[Стоимость]]-Таблица1[[#This Row],[Стоимость возврата]]</f>
        <v>2880</v>
      </c>
      <c r="L18" s="51">
        <f>Таблица1[[#This Row],[Количество]]-Таблица1[[#This Row],[Количество к возврату]]</f>
        <v>90</v>
      </c>
    </row>
    <row r="19" spans="1:12" x14ac:dyDescent="0.2">
      <c r="A19" s="30">
        <v>42786</v>
      </c>
      <c r="B19" s="31" t="s">
        <v>20</v>
      </c>
      <c r="C19" s="31" t="s">
        <v>4</v>
      </c>
      <c r="D19" s="31" t="s">
        <v>64</v>
      </c>
      <c r="E19" s="31">
        <v>120</v>
      </c>
      <c r="F19" s="31">
        <f>VLOOKUP(Таблица1[[#This Row],[Наименование Товара]],ИнформацияТовары!$A$2:$C$9,3,0)</f>
        <v>110</v>
      </c>
      <c r="G19" s="32">
        <f>Таблица1[[#This Row],[Количество]]*Таблица1[[#This Row],[Цена]]</f>
        <v>13200</v>
      </c>
      <c r="H19" s="31"/>
      <c r="I19" s="31"/>
      <c r="J19" s="49">
        <f>Таблица1[[#This Row],[Количество к возврату]]*Таблица1[[#This Row],[Цена]]</f>
        <v>0</v>
      </c>
      <c r="K19" s="59">
        <f>Таблица1[[#This Row],[Стоимость]]-Таблица1[[#This Row],[Стоимость возврата]]</f>
        <v>13200</v>
      </c>
      <c r="L19" s="51">
        <f>Таблица1[[#This Row],[Количество]]-Таблица1[[#This Row],[Количество к возврату]]</f>
        <v>120</v>
      </c>
    </row>
    <row r="20" spans="1:12" x14ac:dyDescent="0.2">
      <c r="A20" s="30">
        <v>42787</v>
      </c>
      <c r="B20" s="31" t="s">
        <v>18</v>
      </c>
      <c r="C20" s="31" t="s">
        <v>3</v>
      </c>
      <c r="D20" s="31" t="s">
        <v>65</v>
      </c>
      <c r="E20" s="31">
        <v>130</v>
      </c>
      <c r="F20" s="31">
        <f>VLOOKUP(Таблица1[[#This Row],[Наименование Товара]],ИнформацияТовары!$A$2:$C$9,3,0)</f>
        <v>136</v>
      </c>
      <c r="G20" s="32">
        <f>Таблица1[[#This Row],[Количество]]*Таблица1[[#This Row],[Цена]]</f>
        <v>17680</v>
      </c>
      <c r="H20" s="31"/>
      <c r="I20" s="31"/>
      <c r="J20" s="49">
        <f>Таблица1[[#This Row],[Количество к возврату]]*Таблица1[[#This Row],[Цена]]</f>
        <v>0</v>
      </c>
      <c r="K20" s="59">
        <f>Таблица1[[#This Row],[Стоимость]]-Таблица1[[#This Row],[Стоимость возврата]]</f>
        <v>17680</v>
      </c>
      <c r="L20" s="51">
        <f>Таблица1[[#This Row],[Количество]]-Таблица1[[#This Row],[Количество к возврату]]</f>
        <v>130</v>
      </c>
    </row>
    <row r="21" spans="1:12" x14ac:dyDescent="0.2">
      <c r="A21" s="30">
        <v>42787</v>
      </c>
      <c r="B21" s="31" t="s">
        <v>17</v>
      </c>
      <c r="C21" s="31" t="s">
        <v>2</v>
      </c>
      <c r="D21" s="31" t="s">
        <v>7</v>
      </c>
      <c r="E21" s="31">
        <v>78</v>
      </c>
      <c r="F21" s="31">
        <f>VLOOKUP(Таблица1[[#This Row],[Наименование Товара]],ИнформацияТовары!$A$2:$C$9,3,0)</f>
        <v>25</v>
      </c>
      <c r="G21" s="32">
        <f>Таблица1[[#This Row],[Количество]]*Таблица1[[#This Row],[Цена]]</f>
        <v>1950</v>
      </c>
      <c r="H21" s="31"/>
      <c r="I21" s="31"/>
      <c r="J21" s="49">
        <f>Таблица1[[#This Row],[Количество к возврату]]*Таблица1[[#This Row],[Цена]]</f>
        <v>0</v>
      </c>
      <c r="K21" s="59">
        <f>Таблица1[[#This Row],[Стоимость]]-Таблица1[[#This Row],[Стоимость возврата]]</f>
        <v>1950</v>
      </c>
      <c r="L21" s="51">
        <f>Таблица1[[#This Row],[Количество]]-Таблица1[[#This Row],[Количество к возврату]]</f>
        <v>78</v>
      </c>
    </row>
    <row r="22" spans="1:12" x14ac:dyDescent="0.2">
      <c r="A22" s="30">
        <v>42807</v>
      </c>
      <c r="B22" s="31" t="s">
        <v>16</v>
      </c>
      <c r="C22" s="31" t="s">
        <v>2</v>
      </c>
      <c r="D22" s="31" t="s">
        <v>9</v>
      </c>
      <c r="E22" s="31">
        <v>89</v>
      </c>
      <c r="F22" s="31">
        <f>VLOOKUP(Таблица1[[#This Row],[Наименование Товара]],ИнформацияТовары!$A$2:$C$9,3,0)</f>
        <v>32</v>
      </c>
      <c r="G22" s="32">
        <f>Таблица1[[#This Row],[Количество]]*Таблица1[[#This Row],[Цена]]</f>
        <v>2848</v>
      </c>
      <c r="H22" s="31"/>
      <c r="I22" s="31"/>
      <c r="J22" s="49">
        <f>Таблица1[[#This Row],[Количество к возврату]]*Таблица1[[#This Row],[Цена]]</f>
        <v>0</v>
      </c>
      <c r="K22" s="59">
        <f>Таблица1[[#This Row],[Стоимость]]-Таблица1[[#This Row],[Стоимость возврата]]</f>
        <v>2848</v>
      </c>
      <c r="L22" s="51">
        <f>Таблица1[[#This Row],[Количество]]-Таблица1[[#This Row],[Количество к возврату]]</f>
        <v>89</v>
      </c>
    </row>
    <row r="23" spans="1:12" x14ac:dyDescent="0.2">
      <c r="A23" s="30">
        <v>42807</v>
      </c>
      <c r="B23" s="31" t="s">
        <v>20</v>
      </c>
      <c r="C23" s="31" t="s">
        <v>4</v>
      </c>
      <c r="D23" s="31" t="s">
        <v>26</v>
      </c>
      <c r="E23" s="31">
        <v>140</v>
      </c>
      <c r="F23" s="31">
        <f>VLOOKUP(Таблица1[[#This Row],[Наименование Товара]],ИнформацияТовары!$A$2:$C$9,3,0)</f>
        <v>54</v>
      </c>
      <c r="G23" s="32">
        <f>Таблица1[[#This Row],[Количество]]*Таблица1[[#This Row],[Цена]]</f>
        <v>7560</v>
      </c>
      <c r="H23" s="31"/>
      <c r="I23" s="31"/>
      <c r="J23" s="49">
        <f>Таблица1[[#This Row],[Количество к возврату]]*Таблица1[[#This Row],[Цена]]</f>
        <v>0</v>
      </c>
      <c r="K23" s="59">
        <f>Таблица1[[#This Row],[Стоимость]]-Таблица1[[#This Row],[Стоимость возврата]]</f>
        <v>7560</v>
      </c>
      <c r="L23" s="51">
        <f>Таблица1[[#This Row],[Количество]]-Таблица1[[#This Row],[Количество к возврату]]</f>
        <v>140</v>
      </c>
    </row>
    <row r="24" spans="1:12" x14ac:dyDescent="0.2">
      <c r="A24" s="30">
        <v>42808</v>
      </c>
      <c r="B24" s="31" t="s">
        <v>18</v>
      </c>
      <c r="C24" s="31" t="s">
        <v>3</v>
      </c>
      <c r="D24" s="31" t="s">
        <v>28</v>
      </c>
      <c r="E24" s="31">
        <v>160</v>
      </c>
      <c r="F24" s="31">
        <f>VLOOKUP(Таблица1[[#This Row],[Наименование Товара]],ИнформацияТовары!$A$2:$C$9,3,0)</f>
        <v>87</v>
      </c>
      <c r="G24" s="32">
        <f>Таблица1[[#This Row],[Количество]]*Таблица1[[#This Row],[Цена]]</f>
        <v>13920</v>
      </c>
      <c r="H24" s="30">
        <v>42823</v>
      </c>
      <c r="I24" s="31">
        <v>60</v>
      </c>
      <c r="J24" s="49">
        <f>Таблица1[[#This Row],[Количество к возврату]]*Таблица1[[#This Row],[Цена]]</f>
        <v>5220</v>
      </c>
      <c r="K24" s="59">
        <f>Таблица1[[#This Row],[Стоимость]]-Таблица1[[#This Row],[Стоимость возврата]]</f>
        <v>8700</v>
      </c>
      <c r="L24" s="51">
        <f>Таблица1[[#This Row],[Количество]]-Таблица1[[#This Row],[Количество к возврату]]</f>
        <v>100</v>
      </c>
    </row>
    <row r="25" spans="1:12" x14ac:dyDescent="0.2">
      <c r="A25" s="30">
        <v>42809</v>
      </c>
      <c r="B25" s="31" t="s">
        <v>19</v>
      </c>
      <c r="C25" s="31" t="s">
        <v>4</v>
      </c>
      <c r="D25" s="31" t="s">
        <v>64</v>
      </c>
      <c r="E25" s="31">
        <v>160</v>
      </c>
      <c r="F25" s="31">
        <f>VLOOKUP(Таблица1[[#This Row],[Наименование Товара]],ИнформацияТовары!$A$2:$C$9,3,0)</f>
        <v>110</v>
      </c>
      <c r="G25" s="32">
        <f>Таблица1[[#This Row],[Количество]]*Таблица1[[#This Row],[Цена]]</f>
        <v>17600</v>
      </c>
      <c r="H25" s="30">
        <v>42824</v>
      </c>
      <c r="I25" s="31">
        <v>40</v>
      </c>
      <c r="J25" s="49">
        <f>Таблица1[[#This Row],[Количество к возврату]]*Таблица1[[#This Row],[Цена]]</f>
        <v>4400</v>
      </c>
      <c r="K25" s="59">
        <f>Таблица1[[#This Row],[Стоимость]]-Таблица1[[#This Row],[Стоимость возврата]]</f>
        <v>13200</v>
      </c>
      <c r="L25" s="51">
        <f>Таблица1[[#This Row],[Количество]]-Таблица1[[#This Row],[Количество к возврату]]</f>
        <v>120</v>
      </c>
    </row>
    <row r="26" spans="1:12" x14ac:dyDescent="0.2">
      <c r="A26" s="30">
        <v>42810</v>
      </c>
      <c r="B26" s="31" t="s">
        <v>16</v>
      </c>
      <c r="C26" s="31" t="s">
        <v>4</v>
      </c>
      <c r="D26" s="31" t="s">
        <v>10</v>
      </c>
      <c r="E26" s="31">
        <v>56</v>
      </c>
      <c r="F26" s="31">
        <f>VLOOKUP(Таблица1[[#This Row],[Наименование Товара]],ИнформацияТовары!$A$2:$C$9,3,0)</f>
        <v>45</v>
      </c>
      <c r="G26" s="32">
        <f>Таблица1[[#This Row],[Количество]]*Таблица1[[#This Row],[Цена]]</f>
        <v>2520</v>
      </c>
      <c r="H26" s="31"/>
      <c r="I26" s="31"/>
      <c r="J26" s="49">
        <f>Таблица1[[#This Row],[Количество к возврату]]*Таблица1[[#This Row],[Цена]]</f>
        <v>0</v>
      </c>
      <c r="K26" s="59">
        <f>Таблица1[[#This Row],[Стоимость]]-Таблица1[[#This Row],[Стоимость возврата]]</f>
        <v>2520</v>
      </c>
      <c r="L26" s="51">
        <f>Таблица1[[#This Row],[Количество]]-Таблица1[[#This Row],[Количество к возврату]]</f>
        <v>56</v>
      </c>
    </row>
    <row r="27" spans="1:12" x14ac:dyDescent="0.2">
      <c r="A27" s="30">
        <v>42811</v>
      </c>
      <c r="B27" s="31" t="s">
        <v>19</v>
      </c>
      <c r="C27" s="31" t="s">
        <v>3</v>
      </c>
      <c r="D27" s="31" t="s">
        <v>10</v>
      </c>
      <c r="E27" s="31">
        <v>120</v>
      </c>
      <c r="F27" s="31">
        <f>VLOOKUP(Таблица1[[#This Row],[Наименование Товара]],ИнформацияТовары!$A$2:$C$9,3,0)</f>
        <v>45</v>
      </c>
      <c r="G27" s="32">
        <f>Таблица1[[#This Row],[Количество]]*Таблица1[[#This Row],[Цена]]</f>
        <v>5400</v>
      </c>
      <c r="H27" s="31"/>
      <c r="I27" s="31"/>
      <c r="J27" s="49">
        <f>Таблица1[[#This Row],[Количество к возврату]]*Таблица1[[#This Row],[Цена]]</f>
        <v>0</v>
      </c>
      <c r="K27" s="59">
        <f>Таблица1[[#This Row],[Стоимость]]-Таблица1[[#This Row],[Стоимость возврата]]</f>
        <v>5400</v>
      </c>
      <c r="L27" s="51">
        <f>Таблица1[[#This Row],[Количество]]-Таблица1[[#This Row],[Количество к возврату]]</f>
        <v>120</v>
      </c>
    </row>
    <row r="28" spans="1:12" x14ac:dyDescent="0.2">
      <c r="A28" s="30">
        <v>42811</v>
      </c>
      <c r="B28" s="31" t="s">
        <v>18</v>
      </c>
      <c r="C28" s="31" t="s">
        <v>2</v>
      </c>
      <c r="D28" s="31" t="s">
        <v>9</v>
      </c>
      <c r="E28" s="31">
        <v>80</v>
      </c>
      <c r="F28" s="31">
        <f>VLOOKUP(Таблица1[[#This Row],[Наименование Товара]],ИнформацияТовары!$A$2:$C$9,3,0)</f>
        <v>32</v>
      </c>
      <c r="G28" s="32">
        <f>Таблица1[[#This Row],[Количество]]*Таблица1[[#This Row],[Цена]]</f>
        <v>2560</v>
      </c>
      <c r="H28" s="30">
        <v>42814</v>
      </c>
      <c r="I28" s="31">
        <v>10</v>
      </c>
      <c r="J28" s="49">
        <f>Таблица1[[#This Row],[Количество к возврату]]*Таблица1[[#This Row],[Цена]]</f>
        <v>320</v>
      </c>
      <c r="K28" s="59">
        <f>Таблица1[[#This Row],[Стоимость]]-Таблица1[[#This Row],[Стоимость возврата]]</f>
        <v>2240</v>
      </c>
      <c r="L28" s="51">
        <f>Таблица1[[#This Row],[Количество]]-Таблица1[[#This Row],[Количество к возврату]]</f>
        <v>70</v>
      </c>
    </row>
    <row r="29" spans="1:12" x14ac:dyDescent="0.2">
      <c r="A29" s="30">
        <v>42811</v>
      </c>
      <c r="B29" s="31" t="s">
        <v>17</v>
      </c>
      <c r="C29" s="31" t="s">
        <v>2</v>
      </c>
      <c r="D29" s="31" t="s">
        <v>9</v>
      </c>
      <c r="E29" s="31">
        <v>70</v>
      </c>
      <c r="F29" s="31">
        <f>VLOOKUP(Таблица1[[#This Row],[Наименование Товара]],ИнформацияТовары!$A$2:$C$9,3,0)</f>
        <v>32</v>
      </c>
      <c r="G29" s="32">
        <f>Таблица1[[#This Row],[Количество]]*Таблица1[[#This Row],[Цена]]</f>
        <v>2240</v>
      </c>
      <c r="H29" s="31"/>
      <c r="I29" s="31"/>
      <c r="J29" s="49">
        <f>Таблица1[[#This Row],[Количество к возврату]]*Таблица1[[#This Row],[Цена]]</f>
        <v>0</v>
      </c>
      <c r="K29" s="59">
        <f>Таблица1[[#This Row],[Стоимость]]-Таблица1[[#This Row],[Стоимость возврата]]</f>
        <v>2240</v>
      </c>
      <c r="L29" s="51">
        <f>Таблица1[[#This Row],[Количество]]-Таблица1[[#This Row],[Количество к возврату]]</f>
        <v>70</v>
      </c>
    </row>
    <row r="30" spans="1:12" x14ac:dyDescent="0.2">
      <c r="A30" s="30">
        <v>42812</v>
      </c>
      <c r="B30" s="31" t="s">
        <v>17</v>
      </c>
      <c r="C30" s="31" t="s">
        <v>4</v>
      </c>
      <c r="D30" s="31" t="s">
        <v>9</v>
      </c>
      <c r="E30" s="31">
        <v>60</v>
      </c>
      <c r="F30" s="31">
        <f>VLOOKUP(Таблица1[[#This Row],[Наименование Товара]],ИнформацияТовары!$A$2:$C$9,3,0)</f>
        <v>32</v>
      </c>
      <c r="G30" s="32">
        <f>Таблица1[[#This Row],[Количество]]*Таблица1[[#This Row],[Цена]]</f>
        <v>1920</v>
      </c>
      <c r="H30" s="31"/>
      <c r="I30" s="31"/>
      <c r="J30" s="49">
        <f>Таблица1[[#This Row],[Количество к возврату]]*Таблица1[[#This Row],[Цена]]</f>
        <v>0</v>
      </c>
      <c r="K30" s="59">
        <f>Таблица1[[#This Row],[Стоимость]]-Таблица1[[#This Row],[Стоимость возврата]]</f>
        <v>1920</v>
      </c>
      <c r="L30" s="51">
        <f>Таблица1[[#This Row],[Количество]]-Таблица1[[#This Row],[Количество к возврату]]</f>
        <v>60</v>
      </c>
    </row>
    <row r="31" spans="1:12" x14ac:dyDescent="0.2">
      <c r="A31" s="30">
        <v>42814</v>
      </c>
      <c r="B31" s="31" t="s">
        <v>17</v>
      </c>
      <c r="C31" s="31" t="s">
        <v>3</v>
      </c>
      <c r="D31" s="31" t="s">
        <v>26</v>
      </c>
      <c r="E31" s="31">
        <v>150</v>
      </c>
      <c r="F31" s="31">
        <f>VLOOKUP(Таблица1[[#This Row],[Наименование Товара]],ИнформацияТовары!$A$2:$C$9,3,0)</f>
        <v>54</v>
      </c>
      <c r="G31" s="32">
        <f>Таблица1[[#This Row],[Количество]]*Таблица1[[#This Row],[Цена]]</f>
        <v>8100</v>
      </c>
      <c r="H31" s="30">
        <v>42826</v>
      </c>
      <c r="I31" s="31">
        <v>50</v>
      </c>
      <c r="J31" s="49">
        <f>Таблица1[[#This Row],[Количество к возврату]]*Таблица1[[#This Row],[Цена]]</f>
        <v>2700</v>
      </c>
      <c r="K31" s="59">
        <f>Таблица1[[#This Row],[Стоимость]]-Таблица1[[#This Row],[Стоимость возврата]]</f>
        <v>5400</v>
      </c>
      <c r="L31" s="51">
        <f>Таблица1[[#This Row],[Количество]]-Таблица1[[#This Row],[Количество к возврату]]</f>
        <v>100</v>
      </c>
    </row>
    <row r="32" spans="1:12" x14ac:dyDescent="0.2">
      <c r="A32" s="30">
        <v>42814</v>
      </c>
      <c r="B32" s="31" t="s">
        <v>20</v>
      </c>
      <c r="C32" s="31" t="s">
        <v>3</v>
      </c>
      <c r="D32" s="31" t="s">
        <v>28</v>
      </c>
      <c r="E32" s="31">
        <v>166</v>
      </c>
      <c r="F32" s="31">
        <f>VLOOKUP(Таблица1[[#This Row],[Наименование Товара]],ИнформацияТовары!$A$2:$C$9,3,0)</f>
        <v>87</v>
      </c>
      <c r="G32" s="32">
        <f>Таблица1[[#This Row],[Количество]]*Таблица1[[#This Row],[Цена]]</f>
        <v>14442</v>
      </c>
      <c r="H32" s="31"/>
      <c r="I32" s="31"/>
      <c r="J32" s="49">
        <f>Таблица1[[#This Row],[Количество к возврату]]*Таблица1[[#This Row],[Цена]]</f>
        <v>0</v>
      </c>
      <c r="K32" s="59">
        <f>Таблица1[[#This Row],[Стоимость]]-Таблица1[[#This Row],[Стоимость возврата]]</f>
        <v>14442</v>
      </c>
      <c r="L32" s="51">
        <f>Таблица1[[#This Row],[Количество]]-Таблица1[[#This Row],[Количество к возврату]]</f>
        <v>166</v>
      </c>
    </row>
    <row r="33" spans="1:12" x14ac:dyDescent="0.2">
      <c r="A33" s="30">
        <v>42815</v>
      </c>
      <c r="B33" s="31" t="s">
        <v>16</v>
      </c>
      <c r="C33" s="31" t="s">
        <v>4</v>
      </c>
      <c r="D33" s="31" t="s">
        <v>28</v>
      </c>
      <c r="E33" s="31">
        <v>120</v>
      </c>
      <c r="F33" s="31">
        <f>VLOOKUP(Таблица1[[#This Row],[Наименование Товара]],ИнформацияТовары!$A$2:$C$9,3,0)</f>
        <v>87</v>
      </c>
      <c r="G33" s="32">
        <f>Таблица1[[#This Row],[Количество]]*Таблица1[[#This Row],[Цена]]</f>
        <v>10440</v>
      </c>
      <c r="H33" s="31"/>
      <c r="I33" s="31"/>
      <c r="J33" s="49">
        <f>Таблица1[[#This Row],[Количество к возврату]]*Таблица1[[#This Row],[Цена]]</f>
        <v>0</v>
      </c>
      <c r="K33" s="59">
        <f>Таблица1[[#This Row],[Стоимость]]-Таблица1[[#This Row],[Стоимость возврата]]</f>
        <v>10440</v>
      </c>
      <c r="L33" s="51">
        <f>Таблица1[[#This Row],[Количество]]-Таблица1[[#This Row],[Количество к возврату]]</f>
        <v>120</v>
      </c>
    </row>
    <row r="34" spans="1:12" x14ac:dyDescent="0.2">
      <c r="A34" s="30">
        <v>42817</v>
      </c>
      <c r="B34" s="31" t="s">
        <v>17</v>
      </c>
      <c r="C34" s="31" t="s">
        <v>3</v>
      </c>
      <c r="D34" s="31" t="s">
        <v>64</v>
      </c>
      <c r="E34" s="31">
        <v>190</v>
      </c>
      <c r="F34" s="31">
        <f>VLOOKUP(Таблица1[[#This Row],[Наименование Товара]],ИнформацияТовары!$A$2:$C$9,3,0)</f>
        <v>110</v>
      </c>
      <c r="G34" s="32">
        <f>Таблица1[[#This Row],[Количество]]*Таблица1[[#This Row],[Цена]]</f>
        <v>20900</v>
      </c>
      <c r="H34" s="31"/>
      <c r="I34" s="31"/>
      <c r="J34" s="49">
        <f>Таблица1[[#This Row],[Количество к возврату]]*Таблица1[[#This Row],[Цена]]</f>
        <v>0</v>
      </c>
      <c r="K34" s="59">
        <f>Таблица1[[#This Row],[Стоимость]]-Таблица1[[#This Row],[Стоимость возврата]]</f>
        <v>20900</v>
      </c>
      <c r="L34" s="51">
        <f>Таблица1[[#This Row],[Количество]]-Таблица1[[#This Row],[Количество к возврату]]</f>
        <v>190</v>
      </c>
    </row>
    <row r="35" spans="1:12" x14ac:dyDescent="0.2">
      <c r="A35" s="30">
        <v>42818</v>
      </c>
      <c r="B35" s="31" t="s">
        <v>20</v>
      </c>
      <c r="C35" s="31" t="s">
        <v>4</v>
      </c>
      <c r="D35" s="31" t="s">
        <v>64</v>
      </c>
      <c r="E35" s="31">
        <v>210</v>
      </c>
      <c r="F35" s="31">
        <f>VLOOKUP(Таблица1[[#This Row],[Наименование Товара]],ИнформацияТовары!$A$2:$C$9,3,0)</f>
        <v>110</v>
      </c>
      <c r="G35" s="32">
        <f>Таблица1[[#This Row],[Количество]]*Таблица1[[#This Row],[Цена]]</f>
        <v>23100</v>
      </c>
      <c r="H35" s="30">
        <v>42827</v>
      </c>
      <c r="I35" s="31">
        <v>30</v>
      </c>
      <c r="J35" s="49">
        <f>Таблица1[[#This Row],[Количество к возврату]]*Таблица1[[#This Row],[Цена]]</f>
        <v>3300</v>
      </c>
      <c r="K35" s="59">
        <f>Таблица1[[#This Row],[Стоимость]]-Таблица1[[#This Row],[Стоимость возврата]]</f>
        <v>19800</v>
      </c>
      <c r="L35" s="51">
        <f>Таблица1[[#This Row],[Количество]]-Таблица1[[#This Row],[Количество к возврату]]</f>
        <v>180</v>
      </c>
    </row>
    <row r="36" spans="1:12" x14ac:dyDescent="0.2">
      <c r="A36" s="30">
        <v>42821</v>
      </c>
      <c r="B36" s="31" t="s">
        <v>18</v>
      </c>
      <c r="C36" s="31" t="s">
        <v>4</v>
      </c>
      <c r="D36" s="31" t="s">
        <v>7</v>
      </c>
      <c r="E36" s="31">
        <v>160</v>
      </c>
      <c r="F36" s="31">
        <f>VLOOKUP(Таблица1[[#This Row],[Наименование Товара]],ИнформацияТовары!$A$2:$C$9,3,0)</f>
        <v>25</v>
      </c>
      <c r="G36" s="32">
        <f>Таблица1[[#This Row],[Количество]]*Таблица1[[#This Row],[Цена]]</f>
        <v>4000</v>
      </c>
      <c r="H36" s="31"/>
      <c r="I36" s="31"/>
      <c r="J36" s="49">
        <f>Таблица1[[#This Row],[Количество к возврату]]*Таблица1[[#This Row],[Цена]]</f>
        <v>0</v>
      </c>
      <c r="K36" s="59">
        <f>Таблица1[[#This Row],[Стоимость]]-Таблица1[[#This Row],[Стоимость возврата]]</f>
        <v>4000</v>
      </c>
      <c r="L36" s="51">
        <f>Таблица1[[#This Row],[Количество]]-Таблица1[[#This Row],[Количество к возврату]]</f>
        <v>160</v>
      </c>
    </row>
    <row r="37" spans="1:12" x14ac:dyDescent="0.2">
      <c r="A37" s="30">
        <v>42838</v>
      </c>
      <c r="B37" s="31" t="s">
        <v>19</v>
      </c>
      <c r="C37" s="31" t="s">
        <v>4</v>
      </c>
      <c r="D37" s="31" t="s">
        <v>28</v>
      </c>
      <c r="E37" s="31">
        <v>120</v>
      </c>
      <c r="F37" s="31">
        <f>VLOOKUP(Таблица1[[#This Row],[Наименование Товара]],ИнформацияТовары!$A$2:$C$9,3,0)</f>
        <v>87</v>
      </c>
      <c r="G37" s="32">
        <f>Таблица1[[#This Row],[Количество]]*Таблица1[[#This Row],[Цена]]</f>
        <v>10440</v>
      </c>
      <c r="H37" s="31"/>
      <c r="I37" s="31"/>
      <c r="J37" s="49">
        <f>Таблица1[[#This Row],[Количество к возврату]]*Таблица1[[#This Row],[Цена]]</f>
        <v>0</v>
      </c>
      <c r="K37" s="59">
        <f>Таблица1[[#This Row],[Стоимость]]-Таблица1[[#This Row],[Стоимость возврата]]</f>
        <v>10440</v>
      </c>
      <c r="L37" s="51">
        <f>Таблица1[[#This Row],[Количество]]-Таблица1[[#This Row],[Количество к возврату]]</f>
        <v>120</v>
      </c>
    </row>
    <row r="38" spans="1:12" x14ac:dyDescent="0.2">
      <c r="A38" s="30">
        <v>42839</v>
      </c>
      <c r="B38" s="31" t="s">
        <v>18</v>
      </c>
      <c r="C38" s="31" t="s">
        <v>3</v>
      </c>
      <c r="D38" s="31" t="s">
        <v>7</v>
      </c>
      <c r="E38" s="31">
        <v>135</v>
      </c>
      <c r="F38" s="31">
        <f>VLOOKUP(Таблица1[[#This Row],[Наименование Товара]],ИнформацияТовары!$A$2:$C$9,3,0)</f>
        <v>25</v>
      </c>
      <c r="G38" s="32">
        <f>Таблица1[[#This Row],[Количество]]*Таблица1[[#This Row],[Цена]]</f>
        <v>3375</v>
      </c>
      <c r="H38" s="30">
        <v>42848</v>
      </c>
      <c r="I38" s="31">
        <v>48</v>
      </c>
      <c r="J38" s="49">
        <f>Таблица1[[#This Row],[Количество к возврату]]*Таблица1[[#This Row],[Цена]]</f>
        <v>1200</v>
      </c>
      <c r="K38" s="59">
        <f>Таблица1[[#This Row],[Стоимость]]-Таблица1[[#This Row],[Стоимость возврата]]</f>
        <v>2175</v>
      </c>
      <c r="L38" s="51">
        <f>Таблица1[[#This Row],[Количество]]-Таблица1[[#This Row],[Количество к возврату]]</f>
        <v>87</v>
      </c>
    </row>
    <row r="39" spans="1:12" x14ac:dyDescent="0.2">
      <c r="A39" s="30">
        <v>42839</v>
      </c>
      <c r="B39" s="31" t="s">
        <v>17</v>
      </c>
      <c r="C39" s="31" t="s">
        <v>2</v>
      </c>
      <c r="D39" s="31" t="s">
        <v>7</v>
      </c>
      <c r="E39" s="31">
        <v>80</v>
      </c>
      <c r="F39" s="31">
        <f>VLOOKUP(Таблица1[[#This Row],[Наименование Товара]],ИнформацияТовары!$A$2:$C$9,3,0)</f>
        <v>25</v>
      </c>
      <c r="G39" s="32">
        <f>Таблица1[[#This Row],[Количество]]*Таблица1[[#This Row],[Цена]]</f>
        <v>2000</v>
      </c>
      <c r="H39" s="31"/>
      <c r="I39" s="31"/>
      <c r="J39" s="49">
        <f>Таблица1[[#This Row],[Количество к возврату]]*Таблица1[[#This Row],[Цена]]</f>
        <v>0</v>
      </c>
      <c r="K39" s="59">
        <f>Таблица1[[#This Row],[Стоимость]]-Таблица1[[#This Row],[Стоимость возврата]]</f>
        <v>2000</v>
      </c>
      <c r="L39" s="51">
        <f>Таблица1[[#This Row],[Количество]]-Таблица1[[#This Row],[Количество к возврату]]</f>
        <v>80</v>
      </c>
    </row>
    <row r="40" spans="1:12" x14ac:dyDescent="0.2">
      <c r="A40" s="30">
        <v>42843</v>
      </c>
      <c r="B40" s="31" t="s">
        <v>16</v>
      </c>
      <c r="C40" s="31" t="s">
        <v>2</v>
      </c>
      <c r="D40" s="31" t="s">
        <v>64</v>
      </c>
      <c r="E40" s="31">
        <v>80</v>
      </c>
      <c r="F40" s="31">
        <f>VLOOKUP(Таблица1[[#This Row],[Наименование Товара]],ИнформацияТовары!$A$2:$C$9,3,0)</f>
        <v>110</v>
      </c>
      <c r="G40" s="32">
        <f>Таблица1[[#This Row],[Количество]]*Таблица1[[#This Row],[Цена]]</f>
        <v>8800</v>
      </c>
      <c r="H40" s="30">
        <v>42847</v>
      </c>
      <c r="I40" s="31">
        <v>20</v>
      </c>
      <c r="J40" s="49">
        <f>Таблица1[[#This Row],[Количество к возврату]]*Таблица1[[#This Row],[Цена]]</f>
        <v>2200</v>
      </c>
      <c r="K40" s="59">
        <f>Таблица1[[#This Row],[Стоимость]]-Таблица1[[#This Row],[Стоимость возврата]]</f>
        <v>6600</v>
      </c>
      <c r="L40" s="51">
        <f>Таблица1[[#This Row],[Количество]]-Таблица1[[#This Row],[Количество к возврату]]</f>
        <v>60</v>
      </c>
    </row>
    <row r="41" spans="1:12" x14ac:dyDescent="0.2">
      <c r="A41" s="30">
        <v>42842</v>
      </c>
      <c r="B41" s="31" t="s">
        <v>17</v>
      </c>
      <c r="C41" s="31" t="s">
        <v>4</v>
      </c>
      <c r="D41" s="31" t="s">
        <v>9</v>
      </c>
      <c r="E41" s="31">
        <v>150</v>
      </c>
      <c r="F41" s="31">
        <f>VLOOKUP(Таблица1[[#This Row],[Наименование Товара]],ИнформацияТовары!$A$2:$C$9,3,0)</f>
        <v>32</v>
      </c>
      <c r="G41" s="32">
        <f>Таблица1[[#This Row],[Количество]]*Таблица1[[#This Row],[Цена]]</f>
        <v>4800</v>
      </c>
      <c r="H41" s="31"/>
      <c r="I41" s="31"/>
      <c r="J41" s="49">
        <f>Таблица1[[#This Row],[Количество к возврату]]*Таблица1[[#This Row],[Цена]]</f>
        <v>0</v>
      </c>
      <c r="K41" s="59">
        <f>Таблица1[[#This Row],[Стоимость]]-Таблица1[[#This Row],[Стоимость возврата]]</f>
        <v>4800</v>
      </c>
      <c r="L41" s="51">
        <f>Таблица1[[#This Row],[Количество]]-Таблица1[[#This Row],[Количество к возврату]]</f>
        <v>150</v>
      </c>
    </row>
    <row r="42" spans="1:12" x14ac:dyDescent="0.2">
      <c r="A42" s="30">
        <v>42842</v>
      </c>
      <c r="B42" s="31" t="s">
        <v>20</v>
      </c>
      <c r="C42" s="31" t="s">
        <v>3</v>
      </c>
      <c r="D42" s="31" t="s">
        <v>10</v>
      </c>
      <c r="E42" s="31">
        <v>213</v>
      </c>
      <c r="F42" s="31">
        <f>VLOOKUP(Таблица1[[#This Row],[Наименование Товара]],ИнформацияТовары!$A$2:$C$9,3,0)</f>
        <v>45</v>
      </c>
      <c r="G42" s="32">
        <f>Таблица1[[#This Row],[Количество]]*Таблица1[[#This Row],[Цена]]</f>
        <v>9585</v>
      </c>
      <c r="H42" s="31"/>
      <c r="I42" s="31"/>
      <c r="J42" s="49">
        <f>Таблица1[[#This Row],[Количество к возврату]]*Таблица1[[#This Row],[Цена]]</f>
        <v>0</v>
      </c>
      <c r="K42" s="59">
        <f>Таблица1[[#This Row],[Стоимость]]-Таблица1[[#This Row],[Стоимость возврата]]</f>
        <v>9585</v>
      </c>
      <c r="L42" s="51">
        <f>Таблица1[[#This Row],[Количество]]-Таблица1[[#This Row],[Количество к возврату]]</f>
        <v>213</v>
      </c>
    </row>
    <row r="43" spans="1:12" x14ac:dyDescent="0.2">
      <c r="A43" s="30">
        <v>42842</v>
      </c>
      <c r="B43" s="31" t="s">
        <v>16</v>
      </c>
      <c r="C43" s="31" t="s">
        <v>3</v>
      </c>
      <c r="D43" s="31" t="s">
        <v>27</v>
      </c>
      <c r="E43" s="31">
        <v>210</v>
      </c>
      <c r="F43" s="31">
        <f>VLOOKUP(Таблица1[[#This Row],[Наименование Товара]],ИнформацияТовары!$A$2:$C$9,3,0)</f>
        <v>65</v>
      </c>
      <c r="G43" s="32">
        <f>Таблица1[[#This Row],[Количество]]*Таблица1[[#This Row],[Цена]]</f>
        <v>13650</v>
      </c>
      <c r="H43" s="30">
        <v>42850</v>
      </c>
      <c r="I43" s="31">
        <v>40</v>
      </c>
      <c r="J43" s="49">
        <f>Таблица1[[#This Row],[Количество к возврату]]*Таблица1[[#This Row],[Цена]]</f>
        <v>2600</v>
      </c>
      <c r="K43" s="59">
        <f>Таблица1[[#This Row],[Стоимость]]-Таблица1[[#This Row],[Стоимость возврата]]</f>
        <v>11050</v>
      </c>
      <c r="L43" s="51">
        <f>Таблица1[[#This Row],[Количество]]-Таблица1[[#This Row],[Количество к возврату]]</f>
        <v>170</v>
      </c>
    </row>
    <row r="44" spans="1:12" x14ac:dyDescent="0.2">
      <c r="A44" s="30">
        <v>42843</v>
      </c>
      <c r="B44" s="31" t="s">
        <v>16</v>
      </c>
      <c r="C44" s="31" t="s">
        <v>3</v>
      </c>
      <c r="D44" s="31" t="s">
        <v>64</v>
      </c>
      <c r="E44" s="31">
        <v>120</v>
      </c>
      <c r="F44" s="31">
        <f>VLOOKUP(Таблица1[[#This Row],[Наименование Товара]],ИнформацияТовары!$A$2:$C$9,3,0)</f>
        <v>110</v>
      </c>
      <c r="G44" s="32">
        <f>Таблица1[[#This Row],[Количество]]*Таблица1[[#This Row],[Цена]]</f>
        <v>13200</v>
      </c>
      <c r="H44" s="31"/>
      <c r="I44" s="31"/>
      <c r="J44" s="49">
        <f>Таблица1[[#This Row],[Количество к возврату]]*Таблица1[[#This Row],[Цена]]</f>
        <v>0</v>
      </c>
      <c r="K44" s="59">
        <f>Таблица1[[#This Row],[Стоимость]]-Таблица1[[#This Row],[Стоимость возврата]]</f>
        <v>13200</v>
      </c>
      <c r="L44" s="51">
        <f>Таблица1[[#This Row],[Количество]]-Таблица1[[#This Row],[Количество к возврату]]</f>
        <v>120</v>
      </c>
    </row>
    <row r="45" spans="1:12" x14ac:dyDescent="0.2">
      <c r="A45" s="30">
        <v>42844</v>
      </c>
      <c r="B45" s="31" t="s">
        <v>17</v>
      </c>
      <c r="C45" s="31" t="s">
        <v>2</v>
      </c>
      <c r="D45" s="31" t="s">
        <v>27</v>
      </c>
      <c r="E45" s="31">
        <v>100</v>
      </c>
      <c r="F45" s="31">
        <f>VLOOKUP(Таблица1[[#This Row],[Наименование Товара]],ИнформацияТовары!$A$2:$C$9,3,0)</f>
        <v>65</v>
      </c>
      <c r="G45" s="32">
        <f>Таблица1[[#This Row],[Количество]]*Таблица1[[#This Row],[Цена]]</f>
        <v>6500</v>
      </c>
      <c r="H45" s="31"/>
      <c r="I45" s="31"/>
      <c r="J45" s="49">
        <f>Таблица1[[#This Row],[Количество к возврату]]*Таблица1[[#This Row],[Цена]]</f>
        <v>0</v>
      </c>
      <c r="K45" s="59">
        <f>Таблица1[[#This Row],[Стоимость]]-Таблица1[[#This Row],[Стоимость возврата]]</f>
        <v>6500</v>
      </c>
      <c r="L45" s="51">
        <f>Таблица1[[#This Row],[Количество]]-Таблица1[[#This Row],[Количество к возврату]]</f>
        <v>100</v>
      </c>
    </row>
    <row r="46" spans="1:12" x14ac:dyDescent="0.2">
      <c r="A46" s="30">
        <v>42845</v>
      </c>
      <c r="B46" s="31" t="s">
        <v>17</v>
      </c>
      <c r="C46" s="31" t="s">
        <v>4</v>
      </c>
      <c r="D46" s="31" t="s">
        <v>64</v>
      </c>
      <c r="E46" s="31">
        <v>90</v>
      </c>
      <c r="F46" s="31">
        <f>VLOOKUP(Таблица1[[#This Row],[Наименование Товара]],ИнформацияТовары!$A$2:$C$9,3,0)</f>
        <v>110</v>
      </c>
      <c r="G46" s="32">
        <f>Таблица1[[#This Row],[Количество]]*Таблица1[[#This Row],[Цена]]</f>
        <v>9900</v>
      </c>
      <c r="H46" s="31"/>
      <c r="I46" s="31"/>
      <c r="J46" s="49">
        <f>Таблица1[[#This Row],[Количество к возврату]]*Таблица1[[#This Row],[Цена]]</f>
        <v>0</v>
      </c>
      <c r="K46" s="59">
        <f>Таблица1[[#This Row],[Стоимость]]-Таблица1[[#This Row],[Стоимость возврата]]</f>
        <v>9900</v>
      </c>
      <c r="L46" s="51">
        <f>Таблица1[[#This Row],[Количество]]-Таблица1[[#This Row],[Количество к возврату]]</f>
        <v>90</v>
      </c>
    </row>
    <row r="47" spans="1:12" x14ac:dyDescent="0.2">
      <c r="A47" s="30">
        <v>42846</v>
      </c>
      <c r="B47" s="31" t="s">
        <v>18</v>
      </c>
      <c r="C47" s="31" t="s">
        <v>3</v>
      </c>
      <c r="D47" s="31" t="s">
        <v>10</v>
      </c>
      <c r="E47" s="31">
        <v>110</v>
      </c>
      <c r="F47" s="31">
        <f>VLOOKUP(Таблица1[[#This Row],[Наименование Товара]],ИнформацияТовары!$A$2:$C$9,3,0)</f>
        <v>45</v>
      </c>
      <c r="G47" s="32">
        <f>Таблица1[[#This Row],[Количество]]*Таблица1[[#This Row],[Цена]]</f>
        <v>4950</v>
      </c>
      <c r="H47" s="31"/>
      <c r="I47" s="31"/>
      <c r="J47" s="49">
        <f>Таблица1[[#This Row],[Количество к возврату]]*Таблица1[[#This Row],[Цена]]</f>
        <v>0</v>
      </c>
      <c r="K47" s="59">
        <f>Таблица1[[#This Row],[Стоимость]]-Таблица1[[#This Row],[Стоимость возврата]]</f>
        <v>4950</v>
      </c>
      <c r="L47" s="51">
        <f>Таблица1[[#This Row],[Количество]]-Таблица1[[#This Row],[Количество к возврату]]</f>
        <v>110</v>
      </c>
    </row>
    <row r="48" spans="1:12" x14ac:dyDescent="0.2">
      <c r="A48" s="30">
        <v>42845</v>
      </c>
      <c r="B48" s="31" t="s">
        <v>17</v>
      </c>
      <c r="C48" s="31" t="s">
        <v>4</v>
      </c>
      <c r="D48" s="31" t="s">
        <v>64</v>
      </c>
      <c r="E48" s="31">
        <v>100</v>
      </c>
      <c r="F48" s="31">
        <f>VLOOKUP(Таблица1[[#This Row],[Наименование Товара]],ИнформацияТовары!$A$2:$C$9,3,0)</f>
        <v>110</v>
      </c>
      <c r="G48" s="32">
        <f>Таблица1[[#This Row],[Количество]]*Таблица1[[#This Row],[Цена]]</f>
        <v>11000</v>
      </c>
      <c r="H48" s="30">
        <v>42855</v>
      </c>
      <c r="I48" s="31">
        <v>60</v>
      </c>
      <c r="J48" s="49">
        <f>Таблица1[[#This Row],[Количество к возврату]]*Таблица1[[#This Row],[Цена]]</f>
        <v>6600</v>
      </c>
      <c r="K48" s="59">
        <f>Таблица1[[#This Row],[Стоимость]]-Таблица1[[#This Row],[Стоимость возврата]]</f>
        <v>4400</v>
      </c>
      <c r="L48" s="51">
        <f>Таблица1[[#This Row],[Количество]]-Таблица1[[#This Row],[Количество к возврату]]</f>
        <v>40</v>
      </c>
    </row>
    <row r="49" spans="1:12" x14ac:dyDescent="0.2">
      <c r="A49" s="30">
        <v>42846</v>
      </c>
      <c r="B49" s="31" t="s">
        <v>19</v>
      </c>
      <c r="C49" s="31" t="s">
        <v>3</v>
      </c>
      <c r="D49" s="31" t="s">
        <v>27</v>
      </c>
      <c r="E49" s="31">
        <v>310</v>
      </c>
      <c r="F49" s="31">
        <f>VLOOKUP(Таблица1[[#This Row],[Наименование Товара]],ИнформацияТовары!$A$2:$C$9,3,0)</f>
        <v>65</v>
      </c>
      <c r="G49" s="32">
        <f>Таблица1[[#This Row],[Количество]]*Таблица1[[#This Row],[Цена]]</f>
        <v>20150</v>
      </c>
      <c r="H49" s="31"/>
      <c r="I49" s="31"/>
      <c r="J49" s="49">
        <f>Таблица1[[#This Row],[Количество к возврату]]*Таблица1[[#This Row],[Цена]]</f>
        <v>0</v>
      </c>
      <c r="K49" s="59">
        <f>Таблица1[[#This Row],[Стоимость]]-Таблица1[[#This Row],[Стоимость возврата]]</f>
        <v>20150</v>
      </c>
      <c r="L49" s="51">
        <f>Таблица1[[#This Row],[Количество]]-Таблица1[[#This Row],[Количество к возврату]]</f>
        <v>310</v>
      </c>
    </row>
    <row r="50" spans="1:12" x14ac:dyDescent="0.2">
      <c r="A50" s="30">
        <v>42847</v>
      </c>
      <c r="B50" s="31" t="s">
        <v>18</v>
      </c>
      <c r="C50" s="31" t="s">
        <v>4</v>
      </c>
      <c r="D50" s="31" t="s">
        <v>9</v>
      </c>
      <c r="E50" s="31">
        <v>231</v>
      </c>
      <c r="F50" s="31">
        <f>VLOOKUP(Таблица1[[#This Row],[Наименование Товара]],ИнформацияТовары!$A$2:$C$9,3,0)</f>
        <v>32</v>
      </c>
      <c r="G50" s="32">
        <f>Таблица1[[#This Row],[Количество]]*Таблица1[[#This Row],[Цена]]</f>
        <v>7392</v>
      </c>
      <c r="H50" s="31"/>
      <c r="I50" s="31"/>
      <c r="J50" s="49">
        <f>Таблица1[[#This Row],[Количество к возврату]]*Таблица1[[#This Row],[Цена]]</f>
        <v>0</v>
      </c>
      <c r="K50" s="59">
        <f>Таблица1[[#This Row],[Стоимость]]-Таблица1[[#This Row],[Стоимость возврата]]</f>
        <v>7392</v>
      </c>
      <c r="L50" s="51">
        <f>Таблица1[[#This Row],[Количество]]-Таблица1[[#This Row],[Количество к возврату]]</f>
        <v>231</v>
      </c>
    </row>
    <row r="51" spans="1:12" x14ac:dyDescent="0.2">
      <c r="A51" s="30">
        <v>42849</v>
      </c>
      <c r="B51" s="31" t="s">
        <v>17</v>
      </c>
      <c r="C51" s="31" t="s">
        <v>3</v>
      </c>
      <c r="D51" s="31" t="s">
        <v>9</v>
      </c>
      <c r="E51" s="31">
        <v>80</v>
      </c>
      <c r="F51" s="31">
        <f>VLOOKUP(Таблица1[[#This Row],[Наименование Товара]],ИнформацияТовары!$A$2:$C$9,3,0)</f>
        <v>32</v>
      </c>
      <c r="G51" s="32">
        <f>Таблица1[[#This Row],[Количество]]*Таблица1[[#This Row],[Цена]]</f>
        <v>2560</v>
      </c>
      <c r="H51" s="31"/>
      <c r="I51" s="31"/>
      <c r="J51" s="49">
        <f>Таблица1[[#This Row],[Количество к возврату]]*Таблица1[[#This Row],[Цена]]</f>
        <v>0</v>
      </c>
      <c r="K51" s="59">
        <f>Таблица1[[#This Row],[Стоимость]]-Таблица1[[#This Row],[Стоимость возврата]]</f>
        <v>2560</v>
      </c>
      <c r="L51" s="51">
        <f>Таблица1[[#This Row],[Количество]]-Таблица1[[#This Row],[Количество к возврату]]</f>
        <v>80</v>
      </c>
    </row>
    <row r="52" spans="1:12" x14ac:dyDescent="0.2">
      <c r="A52" s="30">
        <v>42849</v>
      </c>
      <c r="B52" s="31" t="s">
        <v>19</v>
      </c>
      <c r="C52" s="31" t="s">
        <v>2</v>
      </c>
      <c r="D52" s="31" t="s">
        <v>9</v>
      </c>
      <c r="E52" s="31">
        <v>60</v>
      </c>
      <c r="F52" s="31">
        <f>VLOOKUP(Таблица1[[#This Row],[Наименование Товара]],ИнформацияТовары!$A$2:$C$9,3,0)</f>
        <v>32</v>
      </c>
      <c r="G52" s="32">
        <f>Таблица1[[#This Row],[Количество]]*Таблица1[[#This Row],[Цена]]</f>
        <v>1920</v>
      </c>
      <c r="H52" s="31"/>
      <c r="I52" s="31"/>
      <c r="J52" s="49">
        <f>Таблица1[[#This Row],[Количество к возврату]]*Таблица1[[#This Row],[Цена]]</f>
        <v>0</v>
      </c>
      <c r="K52" s="59">
        <f>Таблица1[[#This Row],[Стоимость]]-Таблица1[[#This Row],[Стоимость возврата]]</f>
        <v>1920</v>
      </c>
      <c r="L52" s="51">
        <f>Таблица1[[#This Row],[Количество]]-Таблица1[[#This Row],[Количество к возврату]]</f>
        <v>60</v>
      </c>
    </row>
    <row r="53" spans="1:12" x14ac:dyDescent="0.2">
      <c r="A53" s="30">
        <v>42872</v>
      </c>
      <c r="B53" s="31" t="s">
        <v>18</v>
      </c>
      <c r="C53" s="31" t="s">
        <v>2</v>
      </c>
      <c r="D53" s="31" t="s">
        <v>9</v>
      </c>
      <c r="E53" s="31">
        <v>130</v>
      </c>
      <c r="F53" s="31">
        <f>VLOOKUP(Таблица1[[#This Row],[Наименование Товара]],ИнформацияТовары!$A$2:$C$9,3,0)</f>
        <v>32</v>
      </c>
      <c r="G53" s="32">
        <f>Таблица1[[#This Row],[Количество]]*Таблица1[[#This Row],[Цена]]</f>
        <v>4160</v>
      </c>
      <c r="H53" s="30">
        <v>42875</v>
      </c>
      <c r="I53" s="31">
        <v>30</v>
      </c>
      <c r="J53" s="49">
        <f>Таблица1[[#This Row],[Количество к возврату]]*Таблица1[[#This Row],[Цена]]</f>
        <v>960</v>
      </c>
      <c r="K53" s="59">
        <f>Таблица1[[#This Row],[Стоимость]]-Таблица1[[#This Row],[Стоимость возврата]]</f>
        <v>3200</v>
      </c>
      <c r="L53" s="51">
        <f>Таблица1[[#This Row],[Количество]]-Таблица1[[#This Row],[Количество к возврату]]</f>
        <v>100</v>
      </c>
    </row>
    <row r="54" spans="1:12" x14ac:dyDescent="0.2">
      <c r="A54" s="30">
        <v>42880</v>
      </c>
      <c r="B54" s="31" t="s">
        <v>18</v>
      </c>
      <c r="C54" s="31" t="s">
        <v>2</v>
      </c>
      <c r="D54" s="31" t="s">
        <v>7</v>
      </c>
      <c r="E54" s="31">
        <v>56</v>
      </c>
      <c r="F54" s="31">
        <f>VLOOKUP(Таблица1[[#This Row],[Наименование Товара]],ИнформацияТовары!$A$2:$C$9,3,0)</f>
        <v>25</v>
      </c>
      <c r="G54" s="32">
        <f>Таблица1[[#This Row],[Количество]]*Таблица1[[#This Row],[Цена]]</f>
        <v>1400</v>
      </c>
      <c r="H54" s="31"/>
      <c r="I54" s="31"/>
      <c r="J54" s="49">
        <f>Таблица1[[#This Row],[Количество к возврату]]*Таблица1[[#This Row],[Цена]]</f>
        <v>0</v>
      </c>
      <c r="K54" s="59">
        <f>Таблица1[[#This Row],[Стоимость]]-Таблица1[[#This Row],[Стоимость возврата]]</f>
        <v>1400</v>
      </c>
      <c r="L54" s="51">
        <f>Таблица1[[#This Row],[Количество]]-Таблица1[[#This Row],[Количество к возврату]]</f>
        <v>56</v>
      </c>
    </row>
    <row r="55" spans="1:12" x14ac:dyDescent="0.2">
      <c r="A55" s="30">
        <v>42880</v>
      </c>
      <c r="B55" s="31" t="s">
        <v>19</v>
      </c>
      <c r="C55" s="31" t="s">
        <v>4</v>
      </c>
      <c r="D55" s="31" t="s">
        <v>27</v>
      </c>
      <c r="E55" s="31">
        <v>120</v>
      </c>
      <c r="F55" s="31">
        <f>VLOOKUP(Таблица1[[#This Row],[Наименование Товара]],ИнформацияТовары!$A$2:$C$9,3,0)</f>
        <v>65</v>
      </c>
      <c r="G55" s="32">
        <f>Таблица1[[#This Row],[Количество]]*Таблица1[[#This Row],[Цена]]</f>
        <v>7800</v>
      </c>
      <c r="H55" s="30">
        <v>42887</v>
      </c>
      <c r="I55" s="31">
        <v>34</v>
      </c>
      <c r="J55" s="49">
        <f>Таблица1[[#This Row],[Количество к возврату]]*Таблица1[[#This Row],[Цена]]</f>
        <v>2210</v>
      </c>
      <c r="K55" s="59">
        <f>Таблица1[[#This Row],[Стоимость]]-Таблица1[[#This Row],[Стоимость возврата]]</f>
        <v>5590</v>
      </c>
      <c r="L55" s="51">
        <f>Таблица1[[#This Row],[Количество]]-Таблица1[[#This Row],[Количество к возврату]]</f>
        <v>86</v>
      </c>
    </row>
    <row r="56" spans="1:12" x14ac:dyDescent="0.2">
      <c r="A56" s="30">
        <v>42881</v>
      </c>
      <c r="B56" s="31" t="s">
        <v>19</v>
      </c>
      <c r="C56" s="31" t="s">
        <v>4</v>
      </c>
      <c r="D56" s="31" t="s">
        <v>9</v>
      </c>
      <c r="E56" s="31">
        <v>100</v>
      </c>
      <c r="F56" s="31">
        <f>VLOOKUP(Таблица1[[#This Row],[Наименование Товара]],ИнформацияТовары!$A$2:$C$9,3,0)</f>
        <v>32</v>
      </c>
      <c r="G56" s="32">
        <f>Таблица1[[#This Row],[Количество]]*Таблица1[[#This Row],[Цена]]</f>
        <v>3200</v>
      </c>
      <c r="H56" s="31"/>
      <c r="I56" s="31"/>
      <c r="J56" s="49">
        <f>Таблица1[[#This Row],[Количество к возврату]]*Таблица1[[#This Row],[Цена]]</f>
        <v>0</v>
      </c>
      <c r="K56" s="59">
        <f>Таблица1[[#This Row],[Стоимость]]-Таблица1[[#This Row],[Стоимость возврата]]</f>
        <v>3200</v>
      </c>
      <c r="L56" s="51">
        <f>Таблица1[[#This Row],[Количество]]-Таблица1[[#This Row],[Количество к возврату]]</f>
        <v>100</v>
      </c>
    </row>
    <row r="57" spans="1:12" x14ac:dyDescent="0.2">
      <c r="A57" s="30">
        <v>42881</v>
      </c>
      <c r="B57" s="31" t="s">
        <v>18</v>
      </c>
      <c r="C57" s="31" t="s">
        <v>3</v>
      </c>
      <c r="D57" s="31" t="s">
        <v>7</v>
      </c>
      <c r="E57" s="31">
        <v>60</v>
      </c>
      <c r="F57" s="31">
        <f>VLOOKUP(Таблица1[[#This Row],[Наименование Товара]],ИнформацияТовары!$A$2:$C$9,3,0)</f>
        <v>25</v>
      </c>
      <c r="G57" s="32">
        <f>Таблица1[[#This Row],[Количество]]*Таблица1[[#This Row],[Цена]]</f>
        <v>1500</v>
      </c>
      <c r="H57" s="31"/>
      <c r="I57" s="31"/>
      <c r="J57" s="49">
        <f>Таблица1[[#This Row],[Количество к возврату]]*Таблица1[[#This Row],[Цена]]</f>
        <v>0</v>
      </c>
      <c r="K57" s="59">
        <f>Таблица1[[#This Row],[Стоимость]]-Таблица1[[#This Row],[Стоимость возврата]]</f>
        <v>1500</v>
      </c>
      <c r="L57" s="51">
        <f>Таблица1[[#This Row],[Количество]]-Таблица1[[#This Row],[Количество к возврату]]</f>
        <v>60</v>
      </c>
    </row>
    <row r="58" spans="1:12" x14ac:dyDescent="0.2">
      <c r="A58" s="30">
        <v>42882</v>
      </c>
      <c r="B58" s="31" t="s">
        <v>18</v>
      </c>
      <c r="C58" s="31" t="s">
        <v>3</v>
      </c>
      <c r="D58" s="31" t="s">
        <v>9</v>
      </c>
      <c r="E58" s="31">
        <v>200</v>
      </c>
      <c r="F58" s="31">
        <f>VLOOKUP(Таблица1[[#This Row],[Наименование Товара]],ИнформацияТовары!$A$2:$C$9,3,0)</f>
        <v>32</v>
      </c>
      <c r="G58" s="32">
        <f>Таблица1[[#This Row],[Количество]]*Таблица1[[#This Row],[Цена]]</f>
        <v>6400</v>
      </c>
      <c r="H58" s="31"/>
      <c r="I58" s="31"/>
      <c r="J58" s="49">
        <f>Таблица1[[#This Row],[Количество к возврату]]*Таблица1[[#This Row],[Цена]]</f>
        <v>0</v>
      </c>
      <c r="K58" s="59">
        <f>Таблица1[[#This Row],[Стоимость]]-Таблица1[[#This Row],[Стоимость возврата]]</f>
        <v>6400</v>
      </c>
      <c r="L58" s="51">
        <f>Таблица1[[#This Row],[Количество]]-Таблица1[[#This Row],[Количество к возврату]]</f>
        <v>200</v>
      </c>
    </row>
    <row r="59" spans="1:12" x14ac:dyDescent="0.2">
      <c r="A59" s="30">
        <v>42892</v>
      </c>
      <c r="B59" s="31" t="s">
        <v>20</v>
      </c>
      <c r="C59" s="31" t="s">
        <v>3</v>
      </c>
      <c r="D59" s="31" t="s">
        <v>28</v>
      </c>
      <c r="E59" s="31">
        <v>210</v>
      </c>
      <c r="F59" s="31">
        <f>VLOOKUP(Таблица1[[#This Row],[Наименование Товара]],ИнформацияТовары!$A$2:$C$9,3,0)</f>
        <v>87</v>
      </c>
      <c r="G59" s="32">
        <f>Таблица1[[#This Row],[Количество]]*Таблица1[[#This Row],[Цена]]</f>
        <v>18270</v>
      </c>
      <c r="H59" s="30">
        <v>42904</v>
      </c>
      <c r="I59" s="31">
        <v>50</v>
      </c>
      <c r="J59" s="49">
        <f>Таблица1[[#This Row],[Количество к возврату]]*Таблица1[[#This Row],[Цена]]</f>
        <v>4350</v>
      </c>
      <c r="K59" s="59">
        <f>Таблица1[[#This Row],[Стоимость]]-Таблица1[[#This Row],[Стоимость возврата]]</f>
        <v>13920</v>
      </c>
      <c r="L59" s="51">
        <f>Таблица1[[#This Row],[Количество]]-Таблица1[[#This Row],[Количество к возврату]]</f>
        <v>160</v>
      </c>
    </row>
    <row r="60" spans="1:12" x14ac:dyDescent="0.2">
      <c r="A60" s="30">
        <v>42894</v>
      </c>
      <c r="B60" s="31" t="s">
        <v>18</v>
      </c>
      <c r="C60" s="31" t="s">
        <v>2</v>
      </c>
      <c r="D60" s="31" t="s">
        <v>27</v>
      </c>
      <c r="E60" s="31">
        <v>120</v>
      </c>
      <c r="F60" s="31">
        <f>VLOOKUP(Таблица1[[#This Row],[Наименование Товара]],ИнформацияТовары!$A$2:$C$9,3,0)</f>
        <v>65</v>
      </c>
      <c r="G60" s="32">
        <f>Таблица1[[#This Row],[Количество]]*Таблица1[[#This Row],[Цена]]</f>
        <v>7800</v>
      </c>
      <c r="H60" s="31"/>
      <c r="I60" s="31"/>
      <c r="J60" s="49">
        <f>Таблица1[[#This Row],[Количество к возврату]]*Таблица1[[#This Row],[Цена]]</f>
        <v>0</v>
      </c>
      <c r="K60" s="59">
        <f>Таблица1[[#This Row],[Стоимость]]-Таблица1[[#This Row],[Стоимость возврата]]</f>
        <v>7800</v>
      </c>
      <c r="L60" s="51">
        <f>Таблица1[[#This Row],[Количество]]-Таблица1[[#This Row],[Количество к возврату]]</f>
        <v>120</v>
      </c>
    </row>
    <row r="61" spans="1:12" x14ac:dyDescent="0.2">
      <c r="A61" s="30">
        <v>42895</v>
      </c>
      <c r="B61" s="31" t="s">
        <v>19</v>
      </c>
      <c r="C61" s="31" t="s">
        <v>2</v>
      </c>
      <c r="D61" s="31" t="s">
        <v>65</v>
      </c>
      <c r="E61" s="31">
        <v>180</v>
      </c>
      <c r="F61" s="31">
        <f>VLOOKUP(Таблица1[[#This Row],[Наименование Товара]],ИнформацияТовары!$A$2:$C$9,3,0)</f>
        <v>136</v>
      </c>
      <c r="G61" s="32">
        <f>Таблица1[[#This Row],[Количество]]*Таблица1[[#This Row],[Цена]]</f>
        <v>24480</v>
      </c>
      <c r="H61" s="30">
        <v>42914</v>
      </c>
      <c r="I61" s="31">
        <v>80</v>
      </c>
      <c r="J61" s="49">
        <f>Таблица1[[#This Row],[Количество к возврату]]*Таблица1[[#This Row],[Цена]]</f>
        <v>10880</v>
      </c>
      <c r="K61" s="59">
        <f>Таблица1[[#This Row],[Стоимость]]-Таблица1[[#This Row],[Стоимость возврата]]</f>
        <v>13600</v>
      </c>
      <c r="L61" s="51">
        <f>Таблица1[[#This Row],[Количество]]-Таблица1[[#This Row],[Количество к возврату]]</f>
        <v>100</v>
      </c>
    </row>
    <row r="62" spans="1:12" x14ac:dyDescent="0.2">
      <c r="A62" s="30">
        <v>42896</v>
      </c>
      <c r="B62" s="31" t="s">
        <v>19</v>
      </c>
      <c r="C62" s="31" t="s">
        <v>4</v>
      </c>
      <c r="D62" s="31" t="s">
        <v>64</v>
      </c>
      <c r="E62" s="31">
        <v>12</v>
      </c>
      <c r="F62" s="31">
        <f>VLOOKUP(Таблица1[[#This Row],[Наименование Товара]],ИнформацияТовары!$A$2:$C$9,3,0)</f>
        <v>110</v>
      </c>
      <c r="G62" s="32">
        <f>Таблица1[[#This Row],[Количество]]*Таблица1[[#This Row],[Цена]]</f>
        <v>1320</v>
      </c>
      <c r="H62" s="31"/>
      <c r="I62" s="31"/>
      <c r="J62" s="49">
        <f>Таблица1[[#This Row],[Количество к возврату]]*Таблица1[[#This Row],[Цена]]</f>
        <v>0</v>
      </c>
      <c r="K62" s="59">
        <f>Таблица1[[#This Row],[Стоимость]]-Таблица1[[#This Row],[Стоимость возврата]]</f>
        <v>1320</v>
      </c>
      <c r="L62" s="51">
        <f>Таблица1[[#This Row],[Количество]]-Таблица1[[#This Row],[Количество к возврату]]</f>
        <v>12</v>
      </c>
    </row>
    <row r="63" spans="1:12" x14ac:dyDescent="0.2">
      <c r="A63" s="30">
        <v>42899</v>
      </c>
      <c r="B63" s="31" t="s">
        <v>17</v>
      </c>
      <c r="C63" s="31" t="s">
        <v>3</v>
      </c>
      <c r="D63" s="31" t="s">
        <v>28</v>
      </c>
      <c r="E63" s="31">
        <v>160</v>
      </c>
      <c r="F63" s="31">
        <f>VLOOKUP(Таблица1[[#This Row],[Наименование Товара]],ИнформацияТовары!$A$2:$C$9,3,0)</f>
        <v>87</v>
      </c>
      <c r="G63" s="32">
        <f>Таблица1[[#This Row],[Количество]]*Таблица1[[#This Row],[Цена]]</f>
        <v>13920</v>
      </c>
      <c r="H63" s="31"/>
      <c r="I63" s="31"/>
      <c r="J63" s="49">
        <f>Таблица1[[#This Row],[Количество к возврату]]*Таблица1[[#This Row],[Цена]]</f>
        <v>0</v>
      </c>
      <c r="K63" s="59">
        <f>Таблица1[[#This Row],[Стоимость]]-Таблица1[[#This Row],[Стоимость возврата]]</f>
        <v>13920</v>
      </c>
      <c r="L63" s="51">
        <f>Таблица1[[#This Row],[Количество]]-Таблица1[[#This Row],[Количество к возврату]]</f>
        <v>160</v>
      </c>
    </row>
    <row r="64" spans="1:12" x14ac:dyDescent="0.2">
      <c r="A64" s="30">
        <v>42898</v>
      </c>
      <c r="B64" s="31" t="s">
        <v>20</v>
      </c>
      <c r="C64" s="31" t="s">
        <v>3</v>
      </c>
      <c r="D64" s="31" t="s">
        <v>64</v>
      </c>
      <c r="E64" s="31">
        <v>41</v>
      </c>
      <c r="F64" s="31">
        <f>VLOOKUP(Таблица1[[#This Row],[Наименование Товара]],ИнформацияТовары!$A$2:$C$9,3,0)</f>
        <v>110</v>
      </c>
      <c r="G64" s="32">
        <f>Таблица1[[#This Row],[Количество]]*Таблица1[[#This Row],[Цена]]</f>
        <v>4510</v>
      </c>
      <c r="H64" s="31"/>
      <c r="I64" s="31"/>
      <c r="J64" s="49">
        <f>Таблица1[[#This Row],[Количество к возврату]]*Таблица1[[#This Row],[Цена]]</f>
        <v>0</v>
      </c>
      <c r="K64" s="59">
        <f>Таблица1[[#This Row],[Стоимость]]-Таблица1[[#This Row],[Стоимость возврата]]</f>
        <v>4510</v>
      </c>
      <c r="L64" s="51">
        <f>Таблица1[[#This Row],[Количество]]-Таблица1[[#This Row],[Количество к возврату]]</f>
        <v>41</v>
      </c>
    </row>
    <row r="65" spans="1:12" x14ac:dyDescent="0.2">
      <c r="A65" s="30">
        <v>42899</v>
      </c>
      <c r="B65" s="31" t="s">
        <v>17</v>
      </c>
      <c r="C65" s="31" t="s">
        <v>3</v>
      </c>
      <c r="D65" s="31" t="s">
        <v>65</v>
      </c>
      <c r="E65" s="31">
        <v>20</v>
      </c>
      <c r="F65" s="31">
        <f>VLOOKUP(Таблица1[[#This Row],[Наименование Товара]],ИнформацияТовары!$A$2:$C$9,3,0)</f>
        <v>136</v>
      </c>
      <c r="G65" s="32">
        <f>Таблица1[[#This Row],[Количество]]*Таблица1[[#This Row],[Цена]]</f>
        <v>2720</v>
      </c>
      <c r="H65" s="31"/>
      <c r="I65" s="31"/>
      <c r="J65" s="49">
        <f>Таблица1[[#This Row],[Количество к возврату]]*Таблица1[[#This Row],[Цена]]</f>
        <v>0</v>
      </c>
      <c r="K65" s="59">
        <f>Таблица1[[#This Row],[Стоимость]]-Таблица1[[#This Row],[Стоимость возврата]]</f>
        <v>2720</v>
      </c>
      <c r="L65" s="51">
        <f>Таблица1[[#This Row],[Количество]]-Таблица1[[#This Row],[Количество к возврату]]</f>
        <v>20</v>
      </c>
    </row>
    <row r="66" spans="1:12" x14ac:dyDescent="0.2">
      <c r="A66" s="30">
        <v>42901</v>
      </c>
      <c r="B66" s="31" t="s">
        <v>20</v>
      </c>
      <c r="C66" s="31" t="s">
        <v>2</v>
      </c>
      <c r="D66" s="31" t="s">
        <v>7</v>
      </c>
      <c r="E66" s="31">
        <v>100</v>
      </c>
      <c r="F66" s="31">
        <f>VLOOKUP(Таблица1[[#This Row],[Наименование Товара]],ИнформацияТовары!$A$2:$C$9,3,0)</f>
        <v>25</v>
      </c>
      <c r="G66" s="32">
        <f>Таблица1[[#This Row],[Количество]]*Таблица1[[#This Row],[Цена]]</f>
        <v>2500</v>
      </c>
      <c r="H66" s="30">
        <v>42917</v>
      </c>
      <c r="I66" s="31">
        <v>12</v>
      </c>
      <c r="J66" s="49">
        <f>Таблица1[[#This Row],[Количество к возврату]]*Таблица1[[#This Row],[Цена]]</f>
        <v>300</v>
      </c>
      <c r="K66" s="59">
        <f>Таблица1[[#This Row],[Стоимость]]-Таблица1[[#This Row],[Стоимость возврата]]</f>
        <v>2200</v>
      </c>
      <c r="L66" s="51">
        <f>Таблица1[[#This Row],[Количество]]-Таблица1[[#This Row],[Количество к возврату]]</f>
        <v>88</v>
      </c>
    </row>
    <row r="67" spans="1:12" x14ac:dyDescent="0.2">
      <c r="A67" s="30">
        <v>42901</v>
      </c>
      <c r="B67" s="31" t="s">
        <v>19</v>
      </c>
      <c r="C67" s="31" t="s">
        <v>2</v>
      </c>
      <c r="D67" s="31" t="s">
        <v>9</v>
      </c>
      <c r="E67" s="31">
        <v>210</v>
      </c>
      <c r="F67" s="31">
        <f>VLOOKUP(Таблица1[[#This Row],[Наименование Товара]],ИнформацияТовары!$A$2:$C$9,3,0)</f>
        <v>32</v>
      </c>
      <c r="G67" s="32">
        <f>Таблица1[[#This Row],[Количество]]*Таблица1[[#This Row],[Цена]]</f>
        <v>6720</v>
      </c>
      <c r="H67" s="30">
        <v>42912</v>
      </c>
      <c r="I67" s="31">
        <v>80</v>
      </c>
      <c r="J67" s="49">
        <f>Таблица1[[#This Row],[Количество к возврату]]*Таблица1[[#This Row],[Цена]]</f>
        <v>2560</v>
      </c>
      <c r="K67" s="59">
        <f>Таблица1[[#This Row],[Стоимость]]-Таблица1[[#This Row],[Стоимость возврата]]</f>
        <v>4160</v>
      </c>
      <c r="L67" s="51">
        <f>Таблица1[[#This Row],[Количество]]-Таблица1[[#This Row],[Количество к возврату]]</f>
        <v>130</v>
      </c>
    </row>
    <row r="68" spans="1:12" x14ac:dyDescent="0.2">
      <c r="A68" s="30">
        <v>42931</v>
      </c>
      <c r="B68" s="31" t="s">
        <v>18</v>
      </c>
      <c r="C68" s="31" t="s">
        <v>2</v>
      </c>
      <c r="D68" s="31" t="s">
        <v>9</v>
      </c>
      <c r="E68" s="31">
        <v>100</v>
      </c>
      <c r="F68" s="31">
        <f>VLOOKUP(Таблица1[[#This Row],[Наименование Товара]],ИнформацияТовары!$A$2:$C$9,3,0)</f>
        <v>32</v>
      </c>
      <c r="G68" s="32">
        <f>Таблица1[[#This Row],[Количество]]*Таблица1[[#This Row],[Цена]]</f>
        <v>3200</v>
      </c>
      <c r="H68" s="31"/>
      <c r="I68" s="31"/>
      <c r="J68" s="49">
        <f>Таблица1[[#This Row],[Количество к возврату]]*Таблица1[[#This Row],[Цена]]</f>
        <v>0</v>
      </c>
      <c r="K68" s="59">
        <f>Таблица1[[#This Row],[Стоимость]]-Таблица1[[#This Row],[Стоимость возврата]]</f>
        <v>3200</v>
      </c>
      <c r="L68" s="51">
        <f>Таблица1[[#This Row],[Количество]]-Таблица1[[#This Row],[Количество к возврату]]</f>
        <v>100</v>
      </c>
    </row>
    <row r="69" spans="1:12" x14ac:dyDescent="0.2">
      <c r="A69" s="30">
        <v>42932</v>
      </c>
      <c r="B69" s="31" t="s">
        <v>19</v>
      </c>
      <c r="C69" s="31" t="s">
        <v>4</v>
      </c>
      <c r="D69" s="25" t="s">
        <v>26</v>
      </c>
      <c r="E69" s="31">
        <v>40</v>
      </c>
      <c r="F69" s="31">
        <f>VLOOKUP(Таблица1[[#This Row],[Наименование Товара]],ИнформацияТовары!$A$2:$C$9,3,0)</f>
        <v>54</v>
      </c>
      <c r="G69" s="32">
        <f>Таблица1[[#This Row],[Количество]]*Таблица1[[#This Row],[Цена]]</f>
        <v>2160</v>
      </c>
      <c r="H69" s="31"/>
      <c r="I69" s="31"/>
      <c r="J69" s="49">
        <f>Таблица1[[#This Row],[Количество к возврату]]*Таблица1[[#This Row],[Цена]]</f>
        <v>0</v>
      </c>
      <c r="K69" s="59">
        <f>Таблица1[[#This Row],[Стоимость]]-Таблица1[[#This Row],[Стоимость возврата]]</f>
        <v>2160</v>
      </c>
      <c r="L69" s="51">
        <f>Таблица1[[#This Row],[Количество]]-Таблица1[[#This Row],[Количество к возврату]]</f>
        <v>40</v>
      </c>
    </row>
    <row r="70" spans="1:12" x14ac:dyDescent="0.2">
      <c r="A70" s="30">
        <v>42933</v>
      </c>
      <c r="B70" s="31" t="s">
        <v>18</v>
      </c>
      <c r="C70" s="31" t="s">
        <v>3</v>
      </c>
      <c r="D70" s="31" t="s">
        <v>28</v>
      </c>
      <c r="E70" s="31">
        <v>60</v>
      </c>
      <c r="F70" s="31">
        <f>VLOOKUP(Таблица1[[#This Row],[Наименование Товара]],ИнформацияТовары!$A$2:$C$9,3,0)</f>
        <v>87</v>
      </c>
      <c r="G70" s="32">
        <f>Таблица1[[#This Row],[Количество]]*Таблица1[[#This Row],[Цена]]</f>
        <v>5220</v>
      </c>
      <c r="H70" s="31"/>
      <c r="I70" s="31"/>
      <c r="J70" s="49">
        <f>Таблица1[[#This Row],[Количество к возврату]]*Таблица1[[#This Row],[Цена]]</f>
        <v>0</v>
      </c>
      <c r="K70" s="59">
        <f>Таблица1[[#This Row],[Стоимость]]-Таблица1[[#This Row],[Стоимость возврата]]</f>
        <v>5220</v>
      </c>
      <c r="L70" s="51">
        <f>Таблица1[[#This Row],[Количество]]-Таблица1[[#This Row],[Количество к возврату]]</f>
        <v>60</v>
      </c>
    </row>
    <row r="71" spans="1:12" x14ac:dyDescent="0.2">
      <c r="A71" s="30">
        <v>42934</v>
      </c>
      <c r="B71" s="31" t="s">
        <v>17</v>
      </c>
      <c r="C71" s="31" t="s">
        <v>3</v>
      </c>
      <c r="D71" s="31" t="s">
        <v>64</v>
      </c>
      <c r="E71" s="31">
        <v>90</v>
      </c>
      <c r="F71" s="31">
        <f>VLOOKUP(Таблица1[[#This Row],[Наименование Товара]],ИнформацияТовары!$A$2:$C$9,3,0)</f>
        <v>110</v>
      </c>
      <c r="G71" s="32">
        <f>Таблица1[[#This Row],[Количество]]*Таблица1[[#This Row],[Цена]]</f>
        <v>9900</v>
      </c>
      <c r="H71" s="30">
        <v>42936</v>
      </c>
      <c r="I71" s="31">
        <v>10</v>
      </c>
      <c r="J71" s="49">
        <f>Таблица1[[#This Row],[Количество к возврату]]*Таблица1[[#This Row],[Цена]]</f>
        <v>1100</v>
      </c>
      <c r="K71" s="59">
        <f>Таблица1[[#This Row],[Стоимость]]-Таблица1[[#This Row],[Стоимость возврата]]</f>
        <v>8800</v>
      </c>
      <c r="L71" s="51">
        <f>Таблица1[[#This Row],[Количество]]-Таблица1[[#This Row],[Количество к возврату]]</f>
        <v>80</v>
      </c>
    </row>
    <row r="72" spans="1:12" x14ac:dyDescent="0.2">
      <c r="A72" s="30">
        <v>42935</v>
      </c>
      <c r="B72" s="31" t="s">
        <v>20</v>
      </c>
      <c r="C72" s="31" t="s">
        <v>3</v>
      </c>
      <c r="D72" s="31" t="s">
        <v>65</v>
      </c>
      <c r="E72" s="31">
        <v>100</v>
      </c>
      <c r="F72" s="31">
        <f>VLOOKUP(Таблица1[[#This Row],[Наименование Товара]],ИнформацияТовары!$A$2:$C$9,3,0)</f>
        <v>136</v>
      </c>
      <c r="G72" s="32">
        <f>Таблица1[[#This Row],[Количество]]*Таблица1[[#This Row],[Цена]]</f>
        <v>13600</v>
      </c>
      <c r="H72" s="31"/>
      <c r="I72" s="31"/>
      <c r="J72" s="49">
        <f>Таблица1[[#This Row],[Количество к возврату]]*Таблица1[[#This Row],[Цена]]</f>
        <v>0</v>
      </c>
      <c r="K72" s="59">
        <f>Таблица1[[#This Row],[Стоимость]]-Таблица1[[#This Row],[Стоимость возврата]]</f>
        <v>13600</v>
      </c>
      <c r="L72" s="51">
        <f>Таблица1[[#This Row],[Количество]]-Таблица1[[#This Row],[Количество к возврату]]</f>
        <v>100</v>
      </c>
    </row>
    <row r="73" spans="1:12" x14ac:dyDescent="0.2">
      <c r="A73" s="30">
        <v>42936</v>
      </c>
      <c r="B73" s="31" t="s">
        <v>17</v>
      </c>
      <c r="C73" s="31" t="s">
        <v>2</v>
      </c>
      <c r="D73" s="31" t="s">
        <v>10</v>
      </c>
      <c r="E73" s="31">
        <v>80</v>
      </c>
      <c r="F73" s="31">
        <f>VLOOKUP(Таблица1[[#This Row],[Наименование Товара]],ИнформацияТовары!$A$2:$C$9,3,0)</f>
        <v>45</v>
      </c>
      <c r="G73" s="32">
        <f>Таблица1[[#This Row],[Количество]]*Таблица1[[#This Row],[Цена]]</f>
        <v>3600</v>
      </c>
      <c r="H73" s="31"/>
      <c r="I73" s="31"/>
      <c r="J73" s="49">
        <f>Таблица1[[#This Row],[Количество к возврату]]*Таблица1[[#This Row],[Цена]]</f>
        <v>0</v>
      </c>
      <c r="K73" s="59">
        <f>Таблица1[[#This Row],[Стоимость]]-Таблица1[[#This Row],[Стоимость возврата]]</f>
        <v>3600</v>
      </c>
      <c r="L73" s="51">
        <f>Таблица1[[#This Row],[Количество]]-Таблица1[[#This Row],[Количество к возврату]]</f>
        <v>80</v>
      </c>
    </row>
    <row r="74" spans="1:12" x14ac:dyDescent="0.2">
      <c r="A74" s="30">
        <v>42937</v>
      </c>
      <c r="B74" s="31" t="s">
        <v>20</v>
      </c>
      <c r="C74" s="31" t="s">
        <v>2</v>
      </c>
      <c r="D74" s="25" t="s">
        <v>7</v>
      </c>
      <c r="E74" s="31">
        <v>90</v>
      </c>
      <c r="F74" s="31">
        <f>VLOOKUP(Таблица1[[#This Row],[Наименование Товара]],ИнформацияТовары!$A$2:$C$9,3,0)</f>
        <v>25</v>
      </c>
      <c r="G74" s="32">
        <f>Таблица1[[#This Row],[Количество]]*Таблица1[[#This Row],[Цена]]</f>
        <v>2250</v>
      </c>
      <c r="H74" s="31"/>
      <c r="I74" s="31"/>
      <c r="J74" s="49">
        <f>Таблица1[[#This Row],[Количество к возврату]]*Таблица1[[#This Row],[Цена]]</f>
        <v>0</v>
      </c>
      <c r="K74" s="59">
        <f>Таблица1[[#This Row],[Стоимость]]-Таблица1[[#This Row],[Стоимость возврата]]</f>
        <v>2250</v>
      </c>
      <c r="L74" s="51">
        <f>Таблица1[[#This Row],[Количество]]-Таблица1[[#This Row],[Количество к возврату]]</f>
        <v>90</v>
      </c>
    </row>
    <row r="75" spans="1:12" x14ac:dyDescent="0.2">
      <c r="A75" s="30">
        <v>42938</v>
      </c>
      <c r="B75" s="31" t="s">
        <v>19</v>
      </c>
      <c r="C75" s="31" t="s">
        <v>2</v>
      </c>
      <c r="D75" s="25" t="s">
        <v>9</v>
      </c>
      <c r="E75" s="31">
        <v>56</v>
      </c>
      <c r="F75" s="31">
        <f>VLOOKUP(Таблица1[[#This Row],[Наименование Товара]],ИнформацияТовары!$A$2:$C$9,3,0)</f>
        <v>32</v>
      </c>
      <c r="G75" s="32">
        <f>Таблица1[[#This Row],[Количество]]*Таблица1[[#This Row],[Цена]]</f>
        <v>1792</v>
      </c>
      <c r="H75" s="31"/>
      <c r="I75" s="31"/>
      <c r="J75" s="49">
        <f>Таблица1[[#This Row],[Количество к возврату]]*Таблица1[[#This Row],[Цена]]</f>
        <v>0</v>
      </c>
      <c r="K75" s="59">
        <f>Таблица1[[#This Row],[Стоимость]]-Таблица1[[#This Row],[Стоимость возврата]]</f>
        <v>1792</v>
      </c>
      <c r="L75" s="51">
        <f>Таблица1[[#This Row],[Количество]]-Таблица1[[#This Row],[Количество к возврату]]</f>
        <v>56</v>
      </c>
    </row>
    <row r="76" spans="1:12" x14ac:dyDescent="0.2">
      <c r="A76" s="30">
        <v>42939</v>
      </c>
      <c r="B76" s="31" t="s">
        <v>18</v>
      </c>
      <c r="C76" s="31" t="s">
        <v>4</v>
      </c>
      <c r="D76" s="25" t="s">
        <v>10</v>
      </c>
      <c r="E76" s="31">
        <v>120</v>
      </c>
      <c r="F76" s="31">
        <f>VLOOKUP(Таблица1[[#This Row],[Наименование Товара]],ИнформацияТовары!$A$2:$C$9,3,0)</f>
        <v>45</v>
      </c>
      <c r="G76" s="32">
        <f>Таблица1[[#This Row],[Количество]]*Таблица1[[#This Row],[Цена]]</f>
        <v>5400</v>
      </c>
      <c r="H76" s="30">
        <v>42943</v>
      </c>
      <c r="I76" s="31">
        <v>40</v>
      </c>
      <c r="J76" s="49">
        <f>Таблица1[[#This Row],[Количество к возврату]]*Таблица1[[#This Row],[Цена]]</f>
        <v>1800</v>
      </c>
      <c r="K76" s="59">
        <f>Таблица1[[#This Row],[Стоимость]]-Таблица1[[#This Row],[Стоимость возврата]]</f>
        <v>3600</v>
      </c>
      <c r="L76" s="51">
        <f>Таблица1[[#This Row],[Количество]]-Таблица1[[#This Row],[Количество к возврату]]</f>
        <v>80</v>
      </c>
    </row>
    <row r="77" spans="1:12" x14ac:dyDescent="0.2">
      <c r="A77" s="30">
        <v>42940</v>
      </c>
      <c r="B77" s="31" t="s">
        <v>19</v>
      </c>
      <c r="C77" s="31" t="s">
        <v>3</v>
      </c>
      <c r="D77" s="25" t="s">
        <v>26</v>
      </c>
      <c r="E77" s="31">
        <v>80</v>
      </c>
      <c r="F77" s="31">
        <f>VLOOKUP(Таблица1[[#This Row],[Наименование Товара]],ИнформацияТовары!$A$2:$C$9,3,0)</f>
        <v>54</v>
      </c>
      <c r="G77" s="32">
        <f>Таблица1[[#This Row],[Количество]]*Таблица1[[#This Row],[Цена]]</f>
        <v>4320</v>
      </c>
      <c r="H77" s="31"/>
      <c r="I77" s="31"/>
      <c r="J77" s="49">
        <f>Таблица1[[#This Row],[Количество к возврату]]*Таблица1[[#This Row],[Цена]]</f>
        <v>0</v>
      </c>
      <c r="K77" s="59">
        <f>Таблица1[[#This Row],[Стоимость]]-Таблица1[[#This Row],[Стоимость возврата]]</f>
        <v>4320</v>
      </c>
      <c r="L77" s="51">
        <f>Таблица1[[#This Row],[Количество]]-Таблица1[[#This Row],[Количество к возврату]]</f>
        <v>80</v>
      </c>
    </row>
    <row r="78" spans="1:12" x14ac:dyDescent="0.2">
      <c r="A78" s="30">
        <v>42940</v>
      </c>
      <c r="B78" s="31" t="s">
        <v>19</v>
      </c>
      <c r="C78" s="31" t="s">
        <v>3</v>
      </c>
      <c r="D78" s="25" t="s">
        <v>26</v>
      </c>
      <c r="E78" s="31">
        <v>80</v>
      </c>
      <c r="F78" s="31">
        <f>VLOOKUP(Таблица1[[#This Row],[Наименование Товара]],ИнформацияТовары!$A$2:$C$9,3,0)</f>
        <v>54</v>
      </c>
      <c r="G78" s="32">
        <f>Таблица1[[#This Row],[Количество]]*Таблица1[[#This Row],[Цена]]</f>
        <v>4320</v>
      </c>
      <c r="H78" s="31"/>
      <c r="I78" s="31"/>
      <c r="J78" s="49">
        <f>Таблица1[[#This Row],[Количество к возврату]]*Таблица1[[#This Row],[Цена]]</f>
        <v>0</v>
      </c>
      <c r="K78" s="59">
        <f>Таблица1[[#This Row],[Стоимость]]-Таблица1[[#This Row],[Стоимость возврата]]</f>
        <v>4320</v>
      </c>
      <c r="L78" s="51">
        <f>Таблица1[[#This Row],[Количество]]-Таблица1[[#This Row],[Количество к возврату]]</f>
        <v>80</v>
      </c>
    </row>
    <row r="79" spans="1:12" x14ac:dyDescent="0.2">
      <c r="A79" s="30">
        <v>42941</v>
      </c>
      <c r="B79" s="31" t="s">
        <v>18</v>
      </c>
      <c r="C79" s="31" t="s">
        <v>3</v>
      </c>
      <c r="D79" s="25" t="s">
        <v>27</v>
      </c>
      <c r="E79" s="31">
        <v>40</v>
      </c>
      <c r="F79" s="31">
        <f>VLOOKUP(Таблица1[[#This Row],[Наименование Товара]],ИнформацияТовары!$A$2:$C$9,3,0)</f>
        <v>65</v>
      </c>
      <c r="G79" s="32">
        <f>Таблица1[[#This Row],[Количество]]*Таблица1[[#This Row],[Цена]]</f>
        <v>2600</v>
      </c>
      <c r="H79" s="31"/>
      <c r="I79" s="31"/>
      <c r="J79" s="49">
        <f>Таблица1[[#This Row],[Количество к возврату]]*Таблица1[[#This Row],[Цена]]</f>
        <v>0</v>
      </c>
      <c r="K79" s="59">
        <f>Таблица1[[#This Row],[Стоимость]]-Таблица1[[#This Row],[Стоимость возврата]]</f>
        <v>2600</v>
      </c>
      <c r="L79" s="51">
        <f>Таблица1[[#This Row],[Количество]]-Таблица1[[#This Row],[Количество к возврату]]</f>
        <v>40</v>
      </c>
    </row>
    <row r="80" spans="1:12" x14ac:dyDescent="0.2">
      <c r="A80" s="30">
        <v>42941</v>
      </c>
      <c r="B80" s="31" t="s">
        <v>18</v>
      </c>
      <c r="C80" s="31" t="s">
        <v>3</v>
      </c>
      <c r="D80" s="25" t="s">
        <v>27</v>
      </c>
      <c r="E80" s="31">
        <v>40</v>
      </c>
      <c r="F80" s="31">
        <f>VLOOKUP(Таблица1[[#This Row],[Наименование Товара]],ИнформацияТовары!$A$2:$C$9,3,0)</f>
        <v>65</v>
      </c>
      <c r="G80" s="32">
        <f>Таблица1[[#This Row],[Количество]]*Таблица1[[#This Row],[Цена]]</f>
        <v>2600</v>
      </c>
      <c r="H80" s="31"/>
      <c r="I80" s="31"/>
      <c r="J80" s="49">
        <f>Таблица1[[#This Row],[Количество к возврату]]*Таблица1[[#This Row],[Цена]]</f>
        <v>0</v>
      </c>
      <c r="K80" s="59">
        <f>Таблица1[[#This Row],[Стоимость]]-Таблица1[[#This Row],[Стоимость возврата]]</f>
        <v>2600</v>
      </c>
      <c r="L80" s="51">
        <f>Таблица1[[#This Row],[Количество]]-Таблица1[[#This Row],[Количество к возврату]]</f>
        <v>40</v>
      </c>
    </row>
    <row r="81" spans="1:12" x14ac:dyDescent="0.2">
      <c r="A81" s="30">
        <v>42942</v>
      </c>
      <c r="B81" s="31" t="s">
        <v>17</v>
      </c>
      <c r="C81" s="31" t="s">
        <v>3</v>
      </c>
      <c r="D81" s="31" t="s">
        <v>28</v>
      </c>
      <c r="E81" s="31">
        <v>70</v>
      </c>
      <c r="F81" s="31">
        <f>VLOOKUP(Таблица1[[#This Row],[Наименование Товара]],ИнформацияТовары!$A$2:$C$9,3,0)</f>
        <v>87</v>
      </c>
      <c r="G81" s="32">
        <f>Таблица1[[#This Row],[Количество]]*Таблица1[[#This Row],[Цена]]</f>
        <v>6090</v>
      </c>
      <c r="H81" s="30">
        <v>42948</v>
      </c>
      <c r="I81" s="31">
        <v>10</v>
      </c>
      <c r="J81" s="49">
        <f>Таблица1[[#This Row],[Количество к возврату]]*Таблица1[[#This Row],[Цена]]</f>
        <v>870</v>
      </c>
      <c r="K81" s="59">
        <f>Таблица1[[#This Row],[Стоимость]]-Таблица1[[#This Row],[Стоимость возврата]]</f>
        <v>5220</v>
      </c>
      <c r="L81" s="51">
        <f>Таблица1[[#This Row],[Количество]]-Таблица1[[#This Row],[Количество к возврату]]</f>
        <v>60</v>
      </c>
    </row>
    <row r="82" spans="1:12" x14ac:dyDescent="0.2">
      <c r="A82" s="30">
        <v>42942</v>
      </c>
      <c r="B82" s="31" t="s">
        <v>17</v>
      </c>
      <c r="C82" s="31" t="s">
        <v>3</v>
      </c>
      <c r="D82" s="31" t="s">
        <v>28</v>
      </c>
      <c r="E82" s="31">
        <v>70</v>
      </c>
      <c r="F82" s="31">
        <f>VLOOKUP(Таблица1[[#This Row],[Наименование Товара]],ИнформацияТовары!$A$2:$C$9,3,0)</f>
        <v>87</v>
      </c>
      <c r="G82" s="32">
        <f>Таблица1[[#This Row],[Количество]]*Таблица1[[#This Row],[Цена]]</f>
        <v>6090</v>
      </c>
      <c r="H82" s="31"/>
      <c r="I82" s="31"/>
      <c r="J82" s="49">
        <f>Таблица1[[#This Row],[Количество к возврату]]*Таблица1[[#This Row],[Цена]]</f>
        <v>0</v>
      </c>
      <c r="K82" s="59">
        <f>Таблица1[[#This Row],[Стоимость]]-Таблица1[[#This Row],[Стоимость возврата]]</f>
        <v>6090</v>
      </c>
      <c r="L82" s="51">
        <f>Таблица1[[#This Row],[Количество]]-Таблица1[[#This Row],[Количество к возврату]]</f>
        <v>70</v>
      </c>
    </row>
    <row r="83" spans="1:12" x14ac:dyDescent="0.2">
      <c r="A83" s="30">
        <v>42943</v>
      </c>
      <c r="B83" s="31" t="s">
        <v>20</v>
      </c>
      <c r="C83" s="31" t="s">
        <v>2</v>
      </c>
      <c r="D83" s="25" t="s">
        <v>64</v>
      </c>
      <c r="E83" s="31">
        <v>170</v>
      </c>
      <c r="F83" s="31">
        <f>VLOOKUP(Таблица1[[#This Row],[Наименование Товара]],ИнформацияТовары!$A$2:$C$9,3,0)</f>
        <v>110</v>
      </c>
      <c r="G83" s="32">
        <f>Таблица1[[#This Row],[Количество]]*Таблица1[[#This Row],[Цена]]</f>
        <v>18700</v>
      </c>
      <c r="H83" s="30">
        <v>41850</v>
      </c>
      <c r="I83" s="31">
        <v>40</v>
      </c>
      <c r="J83" s="49">
        <f>Таблица1[[#This Row],[Количество к возврату]]*Таблица1[[#This Row],[Цена]]</f>
        <v>4400</v>
      </c>
      <c r="K83" s="59">
        <f>Таблица1[[#This Row],[Стоимость]]-Таблица1[[#This Row],[Стоимость возврата]]</f>
        <v>14300</v>
      </c>
      <c r="L83" s="51">
        <f>Таблица1[[#This Row],[Количество]]-Таблица1[[#This Row],[Количество к возврату]]</f>
        <v>130</v>
      </c>
    </row>
    <row r="84" spans="1:12" x14ac:dyDescent="0.2">
      <c r="A84" s="30">
        <v>42943</v>
      </c>
      <c r="B84" s="31" t="s">
        <v>20</v>
      </c>
      <c r="C84" s="31" t="s">
        <v>2</v>
      </c>
      <c r="D84" s="25" t="s">
        <v>64</v>
      </c>
      <c r="E84" s="31">
        <v>170</v>
      </c>
      <c r="F84" s="31">
        <f>VLOOKUP(Таблица1[[#This Row],[Наименование Товара]],ИнформацияТовары!$A$2:$C$9,3,0)</f>
        <v>110</v>
      </c>
      <c r="G84" s="32">
        <f>Таблица1[[#This Row],[Количество]]*Таблица1[[#This Row],[Цена]]</f>
        <v>18700</v>
      </c>
      <c r="H84" s="31"/>
      <c r="I84" s="31"/>
      <c r="J84" s="49">
        <f>Таблица1[[#This Row],[Количество к возврату]]*Таблица1[[#This Row],[Цена]]</f>
        <v>0</v>
      </c>
      <c r="K84" s="59">
        <f>Таблица1[[#This Row],[Стоимость]]-Таблица1[[#This Row],[Стоимость возврата]]</f>
        <v>18700</v>
      </c>
      <c r="L84" s="51">
        <f>Таблица1[[#This Row],[Количество]]-Таблица1[[#This Row],[Количество к возврату]]</f>
        <v>170</v>
      </c>
    </row>
    <row r="85" spans="1:12" x14ac:dyDescent="0.2">
      <c r="A85" s="30">
        <v>42944</v>
      </c>
      <c r="B85" s="31" t="s">
        <v>17</v>
      </c>
      <c r="C85" s="31" t="s">
        <v>2</v>
      </c>
      <c r="D85" s="25" t="s">
        <v>65</v>
      </c>
      <c r="E85" s="31">
        <v>49</v>
      </c>
      <c r="F85" s="31">
        <f>VLOOKUP(Таблица1[[#This Row],[Наименование Товара]],ИнформацияТовары!$A$2:$C$9,3,0)</f>
        <v>136</v>
      </c>
      <c r="G85" s="32">
        <f>Таблица1[[#This Row],[Количество]]*Таблица1[[#This Row],[Цена]]</f>
        <v>6664</v>
      </c>
      <c r="H85" s="31"/>
      <c r="I85" s="31"/>
      <c r="J85" s="49">
        <f>Таблица1[[#This Row],[Количество к возврату]]*Таблица1[[#This Row],[Цена]]</f>
        <v>0</v>
      </c>
      <c r="K85" s="59">
        <f>Таблица1[[#This Row],[Стоимость]]-Таблица1[[#This Row],[Стоимость возврата]]</f>
        <v>6664</v>
      </c>
      <c r="L85" s="51">
        <f>Таблица1[[#This Row],[Количество]]-Таблица1[[#This Row],[Количество к возврату]]</f>
        <v>49</v>
      </c>
    </row>
    <row r="86" spans="1:12" x14ac:dyDescent="0.2">
      <c r="A86" s="30">
        <v>42945</v>
      </c>
      <c r="B86" s="31" t="s">
        <v>16</v>
      </c>
      <c r="C86" s="31" t="s">
        <v>2</v>
      </c>
      <c r="D86" s="25" t="s">
        <v>7</v>
      </c>
      <c r="E86" s="31">
        <v>120</v>
      </c>
      <c r="F86" s="31">
        <f>VLOOKUP(Таблица1[[#This Row],[Наименование Товара]],ИнформацияТовары!$A$2:$C$9,3,0)</f>
        <v>25</v>
      </c>
      <c r="G86" s="32">
        <f>Таблица1[[#This Row],[Количество]]*Таблица1[[#This Row],[Цена]]</f>
        <v>3000</v>
      </c>
      <c r="H86" s="31"/>
      <c r="I86" s="31"/>
      <c r="J86" s="49">
        <f>Таблица1[[#This Row],[Количество к возврату]]*Таблица1[[#This Row],[Цена]]</f>
        <v>0</v>
      </c>
      <c r="K86" s="59">
        <f>Таблица1[[#This Row],[Стоимость]]-Таблица1[[#This Row],[Стоимость возврата]]</f>
        <v>3000</v>
      </c>
      <c r="L86" s="51">
        <f>Таблица1[[#This Row],[Количество]]-Таблица1[[#This Row],[Количество к возврату]]</f>
        <v>120</v>
      </c>
    </row>
    <row r="87" spans="1:12" x14ac:dyDescent="0.2">
      <c r="A87" s="30">
        <v>42956</v>
      </c>
      <c r="B87" s="31" t="s">
        <v>18</v>
      </c>
      <c r="C87" s="31" t="s">
        <v>4</v>
      </c>
      <c r="D87" s="25" t="s">
        <v>9</v>
      </c>
      <c r="E87" s="31">
        <v>100</v>
      </c>
      <c r="F87" s="31">
        <f>VLOOKUP(Таблица1[[#This Row],[Наименование Товара]],ИнформацияТовары!$A$2:$C$9,3,0)</f>
        <v>32</v>
      </c>
      <c r="G87" s="32">
        <f>Таблица1[[#This Row],[Количество]]*Таблица1[[#This Row],[Цена]]</f>
        <v>3200</v>
      </c>
      <c r="H87" s="31"/>
      <c r="I87" s="31"/>
      <c r="J87" s="49">
        <f>Таблица1[[#This Row],[Количество к возврату]]*Таблица1[[#This Row],[Цена]]</f>
        <v>0</v>
      </c>
      <c r="K87" s="59">
        <f>Таблица1[[#This Row],[Стоимость]]-Таблица1[[#This Row],[Стоимость возврата]]</f>
        <v>3200</v>
      </c>
      <c r="L87" s="51">
        <f>Таблица1[[#This Row],[Количество]]-Таблица1[[#This Row],[Количество к возврату]]</f>
        <v>100</v>
      </c>
    </row>
    <row r="88" spans="1:12" x14ac:dyDescent="0.2">
      <c r="A88" s="30">
        <v>42957</v>
      </c>
      <c r="B88" s="31" t="s">
        <v>19</v>
      </c>
      <c r="C88" s="31" t="s">
        <v>3</v>
      </c>
      <c r="D88" s="25" t="s">
        <v>10</v>
      </c>
      <c r="E88" s="31">
        <v>50</v>
      </c>
      <c r="F88" s="31">
        <f>VLOOKUP(Таблица1[[#This Row],[Наименование Товара]],ИнформацияТовары!$A$2:$C$9,3,0)</f>
        <v>45</v>
      </c>
      <c r="G88" s="32">
        <f>Таблица1[[#This Row],[Количество]]*Таблица1[[#This Row],[Цена]]</f>
        <v>2250</v>
      </c>
      <c r="H88" s="30">
        <v>42959</v>
      </c>
      <c r="I88" s="31">
        <v>10</v>
      </c>
      <c r="J88" s="49">
        <f>Таблица1[[#This Row],[Количество к возврату]]*Таблица1[[#This Row],[Цена]]</f>
        <v>450</v>
      </c>
      <c r="K88" s="59">
        <f>Таблица1[[#This Row],[Стоимость]]-Таблица1[[#This Row],[Стоимость возврата]]</f>
        <v>1800</v>
      </c>
      <c r="L88" s="51">
        <f>Таблица1[[#This Row],[Количество]]-Таблица1[[#This Row],[Количество к возврату]]</f>
        <v>40</v>
      </c>
    </row>
    <row r="89" spans="1:12" x14ac:dyDescent="0.2">
      <c r="A89" s="30">
        <v>42958</v>
      </c>
      <c r="B89" s="31" t="s">
        <v>18</v>
      </c>
      <c r="C89" s="31" t="s">
        <v>2</v>
      </c>
      <c r="D89" s="25" t="s">
        <v>26</v>
      </c>
      <c r="E89" s="31">
        <v>100</v>
      </c>
      <c r="F89" s="31">
        <f>VLOOKUP(Таблица1[[#This Row],[Наименование Товара]],ИнформацияТовары!$A$2:$C$9,3,0)</f>
        <v>54</v>
      </c>
      <c r="G89" s="32">
        <f>Таблица1[[#This Row],[Количество]]*Таблица1[[#This Row],[Цена]]</f>
        <v>5400</v>
      </c>
      <c r="H89" s="31"/>
      <c r="I89" s="31"/>
      <c r="J89" s="49">
        <f>Таблица1[[#This Row],[Количество к возврату]]*Таблица1[[#This Row],[Цена]]</f>
        <v>0</v>
      </c>
      <c r="K89" s="59">
        <f>Таблица1[[#This Row],[Стоимость]]-Таблица1[[#This Row],[Стоимость возврата]]</f>
        <v>5400</v>
      </c>
      <c r="L89" s="51">
        <f>Таблица1[[#This Row],[Количество]]-Таблица1[[#This Row],[Количество к возврату]]</f>
        <v>100</v>
      </c>
    </row>
    <row r="90" spans="1:12" x14ac:dyDescent="0.2">
      <c r="A90" s="30">
        <v>42959</v>
      </c>
      <c r="B90" s="31" t="s">
        <v>17</v>
      </c>
      <c r="C90" s="31" t="s">
        <v>2</v>
      </c>
      <c r="D90" s="25" t="s">
        <v>27</v>
      </c>
      <c r="E90" s="31">
        <v>180</v>
      </c>
      <c r="F90" s="31">
        <f>VLOOKUP(Таблица1[[#This Row],[Наименование Товара]],ИнформацияТовары!$A$2:$C$9,3,0)</f>
        <v>65</v>
      </c>
      <c r="G90" s="32">
        <f>Таблица1[[#This Row],[Количество]]*Таблица1[[#This Row],[Цена]]</f>
        <v>11700</v>
      </c>
      <c r="H90" s="31"/>
      <c r="I90" s="31"/>
      <c r="J90" s="49">
        <f>Таблица1[[#This Row],[Количество к возврату]]*Таблица1[[#This Row],[Цена]]</f>
        <v>0</v>
      </c>
      <c r="K90" s="59">
        <f>Таблица1[[#This Row],[Стоимость]]-Таблица1[[#This Row],[Стоимость возврата]]</f>
        <v>11700</v>
      </c>
      <c r="L90" s="51">
        <f>Таблица1[[#This Row],[Количество]]-Таблица1[[#This Row],[Количество к возврату]]</f>
        <v>180</v>
      </c>
    </row>
    <row r="91" spans="1:12" x14ac:dyDescent="0.2">
      <c r="A91" s="30">
        <v>42960</v>
      </c>
      <c r="B91" s="31" t="s">
        <v>20</v>
      </c>
      <c r="C91" s="31" t="s">
        <v>4</v>
      </c>
      <c r="D91" s="31" t="s">
        <v>28</v>
      </c>
      <c r="E91" s="31">
        <v>170</v>
      </c>
      <c r="F91" s="31">
        <f>VLOOKUP(Таблица1[[#This Row],[Наименование Товара]],ИнформацияТовары!$A$2:$C$9,3,0)</f>
        <v>87</v>
      </c>
      <c r="G91" s="32">
        <f>Таблица1[[#This Row],[Количество]]*Таблица1[[#This Row],[Цена]]</f>
        <v>14790</v>
      </c>
      <c r="H91" s="31"/>
      <c r="I91" s="31"/>
      <c r="J91" s="49">
        <f>Таблица1[[#This Row],[Количество к возврату]]*Таблица1[[#This Row],[Цена]]</f>
        <v>0</v>
      </c>
      <c r="K91" s="59">
        <f>Таблица1[[#This Row],[Стоимость]]-Таблица1[[#This Row],[Стоимость возврата]]</f>
        <v>14790</v>
      </c>
      <c r="L91" s="51">
        <f>Таблица1[[#This Row],[Количество]]-Таблица1[[#This Row],[Количество к возврату]]</f>
        <v>170</v>
      </c>
    </row>
    <row r="92" spans="1:12" x14ac:dyDescent="0.2">
      <c r="A92" s="30">
        <v>42961</v>
      </c>
      <c r="B92" s="31" t="s">
        <v>17</v>
      </c>
      <c r="C92" s="31" t="s">
        <v>3</v>
      </c>
      <c r="D92" s="25" t="s">
        <v>64</v>
      </c>
      <c r="E92" s="31">
        <v>80</v>
      </c>
      <c r="F92" s="31">
        <f>VLOOKUP(Таблица1[[#This Row],[Наименование Товара]],ИнформацияТовары!$A$2:$C$9,3,0)</f>
        <v>110</v>
      </c>
      <c r="G92" s="32">
        <f>Таблица1[[#This Row],[Количество]]*Таблица1[[#This Row],[Цена]]</f>
        <v>8800</v>
      </c>
      <c r="H92" s="31"/>
      <c r="I92" s="31"/>
      <c r="J92" s="49">
        <f>Таблица1[[#This Row],[Количество к возврату]]*Таблица1[[#This Row],[Цена]]</f>
        <v>0</v>
      </c>
      <c r="K92" s="59">
        <f>Таблица1[[#This Row],[Стоимость]]-Таблица1[[#This Row],[Стоимость возврата]]</f>
        <v>8800</v>
      </c>
      <c r="L92" s="51">
        <f>Таблица1[[#This Row],[Количество]]-Таблица1[[#This Row],[Количество к возврату]]</f>
        <v>80</v>
      </c>
    </row>
    <row r="93" spans="1:12" x14ac:dyDescent="0.2">
      <c r="A93" s="30">
        <v>42961</v>
      </c>
      <c r="B93" s="31" t="s">
        <v>17</v>
      </c>
      <c r="C93" s="31" t="s">
        <v>3</v>
      </c>
      <c r="D93" s="25" t="s">
        <v>64</v>
      </c>
      <c r="E93" s="31">
        <v>80</v>
      </c>
      <c r="F93" s="31">
        <f>VLOOKUP(Таблица1[[#This Row],[Наименование Товара]],ИнформацияТовары!$A$2:$C$9,3,0)</f>
        <v>110</v>
      </c>
      <c r="G93" s="32">
        <f>Таблица1[[#This Row],[Количество]]*Таблица1[[#This Row],[Цена]]</f>
        <v>8800</v>
      </c>
      <c r="H93" s="30">
        <v>42967</v>
      </c>
      <c r="I93" s="31">
        <v>20</v>
      </c>
      <c r="J93" s="49">
        <f>Таблица1[[#This Row],[Количество к возврату]]*Таблица1[[#This Row],[Цена]]</f>
        <v>2200</v>
      </c>
      <c r="K93" s="59">
        <f>Таблица1[[#This Row],[Стоимость]]-Таблица1[[#This Row],[Стоимость возврата]]</f>
        <v>6600</v>
      </c>
      <c r="L93" s="51">
        <f>Таблица1[[#This Row],[Количество]]-Таблица1[[#This Row],[Количество к возврату]]</f>
        <v>60</v>
      </c>
    </row>
    <row r="94" spans="1:12" x14ac:dyDescent="0.2">
      <c r="A94" s="30">
        <v>42962</v>
      </c>
      <c r="B94" s="31" t="s">
        <v>16</v>
      </c>
      <c r="C94" s="31" t="s">
        <v>3</v>
      </c>
      <c r="D94" s="25" t="s">
        <v>65</v>
      </c>
      <c r="E94" s="31">
        <v>60</v>
      </c>
      <c r="F94" s="31">
        <f>VLOOKUP(Таблица1[[#This Row],[Наименование Товара]],ИнформацияТовары!$A$2:$C$9,3,0)</f>
        <v>136</v>
      </c>
      <c r="G94" s="32">
        <f>Таблица1[[#This Row],[Количество]]*Таблица1[[#This Row],[Цена]]</f>
        <v>8160</v>
      </c>
      <c r="H94" s="31"/>
      <c r="I94" s="31"/>
      <c r="J94" s="49">
        <f>Таблица1[[#This Row],[Количество к возврату]]*Таблица1[[#This Row],[Цена]]</f>
        <v>0</v>
      </c>
      <c r="K94" s="59">
        <f>Таблица1[[#This Row],[Стоимость]]-Таблица1[[#This Row],[Стоимость возврата]]</f>
        <v>8160</v>
      </c>
      <c r="L94" s="51">
        <f>Таблица1[[#This Row],[Количество]]-Таблица1[[#This Row],[Количество к возврату]]</f>
        <v>60</v>
      </c>
    </row>
    <row r="95" spans="1:12" x14ac:dyDescent="0.2">
      <c r="A95" s="30">
        <v>42962</v>
      </c>
      <c r="B95" s="31" t="s">
        <v>16</v>
      </c>
      <c r="C95" s="31" t="s">
        <v>3</v>
      </c>
      <c r="D95" s="25" t="s">
        <v>64</v>
      </c>
      <c r="E95" s="31">
        <v>60</v>
      </c>
      <c r="F95" s="31">
        <f>VLOOKUP(Таблица1[[#This Row],[Наименование Товара]],ИнформацияТовары!$A$2:$C$9,3,0)</f>
        <v>110</v>
      </c>
      <c r="G95" s="32">
        <f>Таблица1[[#This Row],[Количество]]*Таблица1[[#This Row],[Цена]]</f>
        <v>6600</v>
      </c>
      <c r="H95" s="31"/>
      <c r="I95" s="31"/>
      <c r="J95" s="49">
        <f>Таблица1[[#This Row],[Количество к возврату]]*Таблица1[[#This Row],[Цена]]</f>
        <v>0</v>
      </c>
      <c r="K95" s="59">
        <f>Таблица1[[#This Row],[Стоимость]]-Таблица1[[#This Row],[Стоимость возврата]]</f>
        <v>6600</v>
      </c>
      <c r="L95" s="51">
        <f>Таблица1[[#This Row],[Количество]]-Таблица1[[#This Row],[Количество к возврату]]</f>
        <v>60</v>
      </c>
    </row>
    <row r="96" spans="1:12" x14ac:dyDescent="0.2">
      <c r="A96" s="30">
        <v>42963</v>
      </c>
      <c r="B96" s="31" t="s">
        <v>18</v>
      </c>
      <c r="C96" s="31" t="s">
        <v>3</v>
      </c>
      <c r="D96" s="25" t="s">
        <v>7</v>
      </c>
      <c r="E96" s="31">
        <v>130</v>
      </c>
      <c r="F96" s="31">
        <f>VLOOKUP(Таблица1[[#This Row],[Наименование Товара]],ИнформацияТовары!$A$2:$C$9,3,0)</f>
        <v>25</v>
      </c>
      <c r="G96" s="32">
        <f>Таблица1[[#This Row],[Количество]]*Таблица1[[#This Row],[Цена]]</f>
        <v>3250</v>
      </c>
      <c r="H96" s="30">
        <v>42967</v>
      </c>
      <c r="I96" s="31">
        <v>40</v>
      </c>
      <c r="J96" s="49">
        <f>Таблица1[[#This Row],[Количество к возврату]]*Таблица1[[#This Row],[Цена]]</f>
        <v>1000</v>
      </c>
      <c r="K96" s="59">
        <f>Таблица1[[#This Row],[Стоимость]]-Таблица1[[#This Row],[Стоимость возврата]]</f>
        <v>2250</v>
      </c>
      <c r="L96" s="51">
        <f>Таблица1[[#This Row],[Количество]]-Таблица1[[#This Row],[Количество к возврату]]</f>
        <v>90</v>
      </c>
    </row>
    <row r="97" spans="1:12" x14ac:dyDescent="0.2">
      <c r="A97" s="30">
        <v>42963</v>
      </c>
      <c r="B97" s="31" t="s">
        <v>18</v>
      </c>
      <c r="C97" s="31" t="s">
        <v>3</v>
      </c>
      <c r="D97" s="25" t="s">
        <v>9</v>
      </c>
      <c r="E97" s="31">
        <v>130</v>
      </c>
      <c r="F97" s="31">
        <f>VLOOKUP(Таблица1[[#This Row],[Наименование Товара]],ИнформацияТовары!$A$2:$C$9,3,0)</f>
        <v>32</v>
      </c>
      <c r="G97" s="32">
        <f>Таблица1[[#This Row],[Количество]]*Таблица1[[#This Row],[Цена]]</f>
        <v>4160</v>
      </c>
      <c r="H97" s="31"/>
      <c r="I97" s="31"/>
      <c r="J97" s="49">
        <f>Таблица1[[#This Row],[Количество к возврату]]*Таблица1[[#This Row],[Цена]]</f>
        <v>0</v>
      </c>
      <c r="K97" s="59">
        <f>Таблица1[[#This Row],[Стоимость]]-Таблица1[[#This Row],[Стоимость возврата]]</f>
        <v>4160</v>
      </c>
      <c r="L97" s="51">
        <f>Таблица1[[#This Row],[Количество]]-Таблица1[[#This Row],[Количество к возврату]]</f>
        <v>130</v>
      </c>
    </row>
    <row r="98" spans="1:12" x14ac:dyDescent="0.2">
      <c r="A98" s="30">
        <v>42964</v>
      </c>
      <c r="B98" s="31" t="s">
        <v>17</v>
      </c>
      <c r="C98" s="31" t="s">
        <v>4</v>
      </c>
      <c r="D98" s="25" t="s">
        <v>9</v>
      </c>
      <c r="E98" s="31">
        <v>56</v>
      </c>
      <c r="F98" s="31">
        <f>VLOOKUP(Таблица1[[#This Row],[Наименование Товара]],ИнформацияТовары!$A$2:$C$9,3,0)</f>
        <v>32</v>
      </c>
      <c r="G98" s="32">
        <f>Таблица1[[#This Row],[Количество]]*Таблица1[[#This Row],[Цена]]</f>
        <v>1792</v>
      </c>
      <c r="H98" s="31"/>
      <c r="I98" s="31"/>
      <c r="J98" s="49">
        <f>Таблица1[[#This Row],[Количество к возврату]]*Таблица1[[#This Row],[Цена]]</f>
        <v>0</v>
      </c>
      <c r="K98" s="59">
        <f>Таблица1[[#This Row],[Стоимость]]-Таблица1[[#This Row],[Стоимость возврата]]</f>
        <v>1792</v>
      </c>
      <c r="L98" s="51">
        <f>Таблица1[[#This Row],[Количество]]-Таблица1[[#This Row],[Количество к возврату]]</f>
        <v>56</v>
      </c>
    </row>
    <row r="99" spans="1:12" x14ac:dyDescent="0.2">
      <c r="A99" s="30">
        <v>42964</v>
      </c>
      <c r="B99" s="31" t="s">
        <v>16</v>
      </c>
      <c r="C99" s="31" t="s">
        <v>4</v>
      </c>
      <c r="D99" s="31" t="s">
        <v>28</v>
      </c>
      <c r="E99" s="31">
        <v>56</v>
      </c>
      <c r="F99" s="31">
        <f>VLOOKUP(Таблица1[[#This Row],[Наименование Товара]],ИнформацияТовары!$A$2:$C$9,3,0)</f>
        <v>87</v>
      </c>
      <c r="G99" s="32">
        <f>Таблица1[[#This Row],[Количество]]*Таблица1[[#This Row],[Цена]]</f>
        <v>4872</v>
      </c>
      <c r="H99" s="31"/>
      <c r="I99" s="31"/>
      <c r="J99" s="49">
        <f>Таблица1[[#This Row],[Количество к возврату]]*Таблица1[[#This Row],[Цена]]</f>
        <v>0</v>
      </c>
      <c r="K99" s="59">
        <f>Таблица1[[#This Row],[Стоимость]]-Таблица1[[#This Row],[Стоимость возврата]]</f>
        <v>4872</v>
      </c>
      <c r="L99" s="51">
        <f>Таблица1[[#This Row],[Количество]]-Таблица1[[#This Row],[Количество к возврату]]</f>
        <v>56</v>
      </c>
    </row>
    <row r="100" spans="1:12" x14ac:dyDescent="0.2">
      <c r="A100" s="30">
        <v>42965</v>
      </c>
      <c r="B100" s="31" t="s">
        <v>18</v>
      </c>
      <c r="C100" s="31" t="s">
        <v>4</v>
      </c>
      <c r="D100" s="25" t="s">
        <v>10</v>
      </c>
      <c r="E100" s="31">
        <v>135</v>
      </c>
      <c r="F100" s="31">
        <f>VLOOKUP(Таблица1[[#This Row],[Наименование Товара]],ИнформацияТовары!$A$2:$C$9,3,0)</f>
        <v>45</v>
      </c>
      <c r="G100" s="32">
        <f>Таблица1[[#This Row],[Количество]]*Таблица1[[#This Row],[Цена]]</f>
        <v>6075</v>
      </c>
      <c r="H100" s="30">
        <v>42969</v>
      </c>
      <c r="I100" s="31">
        <v>34</v>
      </c>
      <c r="J100" s="49">
        <f>Таблица1[[#This Row],[Количество к возврату]]*Таблица1[[#This Row],[Цена]]</f>
        <v>1530</v>
      </c>
      <c r="K100" s="59">
        <f>Таблица1[[#This Row],[Стоимость]]-Таблица1[[#This Row],[Стоимость возврата]]</f>
        <v>4545</v>
      </c>
      <c r="L100" s="51">
        <f>Таблица1[[#This Row],[Количество]]-Таблица1[[#This Row],[Количество к возврату]]</f>
        <v>101</v>
      </c>
    </row>
    <row r="101" spans="1:12" x14ac:dyDescent="0.2">
      <c r="A101" s="30">
        <v>42965</v>
      </c>
      <c r="B101" s="31" t="s">
        <v>19</v>
      </c>
      <c r="C101" s="31" t="s">
        <v>4</v>
      </c>
      <c r="D101" s="25" t="s">
        <v>10</v>
      </c>
      <c r="E101" s="31">
        <v>135</v>
      </c>
      <c r="F101" s="31">
        <f>VLOOKUP(Таблица1[[#This Row],[Наименование Товара]],ИнформацияТовары!$A$2:$C$9,3,0)</f>
        <v>45</v>
      </c>
      <c r="G101" s="32">
        <f>Таблица1[[#This Row],[Количество]]*Таблица1[[#This Row],[Цена]]</f>
        <v>6075</v>
      </c>
      <c r="H101" s="31"/>
      <c r="I101" s="31"/>
      <c r="J101" s="49">
        <f>Таблица1[[#This Row],[Количество к возврату]]*Таблица1[[#This Row],[Цена]]</f>
        <v>0</v>
      </c>
      <c r="K101" s="59">
        <f>Таблица1[[#This Row],[Стоимость]]-Таблица1[[#This Row],[Стоимость возврата]]</f>
        <v>6075</v>
      </c>
      <c r="L101" s="51">
        <f>Таблица1[[#This Row],[Количество]]-Таблица1[[#This Row],[Количество к возврату]]</f>
        <v>135</v>
      </c>
    </row>
    <row r="102" spans="1:12" x14ac:dyDescent="0.2">
      <c r="A102" s="30">
        <v>42966</v>
      </c>
      <c r="B102" s="31" t="s">
        <v>18</v>
      </c>
      <c r="C102" s="31" t="s">
        <v>3</v>
      </c>
      <c r="D102" s="25" t="s">
        <v>26</v>
      </c>
      <c r="E102" s="31">
        <v>80</v>
      </c>
      <c r="F102" s="31">
        <f>VLOOKUP(Таблица1[[#This Row],[Наименование Товара]],ИнформацияТовары!$A$2:$C$9,3,0)</f>
        <v>54</v>
      </c>
      <c r="G102" s="32">
        <f>Таблица1[[#This Row],[Количество]]*Таблица1[[#This Row],[Цена]]</f>
        <v>4320</v>
      </c>
      <c r="H102" s="31"/>
      <c r="I102" s="31"/>
      <c r="J102" s="49">
        <f>Таблица1[[#This Row],[Количество к возврату]]*Таблица1[[#This Row],[Цена]]</f>
        <v>0</v>
      </c>
      <c r="K102" s="59">
        <f>Таблица1[[#This Row],[Стоимость]]-Таблица1[[#This Row],[Стоимость возврата]]</f>
        <v>4320</v>
      </c>
      <c r="L102" s="51">
        <f>Таблица1[[#This Row],[Количество]]-Таблица1[[#This Row],[Количество к возврату]]</f>
        <v>80</v>
      </c>
    </row>
    <row r="103" spans="1:12" x14ac:dyDescent="0.2">
      <c r="A103" s="30">
        <v>42966</v>
      </c>
      <c r="B103" s="31" t="s">
        <v>17</v>
      </c>
      <c r="C103" s="31" t="s">
        <v>3</v>
      </c>
      <c r="D103" s="25" t="s">
        <v>65</v>
      </c>
      <c r="E103" s="31">
        <v>80</v>
      </c>
      <c r="F103" s="31">
        <f>VLOOKUP(Таблица1[[#This Row],[Наименование Товара]],ИнформацияТовары!$A$2:$C$9,3,0)</f>
        <v>136</v>
      </c>
      <c r="G103" s="32">
        <f>Таблица1[[#This Row],[Количество]]*Таблица1[[#This Row],[Цена]]</f>
        <v>10880</v>
      </c>
      <c r="H103" s="31"/>
      <c r="I103" s="31"/>
      <c r="J103" s="49">
        <f>Таблица1[[#This Row],[Количество к возврату]]*Таблица1[[#This Row],[Цена]]</f>
        <v>0</v>
      </c>
      <c r="K103" s="59">
        <f>Таблица1[[#This Row],[Стоимость]]-Таблица1[[#This Row],[Стоимость возврата]]</f>
        <v>10880</v>
      </c>
      <c r="L103" s="51">
        <f>Таблица1[[#This Row],[Количество]]-Таблица1[[#This Row],[Количество к возврату]]</f>
        <v>80</v>
      </c>
    </row>
    <row r="104" spans="1:12" x14ac:dyDescent="0.2">
      <c r="A104" s="30">
        <v>42967</v>
      </c>
      <c r="B104" s="31" t="s">
        <v>20</v>
      </c>
      <c r="C104" s="31" t="s">
        <v>2</v>
      </c>
      <c r="D104" s="25" t="s">
        <v>27</v>
      </c>
      <c r="E104" s="31">
        <v>80</v>
      </c>
      <c r="F104" s="31">
        <f>VLOOKUP(Таблица1[[#This Row],[Наименование Товара]],ИнформацияТовары!$A$2:$C$9,3,0)</f>
        <v>65</v>
      </c>
      <c r="G104" s="32">
        <f>Таблица1[[#This Row],[Количество]]*Таблица1[[#This Row],[Цена]]</f>
        <v>5200</v>
      </c>
      <c r="H104" s="31"/>
      <c r="I104" s="31"/>
      <c r="J104" s="49">
        <f>Таблица1[[#This Row],[Количество к возврату]]*Таблица1[[#This Row],[Цена]]</f>
        <v>0</v>
      </c>
      <c r="K104" s="59">
        <f>Таблица1[[#This Row],[Стоимость]]-Таблица1[[#This Row],[Стоимость возврата]]</f>
        <v>5200</v>
      </c>
      <c r="L104" s="51">
        <f>Таблица1[[#This Row],[Количество]]-Таблица1[[#This Row],[Количество к возврату]]</f>
        <v>80</v>
      </c>
    </row>
    <row r="105" spans="1:12" x14ac:dyDescent="0.2">
      <c r="A105" s="30">
        <v>42967</v>
      </c>
      <c r="B105" s="31" t="s">
        <v>20</v>
      </c>
      <c r="C105" s="31" t="s">
        <v>2</v>
      </c>
      <c r="D105" s="25" t="s">
        <v>9</v>
      </c>
      <c r="E105" s="31">
        <v>80</v>
      </c>
      <c r="F105" s="31">
        <f>VLOOKUP(Таблица1[[#This Row],[Наименование Товара]],ИнформацияТовары!$A$2:$C$9,3,0)</f>
        <v>32</v>
      </c>
      <c r="G105" s="32">
        <f>Таблица1[[#This Row],[Количество]]*Таблица1[[#This Row],[Цена]]</f>
        <v>2560</v>
      </c>
      <c r="H105" s="31"/>
      <c r="I105" s="31"/>
      <c r="J105" s="49">
        <f>Таблица1[[#This Row],[Количество к возврату]]*Таблица1[[#This Row],[Цена]]</f>
        <v>0</v>
      </c>
      <c r="K105" s="59">
        <f>Таблица1[[#This Row],[Стоимость]]-Таблица1[[#This Row],[Стоимость возврата]]</f>
        <v>2560</v>
      </c>
      <c r="L105" s="51">
        <f>Таблица1[[#This Row],[Количество]]-Таблица1[[#This Row],[Количество к возврату]]</f>
        <v>80</v>
      </c>
    </row>
    <row r="106" spans="1:12" x14ac:dyDescent="0.2">
      <c r="A106" s="30">
        <v>42968</v>
      </c>
      <c r="B106" s="31" t="s">
        <v>17</v>
      </c>
      <c r="C106" s="31" t="s">
        <v>2</v>
      </c>
      <c r="D106" s="31" t="s">
        <v>28</v>
      </c>
      <c r="E106" s="31">
        <v>150</v>
      </c>
      <c r="F106" s="31">
        <f>VLOOKUP(Таблица1[[#This Row],[Наименование Товара]],ИнформацияТовары!$A$2:$C$9,3,0)</f>
        <v>87</v>
      </c>
      <c r="G106" s="32">
        <f>Таблица1[[#This Row],[Количество]]*Таблица1[[#This Row],[Цена]]</f>
        <v>13050</v>
      </c>
      <c r="H106" s="31"/>
      <c r="I106" s="31"/>
      <c r="J106" s="49">
        <f>Таблица1[[#This Row],[Количество к возврату]]*Таблица1[[#This Row],[Цена]]</f>
        <v>0</v>
      </c>
      <c r="K106" s="59">
        <f>Таблица1[[#This Row],[Стоимость]]-Таблица1[[#This Row],[Стоимость возврата]]</f>
        <v>13050</v>
      </c>
      <c r="L106" s="51">
        <f>Таблица1[[#This Row],[Количество]]-Таблица1[[#This Row],[Количество к возврату]]</f>
        <v>150</v>
      </c>
    </row>
    <row r="107" spans="1:12" x14ac:dyDescent="0.2">
      <c r="A107" s="30">
        <v>42968</v>
      </c>
      <c r="B107" s="31" t="s">
        <v>17</v>
      </c>
      <c r="C107" s="31" t="s">
        <v>2</v>
      </c>
      <c r="D107" s="25" t="s">
        <v>64</v>
      </c>
      <c r="E107" s="31">
        <v>150</v>
      </c>
      <c r="F107" s="31">
        <f>VLOOKUP(Таблица1[[#This Row],[Наименование Товара]],ИнформацияТовары!$A$2:$C$9,3,0)</f>
        <v>110</v>
      </c>
      <c r="G107" s="32">
        <f>Таблица1[[#This Row],[Количество]]*Таблица1[[#This Row],[Цена]]</f>
        <v>16500</v>
      </c>
      <c r="H107" s="30">
        <v>42972</v>
      </c>
      <c r="I107" s="31">
        <v>45</v>
      </c>
      <c r="J107" s="49">
        <f>Таблица1[[#This Row],[Количество к возврату]]*Таблица1[[#This Row],[Цена]]</f>
        <v>4950</v>
      </c>
      <c r="K107" s="59">
        <f>Таблица1[[#This Row],[Стоимость]]-Таблица1[[#This Row],[Стоимость возврата]]</f>
        <v>11550</v>
      </c>
      <c r="L107" s="51">
        <f>Таблица1[[#This Row],[Количество]]-Таблица1[[#This Row],[Количество к возврату]]</f>
        <v>105</v>
      </c>
    </row>
    <row r="108" spans="1:12" x14ac:dyDescent="0.2">
      <c r="A108" s="30">
        <v>42969</v>
      </c>
      <c r="B108" s="31" t="s">
        <v>16</v>
      </c>
      <c r="C108" s="31" t="s">
        <v>4</v>
      </c>
      <c r="D108" s="25" t="s">
        <v>64</v>
      </c>
      <c r="E108" s="31">
        <v>135</v>
      </c>
      <c r="F108" s="31">
        <f>VLOOKUP(Таблица1[[#This Row],[Наименование Товара]],ИнформацияТовары!$A$2:$C$9,3,0)</f>
        <v>110</v>
      </c>
      <c r="G108" s="32">
        <f>Таблица1[[#This Row],[Количество]]*Таблица1[[#This Row],[Цена]]</f>
        <v>14850</v>
      </c>
      <c r="H108" s="30">
        <v>42971</v>
      </c>
      <c r="I108" s="31">
        <v>20</v>
      </c>
      <c r="J108" s="49">
        <f>Таблица1[[#This Row],[Количество к возврату]]*Таблица1[[#This Row],[Цена]]</f>
        <v>2200</v>
      </c>
      <c r="K108" s="59">
        <f>Таблица1[[#This Row],[Стоимость]]-Таблица1[[#This Row],[Стоимость возврата]]</f>
        <v>12650</v>
      </c>
      <c r="L108" s="51">
        <f>Таблица1[[#This Row],[Количество]]-Таблица1[[#This Row],[Количество к возврату]]</f>
        <v>115</v>
      </c>
    </row>
    <row r="109" spans="1:12" x14ac:dyDescent="0.2">
      <c r="A109" s="30">
        <v>42969</v>
      </c>
      <c r="B109" s="31" t="s">
        <v>16</v>
      </c>
      <c r="C109" s="31" t="s">
        <v>4</v>
      </c>
      <c r="D109" s="25" t="s">
        <v>7</v>
      </c>
      <c r="E109" s="31">
        <v>135</v>
      </c>
      <c r="F109" s="31">
        <f>VLOOKUP(Таблица1[[#This Row],[Наименование Товара]],ИнформацияТовары!$A$2:$C$9,3,0)</f>
        <v>25</v>
      </c>
      <c r="G109" s="32">
        <f>Таблица1[[#This Row],[Количество]]*Таблица1[[#This Row],[Цена]]</f>
        <v>3375</v>
      </c>
      <c r="H109" s="31"/>
      <c r="I109" s="31"/>
      <c r="J109" s="49">
        <f>Таблица1[[#This Row],[Количество к возврату]]*Таблица1[[#This Row],[Цена]]</f>
        <v>0</v>
      </c>
      <c r="K109" s="59">
        <f>Таблица1[[#This Row],[Стоимость]]-Таблица1[[#This Row],[Стоимость возврата]]</f>
        <v>3375</v>
      </c>
      <c r="L109" s="51">
        <f>Таблица1[[#This Row],[Количество]]-Таблица1[[#This Row],[Количество к возврату]]</f>
        <v>135</v>
      </c>
    </row>
    <row r="110" spans="1:12" x14ac:dyDescent="0.2">
      <c r="A110" s="30">
        <v>42970</v>
      </c>
      <c r="B110" s="31" t="s">
        <v>18</v>
      </c>
      <c r="C110" s="31" t="s">
        <v>3</v>
      </c>
      <c r="D110" s="25" t="s">
        <v>65</v>
      </c>
      <c r="E110" s="31">
        <v>80</v>
      </c>
      <c r="F110" s="31">
        <f>VLOOKUP(Таблица1[[#This Row],[Наименование Товара]],ИнформацияТовары!$A$2:$C$9,3,0)</f>
        <v>136</v>
      </c>
      <c r="G110" s="32">
        <f>Таблица1[[#This Row],[Количество]]*Таблица1[[#This Row],[Цена]]</f>
        <v>10880</v>
      </c>
      <c r="H110" s="31"/>
      <c r="I110" s="31"/>
      <c r="J110" s="49">
        <f>Таблица1[[#This Row],[Количество к возврату]]*Таблица1[[#This Row],[Цена]]</f>
        <v>0</v>
      </c>
      <c r="K110" s="59">
        <f>Таблица1[[#This Row],[Стоимость]]-Таблица1[[#This Row],[Стоимость возврата]]</f>
        <v>10880</v>
      </c>
      <c r="L110" s="51">
        <f>Таблица1[[#This Row],[Количество]]-Таблица1[[#This Row],[Количество к возврату]]</f>
        <v>80</v>
      </c>
    </row>
    <row r="111" spans="1:12" x14ac:dyDescent="0.2">
      <c r="A111" s="30">
        <v>42970</v>
      </c>
      <c r="B111" s="31" t="s">
        <v>16</v>
      </c>
      <c r="C111" s="31" t="s">
        <v>3</v>
      </c>
      <c r="D111" s="25" t="s">
        <v>64</v>
      </c>
      <c r="E111" s="31">
        <v>80</v>
      </c>
      <c r="F111" s="31">
        <f>VLOOKUP(Таблица1[[#This Row],[Наименование Товара]],ИнформацияТовары!$A$2:$C$9,3,0)</f>
        <v>110</v>
      </c>
      <c r="G111" s="32">
        <f>Таблица1[[#This Row],[Количество]]*Таблица1[[#This Row],[Цена]]</f>
        <v>8800</v>
      </c>
      <c r="H111" s="30">
        <v>42972</v>
      </c>
      <c r="I111" s="31">
        <v>20</v>
      </c>
      <c r="J111" s="49">
        <f>Таблица1[[#This Row],[Количество к возврату]]*Таблица1[[#This Row],[Цена]]</f>
        <v>2200</v>
      </c>
      <c r="K111" s="59">
        <f>Таблица1[[#This Row],[Стоимость]]-Таблица1[[#This Row],[Стоимость возврата]]</f>
        <v>6600</v>
      </c>
      <c r="L111" s="51">
        <f>Таблица1[[#This Row],[Количество]]-Таблица1[[#This Row],[Количество к возврату]]</f>
        <v>60</v>
      </c>
    </row>
    <row r="112" spans="1:12" x14ac:dyDescent="0.2">
      <c r="A112" s="30">
        <v>43346</v>
      </c>
      <c r="B112" s="31" t="s">
        <v>19</v>
      </c>
      <c r="C112" s="31" t="s">
        <v>2</v>
      </c>
      <c r="D112" s="25" t="s">
        <v>7</v>
      </c>
      <c r="E112" s="31">
        <v>80</v>
      </c>
      <c r="F112" s="31">
        <f>VLOOKUP(Таблица1[[#This Row],[Наименование Товара]],ИнформацияТовары!$A$2:$C$9,3,0)</f>
        <v>25</v>
      </c>
      <c r="G112" s="32">
        <f>Таблица1[[#This Row],[Количество]]*Таблица1[[#This Row],[Цена]]</f>
        <v>2000</v>
      </c>
      <c r="H112" s="31"/>
      <c r="I112" s="31"/>
      <c r="J112" s="49">
        <f>Таблица1[[#This Row],[Количество к возврату]]*Таблица1[[#This Row],[Цена]]</f>
        <v>0</v>
      </c>
      <c r="K112" s="59">
        <f>Таблица1[[#This Row],[Стоимость]]-Таблица1[[#This Row],[Стоимость возврата]]</f>
        <v>2000</v>
      </c>
      <c r="L112" s="51">
        <f>Таблица1[[#This Row],[Количество]]-Таблица1[[#This Row],[Количество к возврату]]</f>
        <v>80</v>
      </c>
    </row>
    <row r="113" spans="1:12" x14ac:dyDescent="0.2">
      <c r="A113" s="30">
        <v>43346</v>
      </c>
      <c r="B113" s="31" t="s">
        <v>19</v>
      </c>
      <c r="C113" s="31" t="s">
        <v>2</v>
      </c>
      <c r="D113" s="25" t="s">
        <v>27</v>
      </c>
      <c r="E113" s="31">
        <v>80</v>
      </c>
      <c r="F113" s="31">
        <f>VLOOKUP(Таблица1[[#This Row],[Наименование Товара]],ИнформацияТовары!$A$2:$C$9,3,0)</f>
        <v>65</v>
      </c>
      <c r="G113" s="32">
        <f>Таблица1[[#This Row],[Количество]]*Таблица1[[#This Row],[Цена]]</f>
        <v>5200</v>
      </c>
      <c r="H113" s="31"/>
      <c r="I113" s="31"/>
      <c r="J113" s="49">
        <f>Таблица1[[#This Row],[Количество к возврату]]*Таблица1[[#This Row],[Цена]]</f>
        <v>0</v>
      </c>
      <c r="K113" s="59">
        <f>Таблица1[[#This Row],[Стоимость]]-Таблица1[[#This Row],[Стоимость возврата]]</f>
        <v>5200</v>
      </c>
      <c r="L113" s="51">
        <f>Таблица1[[#This Row],[Количество]]-Таблица1[[#This Row],[Количество к возврату]]</f>
        <v>80</v>
      </c>
    </row>
    <row r="114" spans="1:12" x14ac:dyDescent="0.2">
      <c r="A114" s="30">
        <v>43347</v>
      </c>
      <c r="B114" s="31" t="s">
        <v>17</v>
      </c>
      <c r="C114" s="31" t="s">
        <v>3</v>
      </c>
      <c r="D114" s="25" t="s">
        <v>64</v>
      </c>
      <c r="E114" s="31">
        <v>90</v>
      </c>
      <c r="F114" s="31">
        <f>VLOOKUP(Таблица1[[#This Row],[Наименование Товара]],ИнформацияТовары!$A$2:$C$9,3,0)</f>
        <v>110</v>
      </c>
      <c r="G114" s="32">
        <f>Таблица1[[#This Row],[Количество]]*Таблица1[[#This Row],[Цена]]</f>
        <v>9900</v>
      </c>
      <c r="H114" s="31"/>
      <c r="I114" s="31"/>
      <c r="J114" s="49">
        <f>Таблица1[[#This Row],[Количество к возврату]]*Таблица1[[#This Row],[Цена]]</f>
        <v>0</v>
      </c>
      <c r="K114" s="59">
        <f>Таблица1[[#This Row],[Стоимость]]-Таблица1[[#This Row],[Стоимость возврата]]</f>
        <v>9900</v>
      </c>
      <c r="L114" s="51">
        <f>Таблица1[[#This Row],[Количество]]-Таблица1[[#This Row],[Количество к возврату]]</f>
        <v>90</v>
      </c>
    </row>
    <row r="115" spans="1:12" x14ac:dyDescent="0.2">
      <c r="A115" s="30">
        <v>43347</v>
      </c>
      <c r="B115" s="31" t="s">
        <v>17</v>
      </c>
      <c r="C115" s="31" t="s">
        <v>3</v>
      </c>
      <c r="D115" s="25" t="s">
        <v>65</v>
      </c>
      <c r="E115" s="31">
        <v>80</v>
      </c>
      <c r="F115" s="31">
        <f>VLOOKUP(Таблица1[[#This Row],[Наименование Товара]],ИнформацияТовары!$A$2:$C$9,3,0)</f>
        <v>136</v>
      </c>
      <c r="G115" s="32">
        <f>Таблица1[[#This Row],[Количество]]*Таблица1[[#This Row],[Цена]]</f>
        <v>10880</v>
      </c>
      <c r="H115" s="31"/>
      <c r="I115" s="31"/>
      <c r="J115" s="49">
        <f>Таблица1[[#This Row],[Количество к возврату]]*Таблица1[[#This Row],[Цена]]</f>
        <v>0</v>
      </c>
      <c r="K115" s="59">
        <f>Таблица1[[#This Row],[Стоимость]]-Таблица1[[#This Row],[Стоимость возврата]]</f>
        <v>10880</v>
      </c>
      <c r="L115" s="51">
        <f>Таблица1[[#This Row],[Количество]]-Таблица1[[#This Row],[Количество к возврату]]</f>
        <v>80</v>
      </c>
    </row>
    <row r="116" spans="1:12" x14ac:dyDescent="0.2">
      <c r="A116" s="30">
        <v>43348</v>
      </c>
      <c r="B116" s="31" t="s">
        <v>16</v>
      </c>
      <c r="C116" s="31" t="s">
        <v>3</v>
      </c>
      <c r="D116" s="25" t="s">
        <v>65</v>
      </c>
      <c r="E116" s="31">
        <v>160</v>
      </c>
      <c r="F116" s="31">
        <f>VLOOKUP(Таблица1[[#This Row],[Наименование Товара]],ИнформацияТовары!$A$2:$C$9,3,0)</f>
        <v>136</v>
      </c>
      <c r="G116" s="32">
        <f>Таблица1[[#This Row],[Количество]]*Таблица1[[#This Row],[Цена]]</f>
        <v>21760</v>
      </c>
      <c r="H116" s="30">
        <v>42986</v>
      </c>
      <c r="I116" s="31">
        <v>30</v>
      </c>
      <c r="J116" s="49">
        <f>Таблица1[[#This Row],[Количество к возврату]]*Таблица1[[#This Row],[Цена]]</f>
        <v>4080</v>
      </c>
      <c r="K116" s="59">
        <f>Таблица1[[#This Row],[Стоимость]]-Таблица1[[#This Row],[Стоимость возврата]]</f>
        <v>17680</v>
      </c>
      <c r="L116" s="51">
        <f>Таблица1[[#This Row],[Количество]]-Таблица1[[#This Row],[Количество к возврату]]</f>
        <v>130</v>
      </c>
    </row>
    <row r="117" spans="1:12" x14ac:dyDescent="0.2">
      <c r="A117" s="30">
        <v>43348</v>
      </c>
      <c r="B117" s="31" t="s">
        <v>18</v>
      </c>
      <c r="C117" s="31" t="s">
        <v>3</v>
      </c>
      <c r="D117" s="25" t="s">
        <v>26</v>
      </c>
      <c r="E117" s="31">
        <v>110</v>
      </c>
      <c r="F117" s="31">
        <f>VLOOKUP(Таблица1[[#This Row],[Наименование Товара]],ИнформацияТовары!$A$2:$C$9,3,0)</f>
        <v>54</v>
      </c>
      <c r="G117" s="32">
        <f>Таблица1[[#This Row],[Количество]]*Таблица1[[#This Row],[Цена]]</f>
        <v>5940</v>
      </c>
      <c r="H117" s="31"/>
      <c r="I117" s="31"/>
      <c r="J117" s="49">
        <f>Таблица1[[#This Row],[Количество к возврату]]*Таблица1[[#This Row],[Цена]]</f>
        <v>0</v>
      </c>
      <c r="K117" s="59">
        <f>Таблица1[[#This Row],[Стоимость]]-Таблица1[[#This Row],[Стоимость возврата]]</f>
        <v>5940</v>
      </c>
      <c r="L117" s="51">
        <f>Таблица1[[#This Row],[Количество]]-Таблица1[[#This Row],[Количество к возврату]]</f>
        <v>110</v>
      </c>
    </row>
    <row r="118" spans="1:12" x14ac:dyDescent="0.2">
      <c r="A118" s="30">
        <v>43349</v>
      </c>
      <c r="B118" s="31" t="s">
        <v>18</v>
      </c>
      <c r="C118" s="31" t="s">
        <v>4</v>
      </c>
      <c r="D118" s="25" t="s">
        <v>7</v>
      </c>
      <c r="E118" s="31">
        <v>230</v>
      </c>
      <c r="F118" s="31">
        <f>VLOOKUP(Таблица1[[#This Row],[Наименование Товара]],ИнформацияТовары!$A$2:$C$9,3,0)</f>
        <v>25</v>
      </c>
      <c r="G118" s="32">
        <f>Таблица1[[#This Row],[Количество]]*Таблица1[[#This Row],[Цена]]</f>
        <v>5750</v>
      </c>
      <c r="H118" s="31"/>
      <c r="I118" s="31"/>
      <c r="J118" s="49">
        <f>Таблица1[[#This Row],[Количество к возврату]]*Таблица1[[#This Row],[Цена]]</f>
        <v>0</v>
      </c>
      <c r="K118" s="59">
        <f>Таблица1[[#This Row],[Стоимость]]-Таблица1[[#This Row],[Стоимость возврата]]</f>
        <v>5750</v>
      </c>
      <c r="L118" s="51">
        <f>Таблица1[[#This Row],[Количество]]-Таблица1[[#This Row],[Количество к возврату]]</f>
        <v>230</v>
      </c>
    </row>
    <row r="119" spans="1:12" x14ac:dyDescent="0.2">
      <c r="A119" s="30">
        <v>43349</v>
      </c>
      <c r="B119" s="31" t="s">
        <v>18</v>
      </c>
      <c r="C119" s="31" t="s">
        <v>4</v>
      </c>
      <c r="D119" s="25" t="s">
        <v>10</v>
      </c>
      <c r="E119" s="31">
        <v>230</v>
      </c>
      <c r="F119" s="31">
        <f>VLOOKUP(Таблица1[[#This Row],[Наименование Товара]],ИнформацияТовары!$A$2:$C$9,3,0)</f>
        <v>45</v>
      </c>
      <c r="G119" s="32">
        <f>Таблица1[[#This Row],[Количество]]*Таблица1[[#This Row],[Цена]]</f>
        <v>10350</v>
      </c>
      <c r="H119" s="30">
        <v>42989</v>
      </c>
      <c r="I119" s="31">
        <v>30</v>
      </c>
      <c r="J119" s="49">
        <f>Таблица1[[#This Row],[Количество к возврату]]*Таблица1[[#This Row],[Цена]]</f>
        <v>1350</v>
      </c>
      <c r="K119" s="59">
        <f>Таблица1[[#This Row],[Стоимость]]-Таблица1[[#This Row],[Стоимость возврата]]</f>
        <v>9000</v>
      </c>
      <c r="L119" s="51">
        <f>Таблица1[[#This Row],[Количество]]-Таблица1[[#This Row],[Количество к возврату]]</f>
        <v>200</v>
      </c>
    </row>
    <row r="120" spans="1:12" x14ac:dyDescent="0.2">
      <c r="A120" s="30">
        <v>43350</v>
      </c>
      <c r="B120" s="31" t="s">
        <v>19</v>
      </c>
      <c r="C120" s="31" t="s">
        <v>4</v>
      </c>
      <c r="D120" s="25" t="s">
        <v>9</v>
      </c>
      <c r="E120" s="31">
        <v>60</v>
      </c>
      <c r="F120" s="31">
        <f>VLOOKUP(Таблица1[[#This Row],[Наименование Товара]],ИнформацияТовары!$A$2:$C$9,3,0)</f>
        <v>32</v>
      </c>
      <c r="G120" s="32">
        <f>Таблица1[[#This Row],[Количество]]*Таблица1[[#This Row],[Цена]]</f>
        <v>1920</v>
      </c>
      <c r="H120" s="31"/>
      <c r="I120" s="31"/>
      <c r="J120" s="49">
        <f>Таблица1[[#This Row],[Количество к возврату]]*Таблица1[[#This Row],[Цена]]</f>
        <v>0</v>
      </c>
      <c r="K120" s="59">
        <f>Таблица1[[#This Row],[Стоимость]]-Таблица1[[#This Row],[Стоимость возврата]]</f>
        <v>1920</v>
      </c>
      <c r="L120" s="51">
        <f>Таблица1[[#This Row],[Количество]]-Таблица1[[#This Row],[Количество к возврату]]</f>
        <v>60</v>
      </c>
    </row>
    <row r="121" spans="1:12" x14ac:dyDescent="0.2">
      <c r="A121" s="30">
        <v>43350</v>
      </c>
      <c r="B121" s="31" t="s">
        <v>19</v>
      </c>
      <c r="C121" s="31" t="s">
        <v>4</v>
      </c>
      <c r="D121" s="25" t="s">
        <v>65</v>
      </c>
      <c r="E121" s="31">
        <v>25</v>
      </c>
      <c r="F121" s="31">
        <f>VLOOKUP(Таблица1[[#This Row],[Наименование Товара]],ИнформацияТовары!$A$2:$C$9,3,0)</f>
        <v>136</v>
      </c>
      <c r="G121" s="32">
        <f>Таблица1[[#This Row],[Количество]]*Таблица1[[#This Row],[Цена]]</f>
        <v>3400</v>
      </c>
      <c r="H121" s="31"/>
      <c r="I121" s="31"/>
      <c r="J121" s="49">
        <f>Таблица1[[#This Row],[Количество к возврату]]*Таблица1[[#This Row],[Цена]]</f>
        <v>0</v>
      </c>
      <c r="K121" s="59">
        <f>Таблица1[[#This Row],[Стоимость]]-Таблица1[[#This Row],[Стоимость возврата]]</f>
        <v>3400</v>
      </c>
      <c r="L121" s="51">
        <f>Таблица1[[#This Row],[Количество]]-Таблица1[[#This Row],[Количество к возврату]]</f>
        <v>25</v>
      </c>
    </row>
    <row r="122" spans="1:12" x14ac:dyDescent="0.2">
      <c r="A122" s="30">
        <v>43353</v>
      </c>
      <c r="B122" s="31" t="s">
        <v>18</v>
      </c>
      <c r="C122" s="31" t="s">
        <v>3</v>
      </c>
      <c r="D122" s="25" t="s">
        <v>10</v>
      </c>
      <c r="E122" s="31">
        <v>170</v>
      </c>
      <c r="F122" s="31">
        <f>VLOOKUP(Таблица1[[#This Row],[Наименование Товара]],ИнформацияТовары!$A$2:$C$9,3,0)</f>
        <v>45</v>
      </c>
      <c r="G122" s="32">
        <f>Таблица1[[#This Row],[Количество]]*Таблица1[[#This Row],[Цена]]</f>
        <v>7650</v>
      </c>
      <c r="H122" s="31"/>
      <c r="I122" s="31"/>
      <c r="J122" s="49">
        <f>Таблица1[[#This Row],[Количество к возврату]]*Таблица1[[#This Row],[Цена]]</f>
        <v>0</v>
      </c>
      <c r="K122" s="59">
        <f>Таблица1[[#This Row],[Стоимость]]-Таблица1[[#This Row],[Стоимость возврата]]</f>
        <v>7650</v>
      </c>
      <c r="L122" s="51">
        <f>Таблица1[[#This Row],[Количество]]-Таблица1[[#This Row],[Количество к возврату]]</f>
        <v>170</v>
      </c>
    </row>
    <row r="123" spans="1:12" x14ac:dyDescent="0.2">
      <c r="A123" s="30">
        <v>43353</v>
      </c>
      <c r="B123" s="31" t="s">
        <v>18</v>
      </c>
      <c r="C123" s="31" t="s">
        <v>3</v>
      </c>
      <c r="D123" s="25" t="s">
        <v>7</v>
      </c>
      <c r="E123" s="31">
        <v>170</v>
      </c>
      <c r="F123" s="31">
        <f>VLOOKUP(Таблица1[[#This Row],[Наименование Товара]],ИнформацияТовары!$A$2:$C$9,3,0)</f>
        <v>25</v>
      </c>
      <c r="G123" s="32">
        <f>Таблица1[[#This Row],[Количество]]*Таблица1[[#This Row],[Цена]]</f>
        <v>4250</v>
      </c>
      <c r="H123" s="31"/>
      <c r="I123" s="31"/>
      <c r="J123" s="49">
        <f>Таблица1[[#This Row],[Количество к возврату]]*Таблица1[[#This Row],[Цена]]</f>
        <v>0</v>
      </c>
      <c r="K123" s="59">
        <f>Таблица1[[#This Row],[Стоимость]]-Таблица1[[#This Row],[Стоимость возврата]]</f>
        <v>4250</v>
      </c>
      <c r="L123" s="51">
        <f>Таблица1[[#This Row],[Количество]]-Таблица1[[#This Row],[Количество к возврату]]</f>
        <v>170</v>
      </c>
    </row>
    <row r="124" spans="1:12" x14ac:dyDescent="0.2">
      <c r="A124" s="30">
        <v>43354</v>
      </c>
      <c r="B124" s="31" t="s">
        <v>18</v>
      </c>
      <c r="C124" s="31" t="s">
        <v>2</v>
      </c>
      <c r="D124" s="25" t="s">
        <v>26</v>
      </c>
      <c r="E124" s="31">
        <v>56</v>
      </c>
      <c r="F124" s="31">
        <f>VLOOKUP(Таблица1[[#This Row],[Наименование Товара]],ИнформацияТовары!$A$2:$C$9,3,0)</f>
        <v>54</v>
      </c>
      <c r="G124" s="32">
        <f>Таблица1[[#This Row],[Количество]]*Таблица1[[#This Row],[Цена]]</f>
        <v>3024</v>
      </c>
      <c r="H124" s="31"/>
      <c r="I124" s="31"/>
      <c r="J124" s="49">
        <f>Таблица1[[#This Row],[Количество к возврату]]*Таблица1[[#This Row],[Цена]]</f>
        <v>0</v>
      </c>
      <c r="K124" s="59">
        <f>Таблица1[[#This Row],[Стоимость]]-Таблица1[[#This Row],[Стоимость возврата]]</f>
        <v>3024</v>
      </c>
      <c r="L124" s="51">
        <f>Таблица1[[#This Row],[Количество]]-Таблица1[[#This Row],[Количество к возврату]]</f>
        <v>56</v>
      </c>
    </row>
    <row r="125" spans="1:12" x14ac:dyDescent="0.2">
      <c r="A125" s="30">
        <v>43354</v>
      </c>
      <c r="B125" s="31" t="s">
        <v>17</v>
      </c>
      <c r="C125" s="31" t="s">
        <v>2</v>
      </c>
      <c r="D125" s="25" t="s">
        <v>26</v>
      </c>
      <c r="E125" s="31">
        <v>56</v>
      </c>
      <c r="F125" s="31">
        <f>VLOOKUP(Таблица1[[#This Row],[Наименование Товара]],ИнформацияТовары!$A$2:$C$9,3,0)</f>
        <v>54</v>
      </c>
      <c r="G125" s="32">
        <f>Таблица1[[#This Row],[Количество]]*Таблица1[[#This Row],[Цена]]</f>
        <v>3024</v>
      </c>
      <c r="H125" s="30">
        <v>42993</v>
      </c>
      <c r="I125" s="31">
        <v>21</v>
      </c>
      <c r="J125" s="49">
        <f>Таблица1[[#This Row],[Количество к возврату]]*Таблица1[[#This Row],[Цена]]</f>
        <v>1134</v>
      </c>
      <c r="K125" s="59">
        <f>Таблица1[[#This Row],[Стоимость]]-Таблица1[[#This Row],[Стоимость возврата]]</f>
        <v>1890</v>
      </c>
      <c r="L125" s="51">
        <f>Таблица1[[#This Row],[Количество]]-Таблица1[[#This Row],[Количество к возврату]]</f>
        <v>35</v>
      </c>
    </row>
    <row r="126" spans="1:12" x14ac:dyDescent="0.2">
      <c r="A126" s="30">
        <v>43355</v>
      </c>
      <c r="B126" s="31" t="s">
        <v>20</v>
      </c>
      <c r="C126" s="31" t="s">
        <v>2</v>
      </c>
      <c r="D126" s="25" t="s">
        <v>27</v>
      </c>
      <c r="E126" s="31">
        <v>90</v>
      </c>
      <c r="F126" s="31">
        <f>VLOOKUP(Таблица1[[#This Row],[Наименование Товара]],ИнформацияТовары!$A$2:$C$9,3,0)</f>
        <v>65</v>
      </c>
      <c r="G126" s="32">
        <f>Таблица1[[#This Row],[Количество]]*Таблица1[[#This Row],[Цена]]</f>
        <v>5850</v>
      </c>
      <c r="H126" s="31"/>
      <c r="I126" s="31"/>
      <c r="J126" s="49">
        <f>Таблица1[[#This Row],[Количество к возврату]]*Таблица1[[#This Row],[Цена]]</f>
        <v>0</v>
      </c>
      <c r="K126" s="59">
        <f>Таблица1[[#This Row],[Стоимость]]-Таблица1[[#This Row],[Стоимость возврата]]</f>
        <v>5850</v>
      </c>
      <c r="L126" s="51">
        <f>Таблица1[[#This Row],[Количество]]-Таблица1[[#This Row],[Количество к возврату]]</f>
        <v>90</v>
      </c>
    </row>
    <row r="127" spans="1:12" x14ac:dyDescent="0.2">
      <c r="A127" s="30">
        <v>43355</v>
      </c>
      <c r="B127" s="31" t="s">
        <v>20</v>
      </c>
      <c r="C127" s="31" t="s">
        <v>2</v>
      </c>
      <c r="D127" s="25" t="s">
        <v>26</v>
      </c>
      <c r="E127" s="31">
        <v>90</v>
      </c>
      <c r="F127" s="31">
        <f>VLOOKUP(Таблица1[[#This Row],[Наименование Товара]],ИнформацияТовары!$A$2:$C$9,3,0)</f>
        <v>54</v>
      </c>
      <c r="G127" s="32">
        <f>Таблица1[[#This Row],[Количество]]*Таблица1[[#This Row],[Цена]]</f>
        <v>4860</v>
      </c>
      <c r="H127" s="31"/>
      <c r="I127" s="31"/>
      <c r="J127" s="49">
        <f>Таблица1[[#This Row],[Количество к возврату]]*Таблица1[[#This Row],[Цена]]</f>
        <v>0</v>
      </c>
      <c r="K127" s="59">
        <f>Таблица1[[#This Row],[Стоимость]]-Таблица1[[#This Row],[Стоимость возврата]]</f>
        <v>4860</v>
      </c>
      <c r="L127" s="51">
        <f>Таблица1[[#This Row],[Количество]]-Таблица1[[#This Row],[Количество к возврату]]</f>
        <v>90</v>
      </c>
    </row>
    <row r="128" spans="1:12" x14ac:dyDescent="0.2">
      <c r="A128" s="30">
        <v>43356</v>
      </c>
      <c r="B128" s="31" t="s">
        <v>16</v>
      </c>
      <c r="C128" s="31" t="s">
        <v>4</v>
      </c>
      <c r="D128" s="31" t="s">
        <v>28</v>
      </c>
      <c r="E128" s="31">
        <v>70</v>
      </c>
      <c r="F128" s="31">
        <f>VLOOKUP(Таблица1[[#This Row],[Наименование Товара]],ИнформацияТовары!$A$2:$C$9,3,0)</f>
        <v>87</v>
      </c>
      <c r="G128" s="32">
        <f>Таблица1[[#This Row],[Количество]]*Таблица1[[#This Row],[Цена]]</f>
        <v>6090</v>
      </c>
      <c r="H128" s="31"/>
      <c r="I128" s="31"/>
      <c r="J128" s="49">
        <f>Таблица1[[#This Row],[Количество к возврату]]*Таблица1[[#This Row],[Цена]]</f>
        <v>0</v>
      </c>
      <c r="K128" s="59">
        <f>Таблица1[[#This Row],[Стоимость]]-Таблица1[[#This Row],[Стоимость возврата]]</f>
        <v>6090</v>
      </c>
      <c r="L128" s="51">
        <f>Таблица1[[#This Row],[Количество]]-Таблица1[[#This Row],[Количество к возврату]]</f>
        <v>70</v>
      </c>
    </row>
    <row r="129" spans="1:12" x14ac:dyDescent="0.2">
      <c r="A129" s="30">
        <v>43356</v>
      </c>
      <c r="B129" s="31" t="s">
        <v>17</v>
      </c>
      <c r="C129" s="31" t="s">
        <v>4</v>
      </c>
      <c r="D129" s="31" t="s">
        <v>28</v>
      </c>
      <c r="E129" s="31">
        <v>70</v>
      </c>
      <c r="F129" s="31">
        <f>VLOOKUP(Таблица1[[#This Row],[Наименование Товара]],ИнформацияТовары!$A$2:$C$9,3,0)</f>
        <v>87</v>
      </c>
      <c r="G129" s="32">
        <f>Таблица1[[#This Row],[Количество]]*Таблица1[[#This Row],[Цена]]</f>
        <v>6090</v>
      </c>
      <c r="H129" s="31"/>
      <c r="I129" s="31"/>
      <c r="J129" s="49">
        <f>Таблица1[[#This Row],[Количество к возврату]]*Таблица1[[#This Row],[Цена]]</f>
        <v>0</v>
      </c>
      <c r="K129" s="59">
        <f>Таблица1[[#This Row],[Стоимость]]-Таблица1[[#This Row],[Стоимость возврата]]</f>
        <v>6090</v>
      </c>
      <c r="L129" s="51">
        <f>Таблица1[[#This Row],[Количество]]-Таблица1[[#This Row],[Количество к возврату]]</f>
        <v>70</v>
      </c>
    </row>
    <row r="130" spans="1:12" x14ac:dyDescent="0.2">
      <c r="A130" s="30">
        <v>43357</v>
      </c>
      <c r="B130" s="31" t="s">
        <v>18</v>
      </c>
      <c r="C130" s="31" t="s">
        <v>3</v>
      </c>
      <c r="D130" s="25" t="s">
        <v>64</v>
      </c>
      <c r="E130" s="31">
        <v>50</v>
      </c>
      <c r="F130" s="31">
        <f>VLOOKUP(Таблица1[[#This Row],[Наименование Товара]],ИнформацияТовары!$A$2:$C$9,3,0)</f>
        <v>110</v>
      </c>
      <c r="G130" s="32">
        <f>Таблица1[[#This Row],[Количество]]*Таблица1[[#This Row],[Цена]]</f>
        <v>5500</v>
      </c>
      <c r="H130" s="31"/>
      <c r="I130" s="31"/>
      <c r="J130" s="49">
        <f>Таблица1[[#This Row],[Количество к возврату]]*Таблица1[[#This Row],[Цена]]</f>
        <v>0</v>
      </c>
      <c r="K130" s="59">
        <f>Таблица1[[#This Row],[Стоимость]]-Таблица1[[#This Row],[Стоимость возврата]]</f>
        <v>5500</v>
      </c>
      <c r="L130" s="51">
        <f>Таблица1[[#This Row],[Количество]]-Таблица1[[#This Row],[Количество к возврату]]</f>
        <v>50</v>
      </c>
    </row>
    <row r="131" spans="1:12" x14ac:dyDescent="0.2">
      <c r="A131" s="30">
        <v>43357</v>
      </c>
      <c r="B131" s="31" t="s">
        <v>16</v>
      </c>
      <c r="C131" s="31" t="s">
        <v>3</v>
      </c>
      <c r="D131" s="25" t="s">
        <v>64</v>
      </c>
      <c r="E131" s="31">
        <v>50</v>
      </c>
      <c r="F131" s="31">
        <f>VLOOKUP(Таблица1[[#This Row],[Наименование Товара]],ИнформацияТовары!$A$2:$C$9,3,0)</f>
        <v>110</v>
      </c>
      <c r="G131" s="32">
        <f>Таблица1[[#This Row],[Количество]]*Таблица1[[#This Row],[Цена]]</f>
        <v>5500</v>
      </c>
      <c r="H131" s="35"/>
      <c r="I131" s="35"/>
      <c r="J131" s="50">
        <f>Таблица1[[#This Row],[Количество к возврату]]*Таблица1[[#This Row],[Цена]]</f>
        <v>0</v>
      </c>
      <c r="K131" s="59">
        <f>Таблица1[[#This Row],[Стоимость]]-Таблица1[[#This Row],[Стоимость возврата]]</f>
        <v>5500</v>
      </c>
      <c r="L131" s="51">
        <f>Таблица1[[#This Row],[Количество]]-Таблица1[[#This Row],[Количество к возврату]]</f>
        <v>50</v>
      </c>
    </row>
    <row r="133" spans="1:12" x14ac:dyDescent="0.2">
      <c r="K133" s="55">
        <f>SUM(Таблица1[[Общая стоимость ]])</f>
        <v>950127</v>
      </c>
    </row>
  </sheetData>
  <conditionalFormatting sqref="E2:F67">
    <cfRule type="cellIs" dxfId="33" priority="5" operator="between">
      <formula>1</formula>
      <formula>45</formula>
    </cfRule>
  </conditionalFormatting>
  <conditionalFormatting sqref="E68:F131">
    <cfRule type="cellIs" dxfId="32" priority="4" operator="between">
      <formula>1</formula>
      <formula>45</formula>
    </cfRule>
  </conditionalFormatting>
  <conditionalFormatting sqref="E68:F87">
    <cfRule type="cellIs" dxfId="31" priority="3" operator="between">
      <formula>1</formula>
      <formula>45</formula>
    </cfRule>
  </conditionalFormatting>
  <conditionalFormatting sqref="E88:F100">
    <cfRule type="cellIs" dxfId="30" priority="2" operator="between">
      <formula>1</formula>
      <formula>45</formula>
    </cfRule>
  </conditionalFormatting>
  <conditionalFormatting sqref="E101:F131">
    <cfRule type="cellIs" dxfId="29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" customWidth="1"/>
    <col min="2" max="2" width="16.6640625" bestFit="1" customWidth="1"/>
    <col min="4" max="4" width="15.83203125" customWidth="1"/>
    <col min="6" max="6" width="23.6640625" customWidth="1"/>
    <col min="7" max="7" width="16.83203125" customWidth="1"/>
    <col min="8" max="8" width="18.1640625" customWidth="1"/>
    <col min="9" max="9" width="12.6640625" customWidth="1"/>
  </cols>
  <sheetData>
    <row r="1" spans="1:7" ht="29.25" customHeight="1" x14ac:dyDescent="0.2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2">
      <c r="A2" t="s">
        <v>2</v>
      </c>
      <c r="B2" t="s">
        <v>31</v>
      </c>
      <c r="D2" s="3"/>
      <c r="G2" s="7"/>
    </row>
    <row r="3" spans="1:7" x14ac:dyDescent="0.2">
      <c r="A3" t="s">
        <v>3</v>
      </c>
      <c r="B3" t="s">
        <v>32</v>
      </c>
      <c r="D3" s="3"/>
      <c r="G3" s="7"/>
    </row>
    <row r="4" spans="1:7" x14ac:dyDescent="0.2">
      <c r="A4" t="s">
        <v>4</v>
      </c>
      <c r="B4" t="s">
        <v>31</v>
      </c>
      <c r="D4" s="3"/>
      <c r="G4" s="7"/>
    </row>
    <row r="5" spans="1:7" x14ac:dyDescent="0.2">
      <c r="G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1.6640625" customWidth="1"/>
    <col min="2" max="2" width="16.5" customWidth="1"/>
    <col min="3" max="3" width="18.83203125" customWidth="1"/>
    <col min="8" max="8" width="22" bestFit="1" customWidth="1"/>
    <col min="9" max="13" width="11.6640625" customWidth="1"/>
  </cols>
  <sheetData>
    <row r="1" spans="1:15" ht="16" x14ac:dyDescent="0.2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2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2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2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2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2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2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2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2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2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7.6640625" bestFit="1" customWidth="1"/>
    <col min="2" max="2" width="20.83203125" bestFit="1" customWidth="1"/>
    <col min="4" max="4" width="20.83203125" bestFit="1" customWidth="1"/>
    <col min="5" max="5" width="23.6640625" customWidth="1"/>
  </cols>
  <sheetData>
    <row r="1" spans="1:7" ht="64" x14ac:dyDescent="0.2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2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2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2">
      <c r="A4" t="s">
        <v>18</v>
      </c>
      <c r="B4" t="s">
        <v>24</v>
      </c>
    </row>
    <row r="5" spans="1:7" x14ac:dyDescent="0.2">
      <c r="A5" t="s">
        <v>19</v>
      </c>
      <c r="B5" t="s">
        <v>25</v>
      </c>
    </row>
    <row r="6" spans="1:7" x14ac:dyDescent="0.2">
      <c r="A6" t="s">
        <v>20</v>
      </c>
      <c r="B6" t="s">
        <v>25</v>
      </c>
    </row>
    <row r="7" spans="1:7" x14ac:dyDescent="0.2">
      <c r="A7" s="5"/>
    </row>
    <row r="8" spans="1:7" x14ac:dyDescent="0.2">
      <c r="A8" s="5"/>
    </row>
    <row r="9" spans="1:7" x14ac:dyDescent="0.2">
      <c r="A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1:J17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27.5" bestFit="1" customWidth="1"/>
    <col min="2" max="2" width="12.33203125" customWidth="1"/>
    <col min="3" max="3" width="15.1640625" customWidth="1"/>
    <col min="4" max="7" width="14.83203125" customWidth="1"/>
    <col min="8" max="8" width="18" customWidth="1"/>
    <col min="10" max="10" width="20.6640625" customWidth="1"/>
  </cols>
  <sheetData>
    <row r="1" spans="1:10" x14ac:dyDescent="0.2">
      <c r="D1">
        <v>140000</v>
      </c>
      <c r="E1" t="s">
        <v>98</v>
      </c>
    </row>
    <row r="2" spans="1:10" x14ac:dyDescent="0.2">
      <c r="D2">
        <v>0.05</v>
      </c>
    </row>
    <row r="3" spans="1:10" ht="32" x14ac:dyDescent="0.2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10" x14ac:dyDescent="0.2">
      <c r="A4" s="18" t="s">
        <v>19</v>
      </c>
      <c r="B4" s="18" t="str">
        <f>VLOOKUP(A4,'Информация Менеджеры'!$A$2:$B$6,2,0)</f>
        <v>Запад</v>
      </c>
      <c r="C4" s="22">
        <f>VLOOKUP(A4,'Сводн табл'!$A$4:$B$8,2,0)</f>
        <v>146227</v>
      </c>
      <c r="D4" s="58">
        <f>IF(C4&gt;$D$1,5%,0)</f>
        <v>0.05</v>
      </c>
      <c r="E4" s="58">
        <f>IF(A4="Запад",IF(B4&gt;'Информация Менеджеры'!$F$3,5%,0),IF(B4&gt;'Информация Менеджеры'!$F$2,5%,0))</f>
        <v>0.05</v>
      </c>
      <c r="F4" s="58">
        <f>IF(B4="Запад",IF(C4&gt;'Информация Менеджеры'!$F$3,'Информация Менеджеры'!$G$3,0),IF(C4&gt;'Информация Менеджеры'!$F$2,'Информация Менеджеры'!$G$2,0))</f>
        <v>0.06</v>
      </c>
      <c r="G4" s="16"/>
      <c r="H4" s="3">
        <f>IF(C4&gt;$D$1,VLOOKUP(B4,'Информация Менеджеры'!$D$2:$G$3,2)*5%,"")</f>
        <v>205</v>
      </c>
      <c r="I4">
        <f>IF(C4&gt;$D$1,$D$2*C4,"")</f>
        <v>7311.35</v>
      </c>
      <c r="J4" t="e">
        <f>IF(C4&gt;$D$1,VLOOKUP(VLOOKUP(A4,'Информация Менеджеры'!$A$2:$B$6,2),'Информация Менеджеры'!$D$2:$G$3,3)*$D$2,"")</f>
        <v>#N/A</v>
      </c>
    </row>
    <row r="5" spans="1:10" x14ac:dyDescent="0.2">
      <c r="A5" s="18" t="s">
        <v>16</v>
      </c>
      <c r="B5" s="18" t="str">
        <f>VLOOKUP(A5,'Информация Менеджеры'!$A$2:$B$6,2,0)</f>
        <v>Восток</v>
      </c>
      <c r="C5" s="22">
        <f>VLOOKUP(A5,'Сводн табл'!$A$4:$B$8,2,0)</f>
        <v>184825</v>
      </c>
      <c r="D5" s="58">
        <f t="shared" ref="D5:D8" si="0">IF(C5&gt;$D$1,5%,0)</f>
        <v>0.05</v>
      </c>
      <c r="E5" s="58">
        <f>IF(A5="Запад",IF(B5&gt;'Информация Менеджеры'!$F$3,5%,0),IF(B5&gt;'Информация Менеджеры'!$F$2,5%,0))</f>
        <v>0.05</v>
      </c>
      <c r="F5" s="58">
        <f>IF(B5="Запад",IF(C5&gt;'Информация Менеджеры'!$F$3,'Информация Менеджеры'!$G$3,0),IF(C5&gt;'Информация Менеджеры'!$F$2,'Информация Менеджеры'!$G$2,0))</f>
        <v>0.04</v>
      </c>
      <c r="G5" s="16"/>
      <c r="H5" s="3">
        <f>IF(C5&gt;$D$1,VLOOKUP(B5,'Информация Менеджеры'!$D$2:$G$3,2)*5%,"")</f>
        <v>175</v>
      </c>
      <c r="I5">
        <f t="shared" ref="I5:I8" si="1">IF(C5&gt;$D$1,$D$2*C5,"")</f>
        <v>9241.25</v>
      </c>
    </row>
    <row r="6" spans="1:10" x14ac:dyDescent="0.2">
      <c r="A6" s="18" t="s">
        <v>17</v>
      </c>
      <c r="B6" s="18" t="str">
        <f>VLOOKUP(A6,'Информация Менеджеры'!$A$2:$B$6,2,0)</f>
        <v>Восток</v>
      </c>
      <c r="C6" s="22">
        <f>VLOOKUP(A6,'Сводн табл'!$A$4:$B$8,2,0)</f>
        <v>245736</v>
      </c>
      <c r="D6" s="58">
        <f t="shared" si="0"/>
        <v>0.05</v>
      </c>
      <c r="E6" s="58">
        <f>IF(A6="Запад",IF(B6&gt;'Информация Менеджеры'!$F$3,5%,0),IF(B6&gt;'Информация Менеджеры'!$F$2,5%,0))</f>
        <v>0.05</v>
      </c>
      <c r="F6" s="58">
        <f>IF(B6="Запад",IF(C6&gt;'Информация Менеджеры'!$F$3,'Информация Менеджеры'!$G$3,0),IF(C6&gt;'Информация Менеджеры'!$F$2,'Информация Менеджеры'!$G$2,0))</f>
        <v>0.04</v>
      </c>
      <c r="G6" s="16"/>
      <c r="H6" s="3">
        <f>IF(C6&gt;$D$1,VLOOKUP(B6,'Информация Менеджеры'!$D$2:$G$3,2)*5%,"")</f>
        <v>175</v>
      </c>
      <c r="I6">
        <f t="shared" si="1"/>
        <v>12286.800000000001</v>
      </c>
    </row>
    <row r="7" spans="1:10" x14ac:dyDescent="0.2">
      <c r="A7" s="18" t="s">
        <v>18</v>
      </c>
      <c r="B7" s="18" t="str">
        <f>VLOOKUP(A7,'Информация Менеджеры'!$A$2:$B$6,2,0)</f>
        <v>Восток</v>
      </c>
      <c r="C7" s="22">
        <f>VLOOKUP(A7,'Сводн табл'!$A$4:$B$8,2,0)</f>
        <v>171242</v>
      </c>
      <c r="D7" s="58">
        <f t="shared" si="0"/>
        <v>0.05</v>
      </c>
      <c r="E7" s="58">
        <f>IF(A7="Запад",IF(B7&gt;'Информация Менеджеры'!$F$3,5%,0),IF(B7&gt;'Информация Менеджеры'!$F$2,5%,0))</f>
        <v>0.05</v>
      </c>
      <c r="F7" s="58">
        <f>IF(B7="Запад",IF(C7&gt;'Информация Менеджеры'!$F$3,'Информация Менеджеры'!$G$3,0),IF(C7&gt;'Информация Менеджеры'!$F$2,'Информация Менеджеры'!$G$2,0))</f>
        <v>0.04</v>
      </c>
      <c r="G7" s="16"/>
      <c r="H7" s="3">
        <f>IF(C7&gt;$D$1,VLOOKUP(B7,'Информация Менеджеры'!$D$2:$G$3,2)*5%,"")</f>
        <v>175</v>
      </c>
      <c r="I7">
        <f t="shared" si="1"/>
        <v>8562.1</v>
      </c>
    </row>
    <row r="8" spans="1:10" x14ac:dyDescent="0.2">
      <c r="A8" s="18" t="s">
        <v>20</v>
      </c>
      <c r="B8" s="18" t="str">
        <f>VLOOKUP(A8,'Информация Менеджеры'!$A$2:$B$6,2,0)</f>
        <v>Запад</v>
      </c>
      <c r="C8" s="22">
        <f>VLOOKUP(A8,'Сводн табл'!$A$4:$B$8,2,0)</f>
        <v>202097</v>
      </c>
      <c r="D8" s="58">
        <f t="shared" si="0"/>
        <v>0.05</v>
      </c>
      <c r="E8" s="58">
        <f>IF(A8="Запад",IF(B8&gt;'Информация Менеджеры'!$F$3,5%,0),IF(B8&gt;'Информация Менеджеры'!$F$2,5%,0))</f>
        <v>0.05</v>
      </c>
      <c r="F8" s="58">
        <f>IF(B8="Запад",IF(C8&gt;'Информация Менеджеры'!$F$3,'Информация Менеджеры'!$G$3,0),IF(C8&gt;'Информация Менеджеры'!$F$2,'Информация Менеджеры'!$G$2,0))</f>
        <v>0.06</v>
      </c>
      <c r="G8" s="16"/>
      <c r="H8" s="3">
        <f>IF(C8&gt;$D$1,VLOOKUP(B8,'Информация Менеджеры'!$D$2:$G$3,2)*5%,"")</f>
        <v>205</v>
      </c>
      <c r="I8">
        <f t="shared" si="1"/>
        <v>10104.85</v>
      </c>
    </row>
    <row r="9" spans="1:10" x14ac:dyDescent="0.2">
      <c r="A9" s="19" t="s">
        <v>40</v>
      </c>
      <c r="B9" s="19"/>
      <c r="C9" s="57">
        <f>SUM(C4:C8)</f>
        <v>950127</v>
      </c>
      <c r="D9" s="16"/>
      <c r="E9" s="16"/>
      <c r="F9" s="16"/>
      <c r="G9" s="16"/>
      <c r="H9" s="66">
        <f>SUM(H4:H8)</f>
        <v>935</v>
      </c>
      <c r="I9" s="67">
        <f>SUM(I4:I8)</f>
        <v>47506.35</v>
      </c>
      <c r="J9" s="67"/>
    </row>
    <row r="12" spans="1:10" x14ac:dyDescent="0.2">
      <c r="A12" t="s">
        <v>52</v>
      </c>
      <c r="C12" t="s">
        <v>53</v>
      </c>
    </row>
    <row r="13" spans="1:10" x14ac:dyDescent="0.2">
      <c r="A13" t="s">
        <v>54</v>
      </c>
      <c r="C13" t="s">
        <v>55</v>
      </c>
    </row>
    <row r="14" spans="1:10" x14ac:dyDescent="0.2">
      <c r="A14" t="s">
        <v>56</v>
      </c>
      <c r="C14" t="s">
        <v>57</v>
      </c>
    </row>
    <row r="17" spans="1:3" x14ac:dyDescent="0.2">
      <c r="A17" t="s">
        <v>58</v>
      </c>
      <c r="C1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topLeftCell="A2" workbookViewId="0">
      <selection activeCell="I30" sqref="I30"/>
    </sheetView>
  </sheetViews>
  <sheetFormatPr baseColWidth="10" defaultColWidth="8.83203125" defaultRowHeight="15" x14ac:dyDescent="0.2"/>
  <cols>
    <col min="1" max="1" width="27.5" bestFit="1" customWidth="1"/>
    <col min="2" max="2" width="19.5" bestFit="1" customWidth="1"/>
    <col min="3" max="3" width="17" bestFit="1" customWidth="1"/>
    <col min="4" max="4" width="16.6640625" bestFit="1" customWidth="1"/>
    <col min="5" max="5" width="16.1640625" bestFit="1" customWidth="1"/>
    <col min="6" max="7" width="13.1640625" bestFit="1" customWidth="1"/>
    <col min="8" max="8" width="15.5" bestFit="1" customWidth="1"/>
    <col min="9" max="9" width="13.1640625" bestFit="1" customWidth="1"/>
    <col min="10" max="10" width="18.33203125" customWidth="1"/>
    <col min="14" max="14" width="26.5" bestFit="1" customWidth="1"/>
    <col min="15" max="15" width="14.5" customWidth="1"/>
    <col min="16" max="16" width="26.33203125" bestFit="1" customWidth="1"/>
  </cols>
  <sheetData>
    <row r="1" spans="1:10" x14ac:dyDescent="0.2">
      <c r="A1" s="2" t="s">
        <v>60</v>
      </c>
      <c r="E1" s="2" t="s">
        <v>61</v>
      </c>
      <c r="F1" s="20">
        <v>42795</v>
      </c>
      <c r="H1" s="2" t="s">
        <v>62</v>
      </c>
      <c r="I1" s="20">
        <v>42825</v>
      </c>
    </row>
    <row r="3" spans="1:10" ht="18" customHeight="1" x14ac:dyDescent="0.2">
      <c r="A3" s="2" t="s">
        <v>63</v>
      </c>
      <c r="B3" s="21" t="s">
        <v>7</v>
      </c>
      <c r="C3" s="21" t="s">
        <v>9</v>
      </c>
      <c r="D3" s="21" t="s">
        <v>10</v>
      </c>
      <c r="E3" s="21" t="s">
        <v>26</v>
      </c>
      <c r="F3" s="21" t="s">
        <v>27</v>
      </c>
      <c r="G3" s="21" t="s">
        <v>28</v>
      </c>
      <c r="H3" s="21" t="s">
        <v>64</v>
      </c>
      <c r="I3" s="21" t="s">
        <v>65</v>
      </c>
      <c r="J3" s="21" t="s">
        <v>66</v>
      </c>
    </row>
    <row r="4" spans="1:10" x14ac:dyDescent="0.2">
      <c r="A4" s="16" t="s">
        <v>16</v>
      </c>
      <c r="B4" s="22">
        <f>SUMIFS(общая_стоимость,ФИО_мен,Отчет1!$A4,Наименование_Товара,Отчет1!B$3,Дата,"&gt;="&amp;Начало_периода,Дата,"&lt;="&amp;Конец_периода)</f>
        <v>0</v>
      </c>
      <c r="C4" s="22">
        <f>SUMIFS(общая_стоимость,ФИО_мен,Отчет1!$A4,Наименование_Товара,Отчет1!C$3,Дата,"&gt;="&amp;Начало_периода,Дата,"&lt;="&amp;Конец_периода)</f>
        <v>2848</v>
      </c>
      <c r="D4" s="22">
        <f>SUMIFS(общая_стоимость,ФИО_мен,Отчет1!$A4,Наименование_Товара,Отчет1!D$3,Дата,"&gt;="&amp;Начало_периода,Дата,"&lt;="&amp;Конец_периода)</f>
        <v>2520</v>
      </c>
      <c r="E4" s="22">
        <f>SUMIFS(общая_стоимость,ФИО_мен,Отчет1!$A4,Наименование_Товара,Отчет1!E$3,Дата,"&gt;="&amp;Начало_периода,Дата,"&lt;="&amp;Конец_периода)</f>
        <v>0</v>
      </c>
      <c r="F4" s="22">
        <f>SUMIFS(общая_стоимость,ФИО_мен,Отчет1!$A4,Наименование_Товара,Отчет1!F$3,Дата,"&gt;="&amp;Начало_периода,Дата,"&lt;="&amp;Конец_периода)</f>
        <v>0</v>
      </c>
      <c r="G4" s="22">
        <f>SUMIFS(общая_стоимость,ФИО_мен,Отчет1!$A4,Наименование_Товара,Отчет1!G$3,Дата,"&gt;="&amp;Начало_периода,Дата,"&lt;="&amp;Конец_периода)</f>
        <v>10440</v>
      </c>
      <c r="H4" s="22">
        <f>SUMIFS(общая_стоимость,ФИО_мен,Отчет1!$A4,Наименование_Товара,Отчет1!H$3,Дата,"&gt;="&amp;Начало_периода,Дата,"&lt;="&amp;Конец_периода)</f>
        <v>0</v>
      </c>
      <c r="I4" s="22">
        <f>SUMIFS(общая_стоимость,ФИО_мен,Отчет1!$A4,Наименование_Товара,Отчет1!I$3,Дата,"&gt;="&amp;Начало_периода,Дата,"&lt;="&amp;Конец_периода)</f>
        <v>0</v>
      </c>
      <c r="J4" s="22">
        <f>SUM(B4:I4)</f>
        <v>15808</v>
      </c>
    </row>
    <row r="5" spans="1:10" x14ac:dyDescent="0.2">
      <c r="A5" s="16" t="s">
        <v>17</v>
      </c>
      <c r="B5" s="22">
        <f>SUMIFS(общая_стоимость,ФИО_мен,Отчет1!$A5,Наименование_Товара,Отчет1!B$3,Дата,"&gt;="&amp;Начало_периода,Дата,"&lt;="&amp;Конец_периода)</f>
        <v>0</v>
      </c>
      <c r="C5" s="22">
        <f>SUMIFS(общая_стоимость,ФИО_мен,Отчет1!$A5,Наименование_Товара,Отчет1!C$3,Дата,"&gt;="&amp;Начало_периода,Дата,"&lt;="&amp;Конец_периода)</f>
        <v>4160</v>
      </c>
      <c r="D5" s="22">
        <f>SUMIFS(общая_стоимость,ФИО_мен,Отчет1!$A5,Наименование_Товара,Отчет1!D$3,Дата,"&gt;="&amp;Начало_периода,Дата,"&lt;="&amp;Конец_периода)</f>
        <v>0</v>
      </c>
      <c r="E5" s="22">
        <f>SUMIFS(общая_стоимость,ФИО_мен,Отчет1!$A5,Наименование_Товара,Отчет1!E$3,Дата,"&gt;="&amp;Начало_периода,Дата,"&lt;="&amp;Конец_периода)</f>
        <v>5400</v>
      </c>
      <c r="F5" s="22">
        <f>SUMIFS(общая_стоимость,ФИО_мен,Отчет1!$A5,Наименование_Товара,Отчет1!F$3,Дата,"&gt;="&amp;Начало_периода,Дата,"&lt;="&amp;Конец_периода)</f>
        <v>0</v>
      </c>
      <c r="G5" s="22">
        <f>SUMIFS(общая_стоимость,ФИО_мен,Отчет1!$A5,Наименование_Товара,Отчет1!G$3,Дата,"&gt;="&amp;Начало_периода,Дата,"&lt;="&amp;Конец_периода)</f>
        <v>0</v>
      </c>
      <c r="H5" s="22">
        <f>SUMIFS(общая_стоимость,ФИО_мен,Отчет1!$A5,Наименование_Товара,Отчет1!H$3,Дата,"&gt;="&amp;Начало_периода,Дата,"&lt;="&amp;Конец_периода)</f>
        <v>20900</v>
      </c>
      <c r="I5" s="22">
        <f>SUMIFS(общая_стоимость,ФИО_мен,Отчет1!$A5,Наименование_Товара,Отчет1!I$3,Дата,"&gt;="&amp;Начало_периода,Дата,"&lt;="&amp;Конец_периода)</f>
        <v>0</v>
      </c>
      <c r="J5" s="22">
        <f t="shared" ref="J5:J8" si="0">SUM(B5:I5)</f>
        <v>30460</v>
      </c>
    </row>
    <row r="6" spans="1:10" x14ac:dyDescent="0.2">
      <c r="A6" s="16" t="s">
        <v>18</v>
      </c>
      <c r="B6" s="22">
        <f>SUMIFS(общая_стоимость,ФИО_мен,Отчет1!$A6,Наименование_Товара,Отчет1!B$3,Дата,"&gt;="&amp;Начало_периода,Дата,"&lt;="&amp;Конец_периода)</f>
        <v>4000</v>
      </c>
      <c r="C6" s="22">
        <f>SUMIFS(общая_стоимость,ФИО_мен,Отчет1!$A6,Наименование_Товара,Отчет1!C$3,Дата,"&gt;="&amp;Начало_периода,Дата,"&lt;="&amp;Конец_периода)</f>
        <v>2240</v>
      </c>
      <c r="D6" s="22">
        <f>SUMIFS(общая_стоимость,ФИО_мен,Отчет1!$A6,Наименование_Товара,Отчет1!D$3,Дата,"&gt;="&amp;Начало_периода,Дата,"&lt;="&amp;Конец_периода)</f>
        <v>0</v>
      </c>
      <c r="E6" s="22">
        <f>SUMIFS(общая_стоимость,ФИО_мен,Отчет1!$A6,Наименование_Товара,Отчет1!E$3,Дата,"&gt;="&amp;Начало_периода,Дата,"&lt;="&amp;Конец_периода)</f>
        <v>0</v>
      </c>
      <c r="F6" s="22">
        <f>SUMIFS(общая_стоимость,ФИО_мен,Отчет1!$A6,Наименование_Товара,Отчет1!F$3,Дата,"&gt;="&amp;Начало_периода,Дата,"&lt;="&amp;Конец_периода)</f>
        <v>0</v>
      </c>
      <c r="G6" s="22">
        <f>SUMIFS(общая_стоимость,ФИО_мен,Отчет1!$A6,Наименование_Товара,Отчет1!G$3,Дата,"&gt;="&amp;Начало_периода,Дата,"&lt;="&amp;Конец_периода)</f>
        <v>8700</v>
      </c>
      <c r="H6" s="22">
        <f>SUMIFS(общая_стоимость,ФИО_мен,Отчет1!$A6,Наименование_Товара,Отчет1!H$3,Дата,"&gt;="&amp;Начало_периода,Дата,"&lt;="&amp;Конец_периода)</f>
        <v>0</v>
      </c>
      <c r="I6" s="22">
        <f>SUMIFS(общая_стоимость,ФИО_мен,Отчет1!$A6,Наименование_Товара,Отчет1!I$3,Дата,"&gt;="&amp;Начало_периода,Дата,"&lt;="&amp;Конец_периода)</f>
        <v>0</v>
      </c>
      <c r="J6" s="22">
        <f t="shared" si="0"/>
        <v>14940</v>
      </c>
    </row>
    <row r="7" spans="1:10" x14ac:dyDescent="0.2">
      <c r="A7" s="16" t="s">
        <v>19</v>
      </c>
      <c r="B7" s="22">
        <f>SUMIFS(общая_стоимость,ФИО_мен,Отчет1!$A7,Наименование_Товара,Отчет1!B$3,Дата,"&gt;="&amp;Начало_периода,Дата,"&lt;="&amp;Конец_периода)</f>
        <v>0</v>
      </c>
      <c r="C7" s="22">
        <f>SUMIFS(общая_стоимость,ФИО_мен,Отчет1!$A7,Наименование_Товара,Отчет1!C$3,Дата,"&gt;="&amp;Начало_периода,Дата,"&lt;="&amp;Конец_периода)</f>
        <v>0</v>
      </c>
      <c r="D7" s="22">
        <f>SUMIFS(общая_стоимость,ФИО_мен,Отчет1!$A7,Наименование_Товара,Отчет1!D$3,Дата,"&gt;="&amp;Начало_периода,Дата,"&lt;="&amp;Конец_периода)</f>
        <v>5400</v>
      </c>
      <c r="E7" s="22">
        <f>SUMIFS(общая_стоимость,ФИО_мен,Отчет1!$A7,Наименование_Товара,Отчет1!E$3,Дата,"&gt;="&amp;Начало_периода,Дата,"&lt;="&amp;Конец_периода)</f>
        <v>0</v>
      </c>
      <c r="F7" s="22">
        <f>SUMIFS(общая_стоимость,ФИО_мен,Отчет1!$A7,Наименование_Товара,Отчет1!F$3,Дата,"&gt;="&amp;Начало_периода,Дата,"&lt;="&amp;Конец_периода)</f>
        <v>0</v>
      </c>
      <c r="G7" s="22">
        <f>SUMIFS(общая_стоимость,ФИО_мен,Отчет1!$A7,Наименование_Товара,Отчет1!G$3,Дата,"&gt;="&amp;Начало_периода,Дата,"&lt;="&amp;Конец_периода)</f>
        <v>0</v>
      </c>
      <c r="H7" s="22">
        <f>SUMIFS(общая_стоимость,ФИО_мен,Отчет1!$A7,Наименование_Товара,Отчет1!H$3,Дата,"&gt;="&amp;Начало_периода,Дата,"&lt;="&amp;Конец_периода)</f>
        <v>13200</v>
      </c>
      <c r="I7" s="22">
        <f>SUMIFS(общая_стоимость,ФИО_мен,Отчет1!$A7,Наименование_Товара,Отчет1!I$3,Дата,"&gt;="&amp;Начало_периода,Дата,"&lt;="&amp;Конец_периода)</f>
        <v>0</v>
      </c>
      <c r="J7" s="22">
        <f t="shared" si="0"/>
        <v>18600</v>
      </c>
    </row>
    <row r="8" spans="1:10" x14ac:dyDescent="0.2">
      <c r="A8" s="16" t="s">
        <v>20</v>
      </c>
      <c r="B8" s="22">
        <f>SUMIFS(общая_стоимость,ФИО_мен,Отчет1!$A8,Наименование_Товара,Отчет1!B$3,Дата,"&gt;="&amp;Начало_периода,Дата,"&lt;="&amp;Конец_периода)</f>
        <v>0</v>
      </c>
      <c r="C8" s="22">
        <f>SUMIFS(общая_стоимость,ФИО_мен,Отчет1!$A8,Наименование_Товара,Отчет1!C$3,Дата,"&gt;="&amp;Начало_периода,Дата,"&lt;="&amp;Конец_периода)</f>
        <v>0</v>
      </c>
      <c r="D8" s="22">
        <f>SUMIFS(общая_стоимость,ФИО_мен,Отчет1!$A8,Наименование_Товара,Отчет1!D$3,Дата,"&gt;="&amp;Начало_периода,Дата,"&lt;="&amp;Конец_периода)</f>
        <v>0</v>
      </c>
      <c r="E8" s="22">
        <f>SUMIFS(общая_стоимость,ФИО_мен,Отчет1!$A8,Наименование_Товара,Отчет1!E$3,Дата,"&gt;="&amp;Начало_периода,Дата,"&lt;="&amp;Конец_периода)</f>
        <v>7560</v>
      </c>
      <c r="F8" s="22">
        <f>SUMIFS(общая_стоимость,ФИО_мен,Отчет1!$A8,Наименование_Товара,Отчет1!F$3,Дата,"&gt;="&amp;Начало_периода,Дата,"&lt;="&amp;Конец_периода)</f>
        <v>0</v>
      </c>
      <c r="G8" s="22">
        <f>SUMIFS(общая_стоимость,ФИО_мен,Отчет1!$A8,Наименование_Товара,Отчет1!G$3,Дата,"&gt;="&amp;Начало_периода,Дата,"&lt;="&amp;Конец_периода)</f>
        <v>14442</v>
      </c>
      <c r="H8" s="22">
        <f>SUMIFS(общая_стоимость,ФИО_мен,Отчет1!$A8,Наименование_Товара,Отчет1!H$3,Дата,"&gt;="&amp;Начало_периода,Дата,"&lt;="&amp;Конец_периода)</f>
        <v>19800</v>
      </c>
      <c r="I8" s="22">
        <f>SUMIFS(общая_стоимость,ФИО_мен,Отчет1!$A8,Наименование_Товара,Отчет1!I$3,Дата,"&gt;="&amp;Начало_периода,Дата,"&lt;="&amp;Конец_периода)</f>
        <v>0</v>
      </c>
      <c r="J8" s="22">
        <f t="shared" si="0"/>
        <v>41802</v>
      </c>
    </row>
    <row r="9" spans="1:10" x14ac:dyDescent="0.2">
      <c r="A9" s="16" t="s">
        <v>67</v>
      </c>
      <c r="B9" s="22">
        <f>SUM(B4:B8)</f>
        <v>4000</v>
      </c>
      <c r="C9" s="22">
        <f t="shared" ref="C9:I9" si="1">SUM(C4:C8)</f>
        <v>9248</v>
      </c>
      <c r="D9" s="22">
        <f t="shared" si="1"/>
        <v>7920</v>
      </c>
      <c r="E9" s="22">
        <f t="shared" si="1"/>
        <v>12960</v>
      </c>
      <c r="F9" s="22">
        <f t="shared" si="1"/>
        <v>0</v>
      </c>
      <c r="G9" s="22">
        <f t="shared" si="1"/>
        <v>33582</v>
      </c>
      <c r="H9" s="22">
        <f t="shared" si="1"/>
        <v>53900</v>
      </c>
      <c r="I9" s="22">
        <f t="shared" si="1"/>
        <v>0</v>
      </c>
      <c r="J9" s="60">
        <f>SUM(J4:J8)</f>
        <v>121610</v>
      </c>
    </row>
    <row r="11" spans="1:10" ht="16" x14ac:dyDescent="0.2">
      <c r="A11" s="2" t="s">
        <v>68</v>
      </c>
      <c r="B11" s="21" t="s">
        <v>7</v>
      </c>
      <c r="C11" s="21" t="s">
        <v>9</v>
      </c>
      <c r="D11" s="21" t="s">
        <v>10</v>
      </c>
      <c r="E11" s="21" t="s">
        <v>26</v>
      </c>
      <c r="F11" s="21" t="s">
        <v>27</v>
      </c>
      <c r="G11" s="21" t="s">
        <v>28</v>
      </c>
      <c r="H11" s="21" t="s">
        <v>64</v>
      </c>
      <c r="I11" s="21" t="s">
        <v>65</v>
      </c>
      <c r="J11" s="65" t="s">
        <v>66</v>
      </c>
    </row>
    <row r="12" spans="1:10" x14ac:dyDescent="0.2">
      <c r="A12" s="16" t="s">
        <v>16</v>
      </c>
      <c r="B12" s="16">
        <f>SUMIFS(Количество,ФИО_мен,Отчет1!$A12,Наименование_Товара,Отчет1!B$11,Дата,"&gt;="&amp;Начало_периода,Дата,"&lt;="&amp;Конец_периода)</f>
        <v>0</v>
      </c>
      <c r="C12" s="16">
        <f>SUMIFS(Количество,ФИО_мен,Отчет1!$A12,Наименование_Товара,Отчет1!C$11,Дата,"&gt;="&amp;Начало_периода,Дата,"&lt;="&amp;Конец_периода)</f>
        <v>89</v>
      </c>
      <c r="D12" s="16">
        <f>SUMIFS(Количество,ФИО_мен,Отчет1!$A12,Наименование_Товара,Отчет1!D$11,Дата,"&gt;="&amp;Начало_периода,Дата,"&lt;="&amp;Конец_периода)</f>
        <v>56</v>
      </c>
      <c r="E12" s="16">
        <f>SUMIFS(Количество,ФИО_мен,Отчет1!$A12,Наименование_Товара,Отчет1!E$11,Дата,"&gt;="&amp;Начало_периода,Дата,"&lt;="&amp;Конец_периода)</f>
        <v>0</v>
      </c>
      <c r="F12" s="16">
        <f>SUMIFS(Количество,ФИО_мен,Отчет1!$A12,Наименование_Товара,Отчет1!F$11,Дата,"&gt;="&amp;Начало_периода,Дата,"&lt;="&amp;Конец_периода)</f>
        <v>0</v>
      </c>
      <c r="G12" s="16">
        <f>SUMIFS(Количество,ФИО_мен,Отчет1!$A12,Наименование_Товара,Отчет1!G$11,Дата,"&gt;="&amp;Начало_периода,Дата,"&lt;="&amp;Конец_периода)</f>
        <v>120</v>
      </c>
      <c r="H12" s="16">
        <f>SUMIFS(Количество,ФИО_мен,Отчет1!$A12,Наименование_Товара,Отчет1!H$11,Дата,"&gt;="&amp;Начало_периода,Дата,"&lt;="&amp;Конец_периода)</f>
        <v>0</v>
      </c>
      <c r="I12" s="16">
        <f>SUMIFS(Количество,ФИО_мен,Отчет1!$A12,Наименование_Товара,Отчет1!I$11,Дата,"&gt;="&amp;Начало_периода,Дата,"&lt;="&amp;Конец_периода)</f>
        <v>0</v>
      </c>
      <c r="J12">
        <f>SUM(B12:I12)</f>
        <v>265</v>
      </c>
    </row>
    <row r="13" spans="1:10" x14ac:dyDescent="0.2">
      <c r="A13" s="16" t="s">
        <v>17</v>
      </c>
      <c r="B13" s="16">
        <f>SUMIFS(Количество,ФИО_мен,Отчет1!$A13,Наименование_Товара,Отчет1!B$11,Дата,"&gt;="&amp;Начало_периода,Дата,"&lt;="&amp;Конец_периода)</f>
        <v>0</v>
      </c>
      <c r="C13" s="16">
        <f>SUMIFS(Количество,ФИО_мен,Отчет1!$A13,Наименование_Товара,Отчет1!C$11,Дата,"&gt;="&amp;Начало_периода,Дата,"&lt;="&amp;Конец_периода)</f>
        <v>130</v>
      </c>
      <c r="D13" s="16">
        <f>SUMIFS(Количество,ФИО_мен,Отчет1!$A13,Наименование_Товара,Отчет1!D$11,Дата,"&gt;="&amp;Начало_периода,Дата,"&lt;="&amp;Конец_периода)</f>
        <v>0</v>
      </c>
      <c r="E13" s="16">
        <f>SUMIFS(Количество,ФИО_мен,Отчет1!$A13,Наименование_Товара,Отчет1!E$11,Дата,"&gt;="&amp;Начало_периода,Дата,"&lt;="&amp;Конец_периода)</f>
        <v>150</v>
      </c>
      <c r="F13" s="16">
        <f>SUMIFS(Количество,ФИО_мен,Отчет1!$A13,Наименование_Товара,Отчет1!F$11,Дата,"&gt;="&amp;Начало_периода,Дата,"&lt;="&amp;Конец_периода)</f>
        <v>0</v>
      </c>
      <c r="G13" s="16">
        <f>SUMIFS(Количество,ФИО_мен,Отчет1!$A13,Наименование_Товара,Отчет1!G$11,Дата,"&gt;="&amp;Начало_периода,Дата,"&lt;="&amp;Конец_периода)</f>
        <v>0</v>
      </c>
      <c r="H13" s="16">
        <f>SUMIFS(Количество,ФИО_мен,Отчет1!$A13,Наименование_Товара,Отчет1!H$11,Дата,"&gt;="&amp;Начало_периода,Дата,"&lt;="&amp;Конец_периода)</f>
        <v>190</v>
      </c>
      <c r="I13" s="16">
        <f>SUMIFS(Количество,ФИО_мен,Отчет1!$A13,Наименование_Товара,Отчет1!I$11,Дата,"&gt;="&amp;Начало_периода,Дата,"&lt;="&amp;Конец_периода)</f>
        <v>0</v>
      </c>
      <c r="J13">
        <f t="shared" ref="J13:J15" si="2">SUM(B13:I13)</f>
        <v>470</v>
      </c>
    </row>
    <row r="14" spans="1:10" x14ac:dyDescent="0.2">
      <c r="A14" s="16" t="s">
        <v>18</v>
      </c>
      <c r="B14" s="16">
        <f>SUMIFS(Количество,ФИО_мен,Отчет1!$A14,Наименование_Товара,Отчет1!B$11,Дата,"&gt;="&amp;Начало_периода,Дата,"&lt;="&amp;Конец_периода)</f>
        <v>160</v>
      </c>
      <c r="C14" s="16">
        <f>SUMIFS(Количество,ФИО_мен,Отчет1!$A14,Наименование_Товара,Отчет1!C$11,Дата,"&gt;="&amp;Начало_периода,Дата,"&lt;="&amp;Конец_периода)</f>
        <v>80</v>
      </c>
      <c r="D14" s="16">
        <f>SUMIFS(Количество,ФИО_мен,Отчет1!$A14,Наименование_Товара,Отчет1!D$11,Дата,"&gt;="&amp;Начало_периода,Дата,"&lt;="&amp;Конец_периода)</f>
        <v>0</v>
      </c>
      <c r="E14" s="16">
        <f>SUMIFS(Количество,ФИО_мен,Отчет1!$A14,Наименование_Товара,Отчет1!E$11,Дата,"&gt;="&amp;Начало_периода,Дата,"&lt;="&amp;Конец_периода)</f>
        <v>0</v>
      </c>
      <c r="F14" s="16">
        <f>SUMIFS(Количество,ФИО_мен,Отчет1!$A14,Наименование_Товара,Отчет1!F$11,Дата,"&gt;="&amp;Начало_периода,Дата,"&lt;="&amp;Конец_периода)</f>
        <v>0</v>
      </c>
      <c r="G14" s="16">
        <f>SUMIFS(Количество,ФИО_мен,Отчет1!$A14,Наименование_Товара,Отчет1!G$11,Дата,"&gt;="&amp;Начало_периода,Дата,"&lt;="&amp;Конец_периода)</f>
        <v>160</v>
      </c>
      <c r="H14" s="16">
        <f>SUMIFS(Количество,ФИО_мен,Отчет1!$A14,Наименование_Товара,Отчет1!H$11,Дата,"&gt;="&amp;Начало_периода,Дата,"&lt;="&amp;Конец_периода)</f>
        <v>0</v>
      </c>
      <c r="I14" s="16">
        <f>SUMIFS(Количество,ФИО_мен,Отчет1!$A14,Наименование_Товара,Отчет1!I$11,Дата,"&gt;="&amp;Начало_периода,Дата,"&lt;="&amp;Конец_периода)</f>
        <v>0</v>
      </c>
      <c r="J14">
        <f t="shared" si="2"/>
        <v>400</v>
      </c>
    </row>
    <row r="15" spans="1:10" x14ac:dyDescent="0.2">
      <c r="A15" s="16" t="s">
        <v>19</v>
      </c>
      <c r="B15" s="16">
        <f>SUMIFS(Количество,ФИО_мен,Отчет1!$A15,Наименование_Товара,Отчет1!B$11,Дата,"&gt;="&amp;Начало_периода,Дата,"&lt;="&amp;Конец_периода)</f>
        <v>0</v>
      </c>
      <c r="C15" s="16">
        <f>SUMIFS(Количество,ФИО_мен,Отчет1!$A15,Наименование_Товара,Отчет1!C$11,Дата,"&gt;="&amp;Начало_периода,Дата,"&lt;="&amp;Конец_периода)</f>
        <v>0</v>
      </c>
      <c r="D15" s="16">
        <f>SUMIFS(Количество,ФИО_мен,Отчет1!$A15,Наименование_Товара,Отчет1!D$11,Дата,"&gt;="&amp;Начало_периода,Дата,"&lt;="&amp;Конец_периода)</f>
        <v>120</v>
      </c>
      <c r="E15" s="16">
        <f>SUMIFS(Количество,ФИО_мен,Отчет1!$A15,Наименование_Товара,Отчет1!E$11,Дата,"&gt;="&amp;Начало_периода,Дата,"&lt;="&amp;Конец_периода)</f>
        <v>0</v>
      </c>
      <c r="F15" s="16">
        <f>SUMIFS(Количество,ФИО_мен,Отчет1!$A15,Наименование_Товара,Отчет1!F$11,Дата,"&gt;="&amp;Начало_периода,Дата,"&lt;="&amp;Конец_периода)</f>
        <v>0</v>
      </c>
      <c r="G15" s="16">
        <f>SUMIFS(Количество,ФИО_мен,Отчет1!$A15,Наименование_Товара,Отчет1!G$11,Дата,"&gt;="&amp;Начало_периода,Дата,"&lt;="&amp;Конец_периода)</f>
        <v>0</v>
      </c>
      <c r="H15" s="16">
        <f>SUMIFS(Количество,ФИО_мен,Отчет1!$A15,Наименование_Товара,Отчет1!H$11,Дата,"&gt;="&amp;Начало_периода,Дата,"&lt;="&amp;Конец_периода)</f>
        <v>160</v>
      </c>
      <c r="I15" s="16">
        <f>SUMIFS(Количество,ФИО_мен,Отчет1!$A15,Наименование_Товара,Отчет1!I$11,Дата,"&gt;="&amp;Начало_периода,Дата,"&lt;="&amp;Конец_периода)</f>
        <v>0</v>
      </c>
      <c r="J15">
        <f t="shared" si="2"/>
        <v>280</v>
      </c>
    </row>
    <row r="16" spans="1:10" x14ac:dyDescent="0.2">
      <c r="A16" s="16" t="s">
        <v>20</v>
      </c>
      <c r="B16" s="16">
        <f>SUMIFS(Количество,ФИО_мен,Отчет1!$A16,Наименование_Товара,Отчет1!B$11,Дата,"&gt;="&amp;Начало_периода,Дата,"&lt;="&amp;Конец_периода)</f>
        <v>0</v>
      </c>
      <c r="C16" s="16">
        <f>SUMIFS(Количество,ФИО_мен,Отчет1!$A16,Наименование_Товара,Отчет1!C$11,Дата,"&gt;="&amp;Начало_периода,Дата,"&lt;="&amp;Конец_периода)</f>
        <v>0</v>
      </c>
      <c r="D16" s="16">
        <f>SUMIFS(Количество,ФИО_мен,Отчет1!$A16,Наименование_Товара,Отчет1!D$11,Дата,"&gt;="&amp;Начало_периода,Дата,"&lt;="&amp;Конец_периода)</f>
        <v>0</v>
      </c>
      <c r="E16" s="16">
        <f>SUMIFS(Количество,ФИО_мен,Отчет1!$A16,Наименование_Товара,Отчет1!E$11,Дата,"&gt;="&amp;Начало_периода,Дата,"&lt;="&amp;Конец_периода)</f>
        <v>140</v>
      </c>
      <c r="F16" s="16">
        <f>SUMIFS(Количество,ФИО_мен,Отчет1!$A16,Наименование_Товара,Отчет1!F$11,Дата,"&gt;="&amp;Начало_периода,Дата,"&lt;="&amp;Конец_периода)</f>
        <v>0</v>
      </c>
      <c r="G16" s="16">
        <f>SUMIFS(Количество,ФИО_мен,Отчет1!$A16,Наименование_Товара,Отчет1!G$11,Дата,"&gt;="&amp;Начало_периода,Дата,"&lt;="&amp;Конец_периода)</f>
        <v>166</v>
      </c>
      <c r="H16" s="16">
        <f>SUMIFS(Количество,ФИО_мен,Отчет1!$A16,Наименование_Товара,Отчет1!H$11,Дата,"&gt;="&amp;Начало_периода,Дата,"&lt;="&amp;Конец_периода)</f>
        <v>210</v>
      </c>
      <c r="I16" s="16">
        <f>SUMIFS(Количество,ФИО_мен,Отчет1!$A16,Наименование_Товара,Отчет1!I$11,Дата,"&gt;="&amp;Начало_периода,Дата,"&lt;="&amp;Конец_периода)</f>
        <v>0</v>
      </c>
      <c r="J16">
        <f>SUM(B16:I16)</f>
        <v>516</v>
      </c>
    </row>
    <row r="17" spans="1:11" x14ac:dyDescent="0.2">
      <c r="A17" s="23" t="s">
        <v>69</v>
      </c>
      <c r="B17" s="61">
        <f>SUM(B12:B16)</f>
        <v>160</v>
      </c>
      <c r="C17" s="61">
        <f t="shared" ref="C17:I17" si="3">SUM(C12:C16)</f>
        <v>299</v>
      </c>
      <c r="D17" s="61">
        <f t="shared" si="3"/>
        <v>176</v>
      </c>
      <c r="E17" s="61">
        <f t="shared" si="3"/>
        <v>290</v>
      </c>
      <c r="F17" s="61">
        <f t="shared" si="3"/>
        <v>0</v>
      </c>
      <c r="G17" s="61">
        <f t="shared" si="3"/>
        <v>446</v>
      </c>
      <c r="H17" s="61">
        <f t="shared" si="3"/>
        <v>560</v>
      </c>
      <c r="I17" s="61">
        <f t="shared" si="3"/>
        <v>0</v>
      </c>
    </row>
    <row r="18" spans="1:11" x14ac:dyDescent="0.2">
      <c r="A18" s="24" t="s">
        <v>70</v>
      </c>
      <c r="B18" s="61">
        <f>SUMIFS(Количество_к_возврату,Наименование_Товара,Отчет1!B11,Дата,"&gt;="&amp;Начало_периода,Дата,"&lt;="&amp;Конец_периода)</f>
        <v>0</v>
      </c>
      <c r="C18" s="61">
        <f>SUMIFS(Количество_к_возврату,Наименование_Товара,Отчет1!C11,Дата,"&gt;="&amp;Начало_периода,Дата,"&lt;="&amp;Конец_периода)</f>
        <v>10</v>
      </c>
      <c r="D18" s="61">
        <f>SUMIFS(Количество_к_возврату,Наименование_Товара,Отчет1!D11,Дата,"&gt;="&amp;Начало_периода,Дата,"&lt;="&amp;Конец_периода)</f>
        <v>0</v>
      </c>
      <c r="E18" s="61">
        <f>SUMIFS(Количество_к_возврату,Наименование_Товара,Отчет1!E11,Дата,"&gt;="&amp;Начало_периода,Дата,"&lt;="&amp;Конец_периода)</f>
        <v>50</v>
      </c>
      <c r="F18" s="61">
        <f>SUMIFS(Количество_к_возврату,Наименование_Товара,Отчет1!F11,Дата,"&gt;="&amp;Начало_периода,Дата,"&lt;="&amp;Конец_периода)</f>
        <v>0</v>
      </c>
      <c r="G18" s="61">
        <f>SUMIFS(Количество_к_возврату,Наименование_Товара,Отчет1!G11,Дата,"&gt;="&amp;Начало_периода,Дата,"&lt;="&amp;Конец_периода)</f>
        <v>60</v>
      </c>
      <c r="H18" s="61">
        <f>SUMIFS(Количество_к_возврату,Наименование_Товара,Отчет1!H11,Дата,"&gt;="&amp;Начало_периода,Дата,"&lt;="&amp;Конец_периода)</f>
        <v>70</v>
      </c>
      <c r="I18" s="61">
        <f>SUMIFS(Количество_к_возврату,Наименование_Товара,Отчет1!I11,Дата,"&gt;="&amp;Начало_периода,Дата,"&lt;="&amp;Конец_периода)</f>
        <v>0</v>
      </c>
    </row>
    <row r="19" spans="1:11" x14ac:dyDescent="0.2">
      <c r="A19" s="63" t="s">
        <v>97</v>
      </c>
      <c r="B19">
        <f>B17-B18</f>
        <v>160</v>
      </c>
      <c r="C19">
        <f t="shared" ref="C19:I19" si="4">C17-C18</f>
        <v>289</v>
      </c>
      <c r="D19">
        <f t="shared" si="4"/>
        <v>176</v>
      </c>
      <c r="E19">
        <f t="shared" si="4"/>
        <v>240</v>
      </c>
      <c r="F19">
        <f t="shared" si="4"/>
        <v>0</v>
      </c>
      <c r="G19">
        <f t="shared" si="4"/>
        <v>386</v>
      </c>
      <c r="H19">
        <f t="shared" si="4"/>
        <v>490</v>
      </c>
      <c r="I19">
        <f t="shared" si="4"/>
        <v>0</v>
      </c>
    </row>
    <row r="20" spans="1:11" ht="16" x14ac:dyDescent="0.2">
      <c r="A20" s="26" t="s">
        <v>71</v>
      </c>
      <c r="B20" s="21" t="s">
        <v>7</v>
      </c>
      <c r="C20" s="21" t="s">
        <v>9</v>
      </c>
      <c r="D20" s="21" t="s">
        <v>10</v>
      </c>
      <c r="E20" s="21" t="s">
        <v>26</v>
      </c>
      <c r="F20" s="21" t="s">
        <v>27</v>
      </c>
      <c r="G20" s="21" t="s">
        <v>28</v>
      </c>
      <c r="H20" s="21" t="s">
        <v>64</v>
      </c>
      <c r="I20" s="21" t="s">
        <v>65</v>
      </c>
      <c r="J20" s="21" t="s">
        <v>66</v>
      </c>
    </row>
    <row r="21" spans="1:11" x14ac:dyDescent="0.2">
      <c r="A21" s="16" t="s">
        <v>16</v>
      </c>
      <c r="B21" s="27">
        <f>COUNTIFS(Наименование_Товара,Отчет1!B$20,ФИО_мен,Отчет1!$A21,Дата,"&gt;="&amp;Начало_периода,Дата,"&lt;="&amp;Конец_периода)</f>
        <v>0</v>
      </c>
      <c r="C21" s="27">
        <f>COUNTIFS(Наименование_Товара,Отчет1!C$20,ФИО_мен,Отчет1!$A21,Дата,"&gt;="&amp;Начало_периода,Дата,"&lt;="&amp;Конец_периода)</f>
        <v>1</v>
      </c>
      <c r="D21" s="27">
        <f>COUNTIFS(Наименование_Товара,Отчет1!D$20,ФИО_мен,Отчет1!$A21,Дата,"&gt;="&amp;Начало_периода,Дата,"&lt;="&amp;Конец_периода)</f>
        <v>1</v>
      </c>
      <c r="E21" s="27">
        <f>COUNTIFS(Наименование_Товара,Отчет1!E$20,ФИО_мен,Отчет1!$A21,Дата,"&gt;="&amp;Начало_периода,Дата,"&lt;="&amp;Конец_периода)</f>
        <v>0</v>
      </c>
      <c r="F21" s="27">
        <f>COUNTIFS(Наименование_Товара,Отчет1!F$20,ФИО_мен,Отчет1!$A21,Дата,"&gt;="&amp;Начало_периода,Дата,"&lt;="&amp;Конец_периода)</f>
        <v>0</v>
      </c>
      <c r="G21" s="27">
        <f>COUNTIFS(Наименование_Товара,Отчет1!G$20,ФИО_мен,Отчет1!$A21,Дата,"&gt;="&amp;Начало_периода,Дата,"&lt;="&amp;Конец_периода)</f>
        <v>1</v>
      </c>
      <c r="H21" s="27">
        <f>COUNTIFS(Наименование_Товара,Отчет1!H$20,ФИО_мен,Отчет1!$A21,Дата,"&gt;="&amp;Начало_периода,Дата,"&lt;="&amp;Конец_периода)</f>
        <v>0</v>
      </c>
      <c r="I21" s="27">
        <f>COUNTIFS(Наименование_Товара,Отчет1!I$20,ФИО_мен,Отчет1!$A21,Дата,"&gt;="&amp;Начало_периода,Дата,"&lt;="&amp;Конец_периода)</f>
        <v>0</v>
      </c>
      <c r="J21" s="27">
        <f>SUM(B21:I21)</f>
        <v>3</v>
      </c>
      <c r="K21" s="28"/>
    </row>
    <row r="22" spans="1:11" x14ac:dyDescent="0.2">
      <c r="A22" s="16" t="s">
        <v>17</v>
      </c>
      <c r="B22" s="27">
        <f>COUNTIFS(Наименование_Товара,Отчет1!B$20,ФИО_мен,Отчет1!$A22,Дата,"&gt;="&amp;Начало_периода,Дата,"&lt;="&amp;Конец_периода)</f>
        <v>0</v>
      </c>
      <c r="C22" s="27">
        <f>COUNTIFS(Наименование_Товара,Отчет1!C$20,ФИО_мен,Отчет1!$A22,Дата,"&gt;="&amp;Начало_периода,Дата,"&lt;="&amp;Конец_периода)</f>
        <v>2</v>
      </c>
      <c r="D22" s="27">
        <f>COUNTIFS(Наименование_Товара,Отчет1!D$20,ФИО_мен,Отчет1!$A22,Дата,"&gt;="&amp;Начало_периода,Дата,"&lt;="&amp;Конец_периода)</f>
        <v>0</v>
      </c>
      <c r="E22" s="27">
        <f>COUNTIFS(Наименование_Товара,Отчет1!E$20,ФИО_мен,Отчет1!$A22,Дата,"&gt;="&amp;Начало_периода,Дата,"&lt;="&amp;Конец_периода)</f>
        <v>1</v>
      </c>
      <c r="F22" s="27">
        <f>COUNTIFS(Наименование_Товара,Отчет1!F$20,ФИО_мен,Отчет1!$A22,Дата,"&gt;="&amp;Начало_периода,Дата,"&lt;="&amp;Конец_периода)</f>
        <v>0</v>
      </c>
      <c r="G22" s="27">
        <f>COUNTIFS(Наименование_Товара,Отчет1!G$20,ФИО_мен,Отчет1!$A22,Дата,"&gt;="&amp;Начало_периода,Дата,"&lt;="&amp;Конец_периода)</f>
        <v>0</v>
      </c>
      <c r="H22" s="27">
        <f>COUNTIFS(Наименование_Товара,Отчет1!H$20,ФИО_мен,Отчет1!$A22,Дата,"&gt;="&amp;Начало_периода,Дата,"&lt;="&amp;Конец_периода)</f>
        <v>1</v>
      </c>
      <c r="I22" s="27">
        <f>COUNTIFS(Наименование_Товара,Отчет1!I$20,ФИО_мен,Отчет1!$A22,Дата,"&gt;="&amp;Начало_периода,Дата,"&lt;="&amp;Конец_периода)</f>
        <v>0</v>
      </c>
      <c r="J22" s="27">
        <f t="shared" ref="J22:J25" si="5">SUM(B22:I22)</f>
        <v>4</v>
      </c>
      <c r="K22" s="28"/>
    </row>
    <row r="23" spans="1:11" x14ac:dyDescent="0.2">
      <c r="A23" s="16" t="s">
        <v>18</v>
      </c>
      <c r="B23" s="27">
        <f>COUNTIFS(Наименование_Товара,Отчет1!B$20,ФИО_мен,Отчет1!$A23,Дата,"&gt;="&amp;Начало_периода,Дата,"&lt;="&amp;Конец_периода)</f>
        <v>1</v>
      </c>
      <c r="C23" s="27">
        <f>COUNTIFS(Наименование_Товара,Отчет1!C$20,ФИО_мен,Отчет1!$A23,Дата,"&gt;="&amp;Начало_периода,Дата,"&lt;="&amp;Конец_периода)</f>
        <v>1</v>
      </c>
      <c r="D23" s="27">
        <f>COUNTIFS(Наименование_Товара,Отчет1!D$20,ФИО_мен,Отчет1!$A23,Дата,"&gt;="&amp;Начало_периода,Дата,"&lt;="&amp;Конец_периода)</f>
        <v>0</v>
      </c>
      <c r="E23" s="27">
        <f>COUNTIFS(Наименование_Товара,Отчет1!E$20,ФИО_мен,Отчет1!$A23,Дата,"&gt;="&amp;Начало_периода,Дата,"&lt;="&amp;Конец_периода)</f>
        <v>0</v>
      </c>
      <c r="F23" s="27">
        <f>COUNTIFS(Наименование_Товара,Отчет1!F$20,ФИО_мен,Отчет1!$A23,Дата,"&gt;="&amp;Начало_периода,Дата,"&lt;="&amp;Конец_периода)</f>
        <v>0</v>
      </c>
      <c r="G23" s="27">
        <f>COUNTIFS(Наименование_Товара,Отчет1!G$20,ФИО_мен,Отчет1!$A23,Дата,"&gt;="&amp;Начало_периода,Дата,"&lt;="&amp;Конец_периода)</f>
        <v>1</v>
      </c>
      <c r="H23" s="27">
        <f>COUNTIFS(Наименование_Товара,Отчет1!H$20,ФИО_мен,Отчет1!$A23,Дата,"&gt;="&amp;Начало_периода,Дата,"&lt;="&amp;Конец_периода)</f>
        <v>0</v>
      </c>
      <c r="I23" s="27">
        <f>COUNTIFS(Наименование_Товара,Отчет1!I$20,ФИО_мен,Отчет1!$A23,Дата,"&gt;="&amp;Начало_периода,Дата,"&lt;="&amp;Конец_периода)</f>
        <v>0</v>
      </c>
      <c r="J23" s="27">
        <f t="shared" si="5"/>
        <v>3</v>
      </c>
      <c r="K23" s="28"/>
    </row>
    <row r="24" spans="1:11" x14ac:dyDescent="0.2">
      <c r="A24" s="16" t="s">
        <v>19</v>
      </c>
      <c r="B24" s="27">
        <f>COUNTIFS(Наименование_Товара,Отчет1!B$20,ФИО_мен,Отчет1!$A24,Дата,"&gt;="&amp;Начало_периода,Дата,"&lt;="&amp;Конец_периода)</f>
        <v>0</v>
      </c>
      <c r="C24" s="27">
        <f>COUNTIFS(Наименование_Товара,Отчет1!C$20,ФИО_мен,Отчет1!$A24,Дата,"&gt;="&amp;Начало_периода,Дата,"&lt;="&amp;Конец_периода)</f>
        <v>0</v>
      </c>
      <c r="D24" s="27">
        <f>COUNTIFS(Наименование_Товара,Отчет1!D$20,ФИО_мен,Отчет1!$A24,Дата,"&gt;="&amp;Начало_периода,Дата,"&lt;="&amp;Конец_периода)</f>
        <v>1</v>
      </c>
      <c r="E24" s="27">
        <f>COUNTIFS(Наименование_Товара,Отчет1!E$20,ФИО_мен,Отчет1!$A24,Дата,"&gt;="&amp;Начало_периода,Дата,"&lt;="&amp;Конец_периода)</f>
        <v>0</v>
      </c>
      <c r="F24" s="27">
        <f>COUNTIFS(Наименование_Товара,Отчет1!F$20,ФИО_мен,Отчет1!$A24,Дата,"&gt;="&amp;Начало_периода,Дата,"&lt;="&amp;Конец_периода)</f>
        <v>0</v>
      </c>
      <c r="G24" s="27">
        <f>COUNTIFS(Наименование_Товара,Отчет1!G$20,ФИО_мен,Отчет1!$A24,Дата,"&gt;="&amp;Начало_периода,Дата,"&lt;="&amp;Конец_периода)</f>
        <v>0</v>
      </c>
      <c r="H24" s="27">
        <f>COUNTIFS(Наименование_Товара,Отчет1!H$20,ФИО_мен,Отчет1!$A24,Дата,"&gt;="&amp;Начало_периода,Дата,"&lt;="&amp;Конец_периода)</f>
        <v>1</v>
      </c>
      <c r="I24" s="27">
        <f>COUNTIFS(Наименование_Товара,Отчет1!I$20,ФИО_мен,Отчет1!$A24,Дата,"&gt;="&amp;Начало_периода,Дата,"&lt;="&amp;Конец_периода)</f>
        <v>0</v>
      </c>
      <c r="J24" s="27">
        <f t="shared" si="5"/>
        <v>2</v>
      </c>
      <c r="K24" s="28"/>
    </row>
    <row r="25" spans="1:11" x14ac:dyDescent="0.2">
      <c r="A25" s="16" t="s">
        <v>20</v>
      </c>
      <c r="B25" s="27">
        <f>COUNTIFS(Наименование_Товара,Отчет1!B$20,ФИО_мен,Отчет1!$A25,Дата,"&gt;="&amp;Начало_периода,Дата,"&lt;="&amp;Конец_периода)</f>
        <v>0</v>
      </c>
      <c r="C25" s="27">
        <f>COUNTIFS(Наименование_Товара,Отчет1!C$20,ФИО_мен,Отчет1!$A25,Дата,"&gt;="&amp;Начало_периода,Дата,"&lt;="&amp;Конец_периода)</f>
        <v>0</v>
      </c>
      <c r="D25" s="27">
        <f>COUNTIFS(Наименование_Товара,Отчет1!D$20,ФИО_мен,Отчет1!$A25,Дата,"&gt;="&amp;Начало_периода,Дата,"&lt;="&amp;Конец_периода)</f>
        <v>0</v>
      </c>
      <c r="E25" s="27">
        <f>COUNTIFS(Наименование_Товара,Отчет1!E$20,ФИО_мен,Отчет1!$A25,Дата,"&gt;="&amp;Начало_периода,Дата,"&lt;="&amp;Конец_периода)</f>
        <v>1</v>
      </c>
      <c r="F25" s="27">
        <f>COUNTIFS(Наименование_Товара,Отчет1!F$20,ФИО_мен,Отчет1!$A25,Дата,"&gt;="&amp;Начало_периода,Дата,"&lt;="&amp;Конец_периода)</f>
        <v>0</v>
      </c>
      <c r="G25" s="27">
        <f>COUNTIFS(Наименование_Товара,Отчет1!G$20,ФИО_мен,Отчет1!$A25,Дата,"&gt;="&amp;Начало_периода,Дата,"&lt;="&amp;Конец_периода)</f>
        <v>1</v>
      </c>
      <c r="H25" s="27">
        <f>COUNTIFS(Наименование_Товара,Отчет1!H$20,ФИО_мен,Отчет1!$A25,Дата,"&gt;="&amp;Начало_периода,Дата,"&lt;="&amp;Конец_периода)</f>
        <v>1</v>
      </c>
      <c r="I25" s="27">
        <f>COUNTIFS(Наименование_Товара,Отчет1!I$20,ФИО_мен,Отчет1!$A25,Дата,"&gt;="&amp;Начало_периода,Дата,"&lt;="&amp;Конец_периода)</f>
        <v>0</v>
      </c>
      <c r="J25" s="27">
        <f t="shared" si="5"/>
        <v>3</v>
      </c>
      <c r="K25" s="28"/>
    </row>
    <row r="26" spans="1:11" x14ac:dyDescent="0.2">
      <c r="A26" s="16" t="s">
        <v>67</v>
      </c>
      <c r="B26" s="62">
        <f t="shared" ref="B26:J26" si="6">SUM(B21:B25)</f>
        <v>1</v>
      </c>
      <c r="C26" s="62">
        <f t="shared" si="6"/>
        <v>4</v>
      </c>
      <c r="D26" s="62">
        <f t="shared" si="6"/>
        <v>2</v>
      </c>
      <c r="E26" s="62">
        <f t="shared" si="6"/>
        <v>2</v>
      </c>
      <c r="F26" s="62">
        <f t="shared" si="6"/>
        <v>0</v>
      </c>
      <c r="G26" s="62">
        <f t="shared" si="6"/>
        <v>3</v>
      </c>
      <c r="H26" s="62">
        <f t="shared" si="6"/>
        <v>3</v>
      </c>
      <c r="I26" s="62">
        <f t="shared" si="6"/>
        <v>0</v>
      </c>
      <c r="J26" s="62">
        <f t="shared" si="6"/>
        <v>15</v>
      </c>
      <c r="K26" s="2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zoomScale="125" workbookViewId="0">
      <selection activeCell="B20" sqref="B20"/>
    </sheetView>
  </sheetViews>
  <sheetFormatPr baseColWidth="10" defaultColWidth="9.1640625" defaultRowHeight="15" x14ac:dyDescent="0.2"/>
  <cols>
    <col min="1" max="1" width="29.83203125" style="36" customWidth="1"/>
    <col min="2" max="2" width="27.5" style="36" bestFit="1" customWidth="1"/>
    <col min="3" max="4" width="25" style="36" customWidth="1"/>
    <col min="5" max="5" width="39.5" style="36" bestFit="1" customWidth="1"/>
    <col min="6" max="6" width="9.1640625" style="36"/>
    <col min="7" max="7" width="18.83203125" style="36" customWidth="1"/>
    <col min="8" max="16384" width="9.1640625" style="36"/>
  </cols>
  <sheetData>
    <row r="1" spans="1:9" x14ac:dyDescent="0.2">
      <c r="A1" s="2" t="s">
        <v>76</v>
      </c>
    </row>
    <row r="2" spans="1:9" x14ac:dyDescent="0.2">
      <c r="A2" s="23" t="s">
        <v>77</v>
      </c>
      <c r="D2" s="23" t="s">
        <v>78</v>
      </c>
    </row>
    <row r="3" spans="1:9" x14ac:dyDescent="0.2">
      <c r="A3" s="37" t="s">
        <v>9</v>
      </c>
      <c r="D3" s="37" t="s">
        <v>17</v>
      </c>
    </row>
    <row r="4" spans="1:9" x14ac:dyDescent="0.2">
      <c r="A4" s="38"/>
      <c r="G4" s="38"/>
    </row>
    <row r="5" spans="1:9" x14ac:dyDescent="0.2">
      <c r="A5" s="2" t="s">
        <v>79</v>
      </c>
    </row>
    <row r="6" spans="1:9" ht="17.25" customHeight="1" x14ac:dyDescent="0.2">
      <c r="A6" s="23" t="s">
        <v>80</v>
      </c>
      <c r="B6" s="23" t="s">
        <v>81</v>
      </c>
      <c r="D6" s="23" t="s">
        <v>82</v>
      </c>
      <c r="E6" s="23" t="s">
        <v>83</v>
      </c>
      <c r="I6" s="29"/>
    </row>
    <row r="7" spans="1:9" x14ac:dyDescent="0.2">
      <c r="A7" s="16" t="s">
        <v>16</v>
      </c>
      <c r="B7" s="39">
        <f>VLOOKUP(A7,отчёт_ЕИ,MATCH($A$3,отчёт_товар,0)+1,FALSE) / INDEX(отчёт_итог_ЕИ,MATCH($A$3,отчёт_товар,0))</f>
        <v>0.30795847750865052</v>
      </c>
      <c r="D7" s="16" t="s">
        <v>7</v>
      </c>
      <c r="E7" s="64">
        <f t="shared" ref="E7:E14" si="0">VLOOKUP($D$3,отчёт_КС,MATCH(D7,отчёт_товар,0)+1,FALSE) / VLOOKUP($D$3,отчёт_КС,10,FALSE)</f>
        <v>0</v>
      </c>
    </row>
    <row r="8" spans="1:9" x14ac:dyDescent="0.2">
      <c r="A8" s="16" t="s">
        <v>17</v>
      </c>
      <c r="B8" s="39">
        <f>VLOOKUP(A8,отчёт_ЕИ,MATCH($A$3,отчёт_товар,0)+1,FALSE) / INDEX(отчёт_итог_ЕИ,MATCH($A$3,отчёт_товар,0))</f>
        <v>0.44982698961937717</v>
      </c>
      <c r="D8" s="16" t="s">
        <v>9</v>
      </c>
      <c r="E8" s="64">
        <f t="shared" si="0"/>
        <v>0.5</v>
      </c>
    </row>
    <row r="9" spans="1:9" x14ac:dyDescent="0.2">
      <c r="A9" s="16" t="s">
        <v>18</v>
      </c>
      <c r="B9" s="39">
        <f>VLOOKUP(A9,отчёт_ЕИ,MATCH($A$3,отчёт_товар,0)+1,FALSE) / INDEX(отчёт_итог_ЕИ,MATCH($A$3,отчёт_товар,0))</f>
        <v>0.27681660899653981</v>
      </c>
      <c r="D9" s="16" t="s">
        <v>10</v>
      </c>
      <c r="E9" s="64">
        <f t="shared" si="0"/>
        <v>0</v>
      </c>
    </row>
    <row r="10" spans="1:9" x14ac:dyDescent="0.2">
      <c r="A10" s="16" t="s">
        <v>19</v>
      </c>
      <c r="B10" s="39">
        <f>VLOOKUP(A10,отчёт_ЕИ,MATCH($A$3,отчёт_товар,0)+1,FALSE) / INDEX(отчёт_итог_ЕИ,MATCH($A$3,отчёт_товар,0))</f>
        <v>0</v>
      </c>
      <c r="D10" s="16" t="s">
        <v>26</v>
      </c>
      <c r="E10" s="64">
        <f t="shared" si="0"/>
        <v>0.25</v>
      </c>
    </row>
    <row r="11" spans="1:9" x14ac:dyDescent="0.2">
      <c r="A11" s="16" t="s">
        <v>20</v>
      </c>
      <c r="B11" s="39">
        <f>VLOOKUP(A11,отчёт_ЕИ,MATCH($A$3,отчёт_товар,0)+1,FALSE) / INDEX(отчёт_итог_ЕИ,MATCH($A$3,отчёт_товар,0))</f>
        <v>0</v>
      </c>
      <c r="D11" s="16" t="s">
        <v>27</v>
      </c>
      <c r="E11" s="64">
        <f t="shared" si="0"/>
        <v>0</v>
      </c>
    </row>
    <row r="12" spans="1:9" x14ac:dyDescent="0.2">
      <c r="A12" s="13"/>
      <c r="B12" s="40"/>
      <c r="C12" s="41"/>
      <c r="D12" s="16" t="s">
        <v>28</v>
      </c>
      <c r="E12" s="64">
        <f t="shared" si="0"/>
        <v>0</v>
      </c>
    </row>
    <row r="13" spans="1:9" x14ac:dyDescent="0.2">
      <c r="A13" s="13"/>
      <c r="B13" s="41"/>
      <c r="C13" s="41"/>
      <c r="D13" s="16" t="s">
        <v>64</v>
      </c>
      <c r="E13" s="64">
        <f t="shared" si="0"/>
        <v>0.25</v>
      </c>
    </row>
    <row r="14" spans="1:9" x14ac:dyDescent="0.2">
      <c r="D14" s="16" t="s">
        <v>65</v>
      </c>
      <c r="E14" s="64">
        <f t="shared" si="0"/>
        <v>0</v>
      </c>
    </row>
    <row r="16" spans="1:9" x14ac:dyDescent="0.2">
      <c r="A16" s="42" t="s">
        <v>84</v>
      </c>
      <c r="B16" s="43">
        <f>Начало_периода</f>
        <v>42795</v>
      </c>
      <c r="C16" s="44" t="s">
        <v>85</v>
      </c>
      <c r="D16" s="45">
        <f>Конец_периода</f>
        <v>42825</v>
      </c>
    </row>
    <row r="17" spans="1:4" x14ac:dyDescent="0.2">
      <c r="A17" s="23" t="s">
        <v>86</v>
      </c>
      <c r="B17" s="23" t="s">
        <v>87</v>
      </c>
      <c r="C17" s="23" t="s">
        <v>88</v>
      </c>
      <c r="D17" s="24" t="s">
        <v>89</v>
      </c>
    </row>
    <row r="18" spans="1:4" x14ac:dyDescent="0.2">
      <c r="A18" s="23" t="s">
        <v>90</v>
      </c>
      <c r="B18" s="46" t="str">
        <f>INDEX(отчёт_товар,MATCH(MAX(Сумм_товар_р),Сумм_товар_р_итог,0))</f>
        <v>Полярный</v>
      </c>
      <c r="C18" s="46" t="str">
        <f>INDEX(отчёт_товар,MATCH(MAX(отчёт_итог_ЕИ),отчёт_итог_ЕИ,0))</f>
        <v>Полярный</v>
      </c>
      <c r="D18" s="46" t="str">
        <f>INDEX(отчёт_товар,MATCH(MAX(отчёт_КС_итог),отчёт_КС_итог,0))</f>
        <v>Печенье Вкусное</v>
      </c>
    </row>
    <row r="19" spans="1:4" ht="16" x14ac:dyDescent="0.2">
      <c r="A19" s="29" t="s">
        <v>91</v>
      </c>
      <c r="B19" s="46" t="str">
        <f>INDEX(отчёт_р,MATCH(MAX(Сумм_менеджер),Сумм_менеджер,0),1)</f>
        <v>Ракушко Игорь Харитонович</v>
      </c>
      <c r="C19" s="46" t="str">
        <f>INDEX(отчёт_ЕИ,MATCH(MAX(Сумм_менеджер_ЕИ),Сумм_менеджер_ЕИ,0),1)</f>
        <v>Ракушко Игорь Харитонович</v>
      </c>
      <c r="D19" s="46" t="str">
        <f>INDEX(отчёт_р,MATCH(MAX(Сумм_КС_менеджер),Сумм_КС_менеджер,0),1)</f>
        <v>Григорьев Сергей Петрович</v>
      </c>
    </row>
    <row r="20" spans="1:4" x14ac:dyDescent="0.2">
      <c r="A20" s="24" t="s">
        <v>92</v>
      </c>
      <c r="B20" s="37" t="str">
        <f>INDEX(отчёт_товар,MATCH(MIN(Сумм_товар_р),Сумм_товар_р_итог,0))</f>
        <v>Нежные</v>
      </c>
      <c r="C20" s="37" t="str">
        <f>INDEX(отчёт_товар,MATCH(MIN(отчёт_итог_ЕИ),отчёт_итог_ЕИ,0))</f>
        <v>Нежные</v>
      </c>
      <c r="D20" s="37" t="str">
        <f>INDEX(отчёт_товар,MATCH(MIN(отчёт_КС_итог),отчёт_КС_итог,0))</f>
        <v>Нежные</v>
      </c>
    </row>
    <row r="21" spans="1:4" x14ac:dyDescent="0.2">
      <c r="A21" s="24" t="s">
        <v>93</v>
      </c>
      <c r="B21" s="37" t="str">
        <f>INDEX(отчёт_р,MATCH(MIN(Сумм_менеджер),Сумм_менеджер,0),1)</f>
        <v>Поснова Ольга Евгеньевна</v>
      </c>
      <c r="C21" s="37" t="str">
        <f>INDEX(отчёт_ЕИ,MATCH(MIN(Сумм_менеджер_ЕИ),Сумм_менеджер_ЕИ,0),1)</f>
        <v>Волокушин Иван Иванович</v>
      </c>
      <c r="D21" s="37" t="str">
        <f>INDEX(отчёт_р,MATCH(MIN(Сумм_КС_менеджер),Сумм_КС_менеджер,0),1)</f>
        <v>Белова Анастасия Ивановна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7431-6AE2-DD4B-AD14-416AF9B59B54}">
  <dimension ref="A1:O19"/>
  <sheetViews>
    <sheetView zoomScale="112" workbookViewId="0">
      <selection activeCell="M17" sqref="M17"/>
    </sheetView>
  </sheetViews>
  <sheetFormatPr baseColWidth="10" defaultColWidth="8.83203125" defaultRowHeight="15" x14ac:dyDescent="0.2"/>
  <cols>
    <col min="1" max="1" width="33.1640625" customWidth="1"/>
    <col min="2" max="2" width="9.1640625" bestFit="1" customWidth="1"/>
    <col min="12" max="12" width="10.1640625" bestFit="1" customWidth="1"/>
    <col min="14" max="14" width="22.33203125" customWidth="1"/>
  </cols>
  <sheetData>
    <row r="1" spans="1:15" ht="16" x14ac:dyDescent="0.2">
      <c r="A1" s="69" t="s">
        <v>105</v>
      </c>
      <c r="L1" t="s">
        <v>104</v>
      </c>
      <c r="M1">
        <v>3</v>
      </c>
      <c r="N1" t="s">
        <v>85</v>
      </c>
      <c r="O1">
        <v>7</v>
      </c>
    </row>
    <row r="2" spans="1:15" x14ac:dyDescent="0.2">
      <c r="A2" s="68" t="s">
        <v>100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L2" t="s">
        <v>103</v>
      </c>
      <c r="M2">
        <v>2017</v>
      </c>
    </row>
    <row r="3" spans="1:15" x14ac:dyDescent="0.2">
      <c r="A3" t="s">
        <v>16</v>
      </c>
      <c r="B3">
        <f t="array" ref="B3">SUM((ФИО_мен=$A3)*(WEEKDAY(Дата,2)=B$2)*(MONTH(Дата)&gt;=$M$1)*(MONTH(Дата)&lt;=$O$1)*(YEAR(Дата)=$M$2))</f>
        <v>2</v>
      </c>
      <c r="C3">
        <f t="array" ref="C3">SUM((ФИО_мен=$A3)*(WEEKDAY(Дата,2)=C$2)*(MONTH(Дата)&gt;=$M$1)*(MONTH(Дата)&lt;=$O$1)*(YEAR(Дата)=$M$2))</f>
        <v>3</v>
      </c>
      <c r="D3">
        <f t="array" ref="D3">SUM((ФИО_мен=$A3)*(WEEKDAY(Дата,2)=D$2)*(MONTH(Дата)&gt;=$M$1)*(MONTH(Дата)&lt;=$O$1)*(YEAR(Дата)=$M$2))</f>
        <v>0</v>
      </c>
      <c r="E3">
        <f t="array" ref="E3">SUM((ФИО_мен=$A3)*(WEEKDAY(Дата,2)=E$2)*(MONTH(Дата)&gt;=$M$1)*(MONTH(Дата)&lt;=$O$1)*(YEAR(Дата)=$M$2))</f>
        <v>1</v>
      </c>
      <c r="F3">
        <f t="array" ref="F3">SUM((ФИО_мен=$A3)*(WEEKDAY(Дата,2)=F$2)*(MONTH(Дата)&gt;=$M$1)*(MONTH(Дата)&lt;=$O$1)*(YEAR(Дата)=$M$2))</f>
        <v>0</v>
      </c>
      <c r="G3">
        <f t="array" ref="G3">SUM((ФИО_мен=$A3)*(WEEKDAY(Дата,2)=G$2)*(MONTH(Дата)&gt;=$M$1)*(MONTH(Дата)&lt;=$O$1)*(YEAR(Дата)=$M$2))</f>
        <v>1</v>
      </c>
      <c r="H3">
        <f t="array" ref="H3">SUM((ФИО_мен=$A3)*(WEEKDAY(Дата,2)=H$2)*(MONTH(Дата)&gt;=$M$1)*(MONTH(Дата)&lt;=$O$1)*(YEAR(Дата)=$M$2))</f>
        <v>0</v>
      </c>
    </row>
    <row r="4" spans="1:15" x14ac:dyDescent="0.2">
      <c r="A4" t="s">
        <v>17</v>
      </c>
      <c r="B4">
        <f t="array" ref="B4">SUM((ФИО_мен=$A4)*(WEEKDAY(Дата,2)=B$2)*(MONTH(Дата)&gt;=$M$1)*(MONTH(Дата)&lt;=$O$1)*(YEAR(Дата)=$M$2))</f>
        <v>3</v>
      </c>
      <c r="C4">
        <f t="array" ref="C4">SUM((ФИО_мен=$A4)*(WEEKDAY(Дата,2)=C$2)*(MONTH(Дата)&gt;=$M$1)*(MONTH(Дата)&lt;=$O$1)*(YEAR(Дата)=$M$2))</f>
        <v>3</v>
      </c>
      <c r="D4">
        <f t="array" ref="D4">SUM((ФИО_мен=$A4)*(WEEKDAY(Дата,2)=D$2)*(MONTH(Дата)&gt;=$M$1)*(MONTH(Дата)&lt;=$O$1)*(YEAR(Дата)=$M$2))</f>
        <v>3</v>
      </c>
      <c r="E4">
        <f t="array" ref="E4">SUM((ФИО_мен=$A4)*(WEEKDAY(Дата,2)=E$2)*(MONTH(Дата)&gt;=$M$1)*(MONTH(Дата)&lt;=$O$1)*(YEAR(Дата)=$M$2))</f>
        <v>4</v>
      </c>
      <c r="F4">
        <f t="array" ref="F4">SUM((ФИО_мен=$A4)*(WEEKDAY(Дата,2)=F$2)*(MONTH(Дата)&gt;=$M$1)*(MONTH(Дата)&lt;=$O$1)*(YEAR(Дата)=$M$2))</f>
        <v>3</v>
      </c>
      <c r="G4">
        <f t="array" ref="G4">SUM((ФИО_мен=$A4)*(WEEKDAY(Дата,2)=G$2)*(MONTH(Дата)&gt;=$M$1)*(MONTH(Дата)&lt;=$O$1)*(YEAR(Дата)=$M$2))</f>
        <v>1</v>
      </c>
      <c r="H4">
        <f t="array" ref="H4">SUM((ФИО_мен=$A4)*(WEEKDAY(Дата,2)=H$2)*(MONTH(Дата)&gt;=$M$1)*(MONTH(Дата)&lt;=$O$1)*(YEAR(Дата)=$M$2))</f>
        <v>0</v>
      </c>
      <c r="L4" s="28">
        <v>0</v>
      </c>
    </row>
    <row r="5" spans="1:15" x14ac:dyDescent="0.2">
      <c r="A5" t="s">
        <v>18</v>
      </c>
      <c r="B5">
        <f t="array" ref="B5">SUM((ФИО_мен=$A5)*(WEEKDAY(Дата,2)=B$2)*(MONTH(Дата)&gt;=$M$1)*(MONTH(Дата)&lt;=$O$1)*(YEAR(Дата)=$M$2))</f>
        <v>2</v>
      </c>
      <c r="C5">
        <f t="array" ref="C5">SUM((ФИО_мен=$A5)*(WEEKDAY(Дата,2)=C$2)*(MONTH(Дата)&gt;=$M$1)*(MONTH(Дата)&lt;=$O$1)*(YEAR(Дата)=$M$2))</f>
        <v>3</v>
      </c>
      <c r="D5">
        <f t="array" ref="D5">SUM((ФИО_мен=$A5)*(WEEKDAY(Дата,2)=D$2)*(MONTH(Дата)&gt;=$M$1)*(MONTH(Дата)&lt;=$O$1)*(YEAR(Дата)=$M$2))</f>
        <v>1</v>
      </c>
      <c r="E5">
        <f t="array" ref="E5">SUM((ФИО_мен=$A5)*(WEEKDAY(Дата,2)=E$2)*(MONTH(Дата)&gt;=$M$1)*(MONTH(Дата)&lt;=$O$1)*(YEAR(Дата)=$M$2))</f>
        <v>2</v>
      </c>
      <c r="F5">
        <f t="array" ref="F5">SUM((ФИО_мен=$A5)*(WEEKDAY(Дата,2)=F$2)*(MONTH(Дата)&gt;=$M$1)*(MONTH(Дата)&lt;=$O$1)*(YEAR(Дата)=$M$2))</f>
        <v>4</v>
      </c>
      <c r="G5">
        <f t="array" ref="G5">SUM((ФИО_мен=$A5)*(WEEKDAY(Дата,2)=G$2)*(MONTH(Дата)&gt;=$M$1)*(MONTH(Дата)&lt;=$O$1)*(YEAR(Дата)=$M$2))</f>
        <v>3</v>
      </c>
      <c r="H5">
        <f t="array" ref="H5">SUM((ФИО_мен=$A5)*(WEEKDAY(Дата,2)=H$2)*(MONTH(Дата)&gt;=$M$1)*(MONTH(Дата)&lt;=$O$1)*(YEAR(Дата)=$M$2))</f>
        <v>1</v>
      </c>
      <c r="L5">
        <v>1</v>
      </c>
      <c r="M5">
        <v>1</v>
      </c>
      <c r="N5">
        <f>L5*M5</f>
        <v>1</v>
      </c>
    </row>
    <row r="6" spans="1:15" x14ac:dyDescent="0.2">
      <c r="A6" t="s">
        <v>19</v>
      </c>
      <c r="B6">
        <f t="array" ref="B6">SUM((ФИО_мен=$A6)*(WEEKDAY(Дата,2)=B$2)*(MONTH(Дата)&gt;=$M$1)*(MONTH(Дата)&lt;=$O$1)*(YEAR(Дата)=$M$2))</f>
        <v>3</v>
      </c>
      <c r="C6">
        <f t="array" ref="C6">SUM((ФИО_мен=$A6)*(WEEKDAY(Дата,2)=C$2)*(MONTH(Дата)&gt;=$M$1)*(MONTH(Дата)&lt;=$O$1)*(YEAR(Дата)=$M$2))</f>
        <v>0</v>
      </c>
      <c r="D6">
        <f t="array" ref="D6">SUM((ФИО_мен=$A6)*(WEEKDAY(Дата,2)=D$2)*(MONTH(Дата)&gt;=$M$1)*(MONTH(Дата)&lt;=$O$1)*(YEAR(Дата)=$M$2))</f>
        <v>1</v>
      </c>
      <c r="E6">
        <f t="array" ref="E6">SUM((ФИО_мен=$A6)*(WEEKDAY(Дата,2)=E$2)*(MONTH(Дата)&gt;=$M$1)*(MONTH(Дата)&lt;=$O$1)*(YEAR(Дата)=$M$2))</f>
        <v>3</v>
      </c>
      <c r="F6">
        <f t="array" ref="F6">SUM((ФИО_мен=$A6)*(WEEKDAY(Дата,2)=F$2)*(MONTH(Дата)&gt;=$M$1)*(MONTH(Дата)&lt;=$O$1)*(YEAR(Дата)=$M$2))</f>
        <v>4</v>
      </c>
      <c r="G6">
        <f t="array" ref="G6">SUM((ФИО_мен=$A6)*(WEEKDAY(Дата,2)=G$2)*(MONTH(Дата)&gt;=$M$1)*(MONTH(Дата)&lt;=$O$1)*(YEAR(Дата)=$M$2))</f>
        <v>2</v>
      </c>
      <c r="H6">
        <f t="array" ref="H6">SUM((ФИО_мен=$A6)*(WEEKDAY(Дата,2)=H$2)*(MONTH(Дата)&gt;=$M$1)*(MONTH(Дата)&lt;=$O$1)*(YEAR(Дата)=$M$2))</f>
        <v>1</v>
      </c>
    </row>
    <row r="7" spans="1:15" x14ac:dyDescent="0.2">
      <c r="A7" t="s">
        <v>20</v>
      </c>
      <c r="B7">
        <f t="array" ref="B7">SUM((ФИО_мен=$A7)*(WEEKDAY(Дата,2)=B$2)*(MONTH(Дата)&gt;=$M$1)*(MONTH(Дата)&lt;=$O$1)*(YEAR(Дата)=$M$2))</f>
        <v>4</v>
      </c>
      <c r="C7">
        <f t="array" ref="C7">SUM((ФИО_мен=$A7)*(WEEKDAY(Дата,2)=C$2)*(MONTH(Дата)&gt;=$M$1)*(MONTH(Дата)&lt;=$O$1)*(YEAR(Дата)=$M$2))</f>
        <v>1</v>
      </c>
      <c r="D7">
        <f t="array" ref="D7">SUM((ФИО_мен=$A7)*(WEEKDAY(Дата,2)=D$2)*(MONTH(Дата)&gt;=$M$1)*(MONTH(Дата)&lt;=$O$1)*(YEAR(Дата)=$M$2))</f>
        <v>1</v>
      </c>
      <c r="E7">
        <f t="array" ref="E7">SUM((ФИО_мен=$A7)*(WEEKDAY(Дата,2)=E$2)*(MONTH(Дата)&gt;=$M$1)*(MONTH(Дата)&lt;=$O$1)*(YEAR(Дата)=$M$2))</f>
        <v>3</v>
      </c>
      <c r="F7">
        <f t="array" ref="F7">SUM((ФИО_мен=$A7)*(WEEKDAY(Дата,2)=F$2)*(MONTH(Дата)&gt;=$M$1)*(MONTH(Дата)&lt;=$O$1)*(YEAR(Дата)=$M$2))</f>
        <v>2</v>
      </c>
      <c r="G7">
        <f t="array" ref="G7">SUM((ФИО_мен=$A7)*(WEEKDAY(Дата,2)=G$2)*(MONTH(Дата)&gt;=$M$1)*(MONTH(Дата)&lt;=$O$1)*(YEAR(Дата)=$M$2))</f>
        <v>0</v>
      </c>
      <c r="H7">
        <f t="array" ref="H7">SUM((ФИО_мен=$A7)*(WEEKDAY(Дата,2)=H$2)*(MONTH(Дата)&gt;=$M$1)*(MONTH(Дата)&lt;=$O$1)*(YEAR(Дата)=$M$2))</f>
        <v>0</v>
      </c>
    </row>
    <row r="8" spans="1:15" x14ac:dyDescent="0.2">
      <c r="A8" s="68" t="s">
        <v>102</v>
      </c>
      <c r="B8" s="2">
        <f t="shared" ref="B8:H8" si="0">SUM(B3:B7)</f>
        <v>14</v>
      </c>
      <c r="C8" s="2">
        <f t="shared" si="0"/>
        <v>10</v>
      </c>
      <c r="D8" s="2">
        <f t="shared" si="0"/>
        <v>6</v>
      </c>
      <c r="E8" s="2">
        <f t="shared" si="0"/>
        <v>13</v>
      </c>
      <c r="F8" s="2">
        <f t="shared" si="0"/>
        <v>13</v>
      </c>
      <c r="G8" s="2">
        <f t="shared" si="0"/>
        <v>7</v>
      </c>
      <c r="H8" s="2">
        <f t="shared" si="0"/>
        <v>2</v>
      </c>
    </row>
    <row r="12" spans="1:15" ht="16" x14ac:dyDescent="0.2">
      <c r="A12" s="69" t="s">
        <v>101</v>
      </c>
    </row>
    <row r="13" spans="1:15" x14ac:dyDescent="0.2">
      <c r="A13" s="68" t="s">
        <v>100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5" x14ac:dyDescent="0.2">
      <c r="A14" t="s">
        <v>16</v>
      </c>
      <c r="B14" s="7">
        <f>B3/SUM($B3:$H3)</f>
        <v>0.2857142857142857</v>
      </c>
      <c r="C14" s="7">
        <f t="shared" ref="C14:H14" si="1">C3/SUM($B3:$H3)</f>
        <v>0.42857142857142855</v>
      </c>
      <c r="D14" s="7">
        <f t="shared" si="1"/>
        <v>0</v>
      </c>
      <c r="E14" s="7">
        <f t="shared" si="1"/>
        <v>0.14285714285714285</v>
      </c>
      <c r="F14" s="7">
        <f t="shared" si="1"/>
        <v>0</v>
      </c>
      <c r="G14" s="7">
        <f t="shared" si="1"/>
        <v>0.14285714285714285</v>
      </c>
      <c r="H14" s="7">
        <f t="shared" si="1"/>
        <v>0</v>
      </c>
    </row>
    <row r="15" spans="1:15" x14ac:dyDescent="0.2">
      <c r="A15" t="s">
        <v>17</v>
      </c>
      <c r="B15" s="7">
        <f t="shared" ref="B15:H15" si="2">B4/SUM($B4:$H4)</f>
        <v>0.17647058823529413</v>
      </c>
      <c r="C15" s="7">
        <f>C4/SUM($B4:$H4)</f>
        <v>0.17647058823529413</v>
      </c>
      <c r="D15" s="7">
        <f t="shared" si="2"/>
        <v>0.17647058823529413</v>
      </c>
      <c r="E15" s="7">
        <f t="shared" si="2"/>
        <v>0.23529411764705882</v>
      </c>
      <c r="F15" s="7">
        <f t="shared" si="2"/>
        <v>0.17647058823529413</v>
      </c>
      <c r="G15" s="7">
        <f t="shared" si="2"/>
        <v>5.8823529411764705E-2</v>
      </c>
      <c r="H15" s="7">
        <f t="shared" si="2"/>
        <v>0</v>
      </c>
    </row>
    <row r="16" spans="1:15" x14ac:dyDescent="0.2">
      <c r="A16" t="s">
        <v>18</v>
      </c>
      <c r="B16" s="7">
        <f t="shared" ref="B16:H16" si="3">B5/SUM($B5:$H5)</f>
        <v>0.125</v>
      </c>
      <c r="C16" s="7">
        <f t="shared" si="3"/>
        <v>0.1875</v>
      </c>
      <c r="D16" s="7">
        <f t="shared" si="3"/>
        <v>6.25E-2</v>
      </c>
      <c r="E16" s="7">
        <f t="shared" si="3"/>
        <v>0.125</v>
      </c>
      <c r="F16" s="7">
        <f t="shared" si="3"/>
        <v>0.25</v>
      </c>
      <c r="G16" s="7">
        <f t="shared" si="3"/>
        <v>0.1875</v>
      </c>
      <c r="H16" s="7">
        <f t="shared" si="3"/>
        <v>6.25E-2</v>
      </c>
    </row>
    <row r="17" spans="1:8" x14ac:dyDescent="0.2">
      <c r="A17" t="s">
        <v>19</v>
      </c>
      <c r="B17" s="7">
        <f t="shared" ref="B17:H17" si="4">B6/SUM($B6:$H6)</f>
        <v>0.21428571428571427</v>
      </c>
      <c r="C17" s="7">
        <f t="shared" si="4"/>
        <v>0</v>
      </c>
      <c r="D17" s="7">
        <f t="shared" si="4"/>
        <v>7.1428571428571425E-2</v>
      </c>
      <c r="E17" s="7">
        <f t="shared" si="4"/>
        <v>0.21428571428571427</v>
      </c>
      <c r="F17" s="7">
        <f t="shared" si="4"/>
        <v>0.2857142857142857</v>
      </c>
      <c r="G17" s="7">
        <f t="shared" si="4"/>
        <v>0.14285714285714285</v>
      </c>
      <c r="H17" s="7">
        <f t="shared" si="4"/>
        <v>7.1428571428571425E-2</v>
      </c>
    </row>
    <row r="18" spans="1:8" x14ac:dyDescent="0.2">
      <c r="A18" t="s">
        <v>20</v>
      </c>
      <c r="B18" s="7">
        <f t="shared" ref="B18:H18" si="5">B7/SUM($B7:$H7)</f>
        <v>0.36363636363636365</v>
      </c>
      <c r="C18" s="7">
        <f t="shared" si="5"/>
        <v>9.0909090909090912E-2</v>
      </c>
      <c r="D18" s="7">
        <f>D7/SUM($B7:$H7)</f>
        <v>9.0909090909090912E-2</v>
      </c>
      <c r="E18" s="7">
        <f t="shared" si="5"/>
        <v>0.27272727272727271</v>
      </c>
      <c r="F18" s="7">
        <f t="shared" si="5"/>
        <v>0.18181818181818182</v>
      </c>
      <c r="G18" s="7">
        <f t="shared" si="5"/>
        <v>0</v>
      </c>
      <c r="H18" s="7">
        <f t="shared" si="5"/>
        <v>0</v>
      </c>
    </row>
    <row r="19" spans="1:8" x14ac:dyDescent="0.2">
      <c r="A19" t="s">
        <v>99</v>
      </c>
      <c r="B19" s="7">
        <f>B8/SUM($B8:$H8)</f>
        <v>0.2153846153846154</v>
      </c>
      <c r="C19" s="7">
        <f t="shared" ref="C19:H19" si="6">C8/SUM($B8:$H8)</f>
        <v>0.15384615384615385</v>
      </c>
      <c r="D19" s="7">
        <f t="shared" si="6"/>
        <v>9.2307692307692313E-2</v>
      </c>
      <c r="E19" s="7">
        <f t="shared" si="6"/>
        <v>0.2</v>
      </c>
      <c r="F19" s="7">
        <f t="shared" si="6"/>
        <v>0.2</v>
      </c>
      <c r="G19" s="7">
        <f t="shared" si="6"/>
        <v>0.1076923076923077</v>
      </c>
      <c r="H19" s="7">
        <f t="shared" si="6"/>
        <v>3.0769230769230771E-2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9710-812B-7F4B-B09D-ACD430754D13}">
  <dimension ref="A1:N20"/>
  <sheetViews>
    <sheetView tabSelected="1" workbookViewId="0">
      <selection activeCell="E12" sqref="E12"/>
    </sheetView>
  </sheetViews>
  <sheetFormatPr baseColWidth="10" defaultColWidth="9.1640625" defaultRowHeight="15" x14ac:dyDescent="0.2"/>
  <cols>
    <col min="1" max="1" width="30.83203125" style="36" customWidth="1"/>
    <col min="2" max="2" width="23.5" style="36" customWidth="1"/>
    <col min="3" max="3" width="16.83203125" style="36" bestFit="1" customWidth="1"/>
    <col min="4" max="4" width="16.5" style="36" bestFit="1" customWidth="1"/>
    <col min="5" max="5" width="22.1640625" style="36" bestFit="1" customWidth="1"/>
    <col min="6" max="6" width="9.1640625" style="36"/>
    <col min="7" max="7" width="12.83203125" style="36" bestFit="1" customWidth="1"/>
    <col min="8" max="8" width="11" style="36" bestFit="1" customWidth="1"/>
    <col min="9" max="9" width="12" style="36" bestFit="1" customWidth="1"/>
    <col min="10" max="16384" width="9.1640625" style="36"/>
  </cols>
  <sheetData>
    <row r="1" spans="1:14" x14ac:dyDescent="0.2">
      <c r="A1" s="2" t="s">
        <v>107</v>
      </c>
      <c r="G1" s="2" t="s">
        <v>106</v>
      </c>
      <c r="H1" s="71">
        <v>3</v>
      </c>
      <c r="N1" s="72"/>
    </row>
    <row r="2" spans="1:14" ht="16" x14ac:dyDescent="0.2">
      <c r="A2" s="29" t="s">
        <v>13</v>
      </c>
      <c r="G2" s="2" t="s">
        <v>103</v>
      </c>
      <c r="H2" s="71">
        <v>2017</v>
      </c>
    </row>
    <row r="3" spans="1:14" x14ac:dyDescent="0.2">
      <c r="A3" s="36" t="s">
        <v>16</v>
      </c>
      <c r="B3" s="70">
        <f t="array" ref="B3">LARGE((ФИО_мен=$A3)*(MONTH(Таблица1[Дата])=$H$1)*(YEAR(Таблица1[Дата])=$H$2)*общая_стоимость,1)</f>
        <v>10440</v>
      </c>
      <c r="C3" s="70">
        <f t="array" ref="C3">LARGE((ФИО_мен=$A3)*(MONTH(Таблица1[Дата])=$H$1)*(YEAR(Таблица1[Дата])=$H$2)*общая_стоимость,2)</f>
        <v>2848</v>
      </c>
      <c r="D3" s="70">
        <f t="array" ref="D3">LARGE((ФИО_мен=$A3)*(MONTH(Таблица1[Дата])=$H$1)*(YEAR(Таблица1[Дата])=$H$2)*общая_стоимость,3)</f>
        <v>2520</v>
      </c>
      <c r="E3" s="70"/>
    </row>
    <row r="4" spans="1:14" x14ac:dyDescent="0.2">
      <c r="A4" s="36" t="s">
        <v>17</v>
      </c>
      <c r="B4" s="70">
        <f t="array" ref="B4">LARGE((ФИО_мен=$A4)*(MONTH(Таблица1[Дата])=$H$1)*(YEAR(Таблица1[Дата])=$H$2)*общая_стоимость,1)</f>
        <v>20900</v>
      </c>
      <c r="C4" s="70">
        <f t="array" ref="C4">LARGE((ФИО_мен=$A4)*(MONTH(Таблица1[Дата])=$H$1)*(YEAR(Таблица1[Дата])=$H$2)*общая_стоимость,2)</f>
        <v>5400</v>
      </c>
      <c r="D4" s="70">
        <f t="array" ref="D4">LARGE((ФИО_мен=$A4)*(MONTH(Таблица1[Дата])=$H$1)*(YEAR(Таблица1[Дата])=$H$2)*общая_стоимость,3)</f>
        <v>2240</v>
      </c>
    </row>
    <row r="5" spans="1:14" x14ac:dyDescent="0.2">
      <c r="A5" s="36" t="s">
        <v>18</v>
      </c>
      <c r="B5" s="70">
        <f t="array" ref="B5">LARGE((ФИО_мен=$A5)*(MONTH(Таблица1[Дата])=$H$1)*(YEAR(Таблица1[Дата])=$H$2)*общая_стоимость,1)</f>
        <v>8700</v>
      </c>
      <c r="C5" s="70">
        <f t="array" ref="C5">LARGE((ФИО_мен=$A5)*(MONTH(Таблица1[Дата])=$H$1)*(YEAR(Таблица1[Дата])=$H$2)*общая_стоимость,2)</f>
        <v>4000</v>
      </c>
      <c r="D5" s="70">
        <f t="array" ref="D5">LARGE((ФИО_мен=$A5)*(MONTH(Таблица1[Дата])=$H$1)*(YEAR(Таблица1[Дата])=$H$2)*общая_стоимость,3)</f>
        <v>2240</v>
      </c>
    </row>
    <row r="6" spans="1:14" x14ac:dyDescent="0.2">
      <c r="A6" s="36" t="s">
        <v>19</v>
      </c>
      <c r="B6" s="70">
        <f t="array" ref="B6">LARGE((ФИО_мен=$A6)*(MONTH(Таблица1[Дата])=$H$1)*(YEAR(Таблица1[Дата])=$H$2)*общая_стоимость,1)</f>
        <v>13200</v>
      </c>
      <c r="C6" s="70">
        <f t="array" ref="C6">LARGE((ФИО_мен=$A6)*(MONTH(Таблица1[Дата])=$H$1)*(YEAR(Таблица1[Дата])=$H$2)*общая_стоимость,2)</f>
        <v>5400</v>
      </c>
      <c r="D6" s="70">
        <f t="array" ref="D6">LARGE((ФИО_мен=$A6)*(MONTH(Таблица1[Дата])=$H$1)*(YEAR(Таблица1[Дата])=$H$2)*общая_стоимость,3)</f>
        <v>0</v>
      </c>
    </row>
    <row r="7" spans="1:14" x14ac:dyDescent="0.2">
      <c r="A7" s="36" t="s">
        <v>20</v>
      </c>
      <c r="B7" s="70">
        <f t="array" ref="B7">LARGE((ФИО_мен=$A7)*(MONTH(Таблица1[Дата])=$H$1)*(YEAR(Таблица1[Дата])=$H$2)*общая_стоимость,1)</f>
        <v>19800</v>
      </c>
      <c r="C7" s="70">
        <f t="array" ref="C7">LARGE((ФИО_мен=$A7)*(MONTH(Таблица1[Дата])=$H$1)*(YEAR(Таблица1[Дата])=$H$2)*общая_стоимость,2)</f>
        <v>14442</v>
      </c>
      <c r="D7" s="70">
        <f t="array" ref="D7">LARGE((ФИО_мен=$A7)*(MONTH(Таблица1[Дата])=$H$1)*(YEAR(Таблица1[Дата])=$H$2)*общая_стоимость,3)</f>
        <v>7560</v>
      </c>
    </row>
    <row r="9" spans="1:14" x14ac:dyDescent="0.2">
      <c r="G9" s="73"/>
    </row>
    <row r="10" spans="1:14" x14ac:dyDescent="0.2">
      <c r="B10" s="36" t="s">
        <v>108</v>
      </c>
      <c r="C10" s="36">
        <v>121610</v>
      </c>
    </row>
    <row r="11" spans="1:14" x14ac:dyDescent="0.2">
      <c r="B11" s="74">
        <f>(B6+B4+B7)/C10</f>
        <v>0.44322012992352605</v>
      </c>
    </row>
    <row r="12" spans="1:14" x14ac:dyDescent="0.2">
      <c r="C12" s="73"/>
    </row>
    <row r="13" spans="1:14" x14ac:dyDescent="0.2">
      <c r="C13" s="73"/>
    </row>
    <row r="14" spans="1:14" x14ac:dyDescent="0.2">
      <c r="C14" s="73"/>
    </row>
    <row r="15" spans="1:14" x14ac:dyDescent="0.2">
      <c r="C15" s="73"/>
    </row>
    <row r="16" spans="1:14" x14ac:dyDescent="0.2">
      <c r="C16" s="73"/>
    </row>
    <row r="17" spans="3:4" x14ac:dyDescent="0.2">
      <c r="C17" s="73"/>
    </row>
    <row r="18" spans="3:4" x14ac:dyDescent="0.2">
      <c r="C18" s="73"/>
    </row>
    <row r="19" spans="3:4" x14ac:dyDescent="0.2">
      <c r="C19" s="73"/>
      <c r="D19" s="73"/>
    </row>
    <row r="20" spans="3:4" x14ac:dyDescent="0.2">
      <c r="C20" s="73"/>
      <c r="D20" s="7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31</vt:i4>
      </vt:variant>
    </vt:vector>
  </HeadingPairs>
  <TitlesOfParts>
    <vt:vector size="41" baseType="lpstr">
      <vt:lpstr>Сводн табл</vt:lpstr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Результативность</vt:lpstr>
      <vt:lpstr>Наибольшее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общая_стоимость</vt:lpstr>
      <vt:lpstr>отчёт_ЕИ</vt:lpstr>
      <vt:lpstr>отчёт_итог_ЕИ</vt:lpstr>
      <vt:lpstr>отчёт_КС</vt:lpstr>
      <vt:lpstr>отчёт_КС_итог</vt:lpstr>
      <vt:lpstr>отчёт_р</vt:lpstr>
      <vt:lpstr>отчёт_товар</vt:lpstr>
      <vt:lpstr>Стоимость</vt:lpstr>
      <vt:lpstr>Стоимость_возврата</vt:lpstr>
      <vt:lpstr>Сумм_КС_менеджер</vt:lpstr>
      <vt:lpstr>Сумм_менеджер</vt:lpstr>
      <vt:lpstr>Сумм_менеджер_ЕИ</vt:lpstr>
      <vt:lpstr>Сумм_товар_р</vt:lpstr>
      <vt:lpstr>Сумм_товар_р_итог</vt:lpstr>
      <vt:lpstr>Товар</vt:lpstr>
      <vt:lpstr>ФИО_мен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2017-07-24T12:01:24Z</dcterms:created>
  <dcterms:modified xsi:type="dcterms:W3CDTF">2021-11-30T13:27:52Z</dcterms:modified>
</cp:coreProperties>
</file>